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" sheetId="1" r:id="rId4"/>
    <sheet state="visible" name="partners" sheetId="2" r:id="rId5"/>
    <sheet state="visible" name="data" sheetId="3" r:id="rId6"/>
  </sheets>
  <definedNames>
    <definedName name="world">poblacion!$C:$F</definedName>
    <definedName name="partners">partners!$A:$D</definedName>
    <definedName hidden="1" localSheetId="2" name="Z_82CDBB5A_75D7_47BD_93C9_E639C9140686_.wvu.FilterData">data!$A$1:$E$992</definedName>
  </definedNames>
  <calcPr/>
  <customWorkbookViews>
    <customWorkbookView activeSheetId="0" maximized="1" windowHeight="0" windowWidth="0" guid="{82CDBB5A-75D7-47BD-93C9-E639C9140686}" name="Filter 1"/>
  </customWorkbookViews>
</workbook>
</file>

<file path=xl/sharedStrings.xml><?xml version="1.0" encoding="utf-8"?>
<sst xmlns="http://schemas.openxmlformats.org/spreadsheetml/2006/main" count="3934" uniqueCount="1808">
  <si>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</si>
  <si>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</si>
  <si>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</si>
  <si>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</si>
  <si>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</si>
  <si>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</si>
  <si>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</si>
  <si>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</si>
  <si>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</si>
  <si>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</si>
  <si>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</si>
  <si>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</si>
  <si>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</si>
  <si>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</si>
  <si>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</si>
  <si>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</si>
  <si>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</si>
  <si>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</si>
  <si>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</si>
  <si>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</si>
  <si>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</si>
  <si>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</si>
  <si>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</si>
  <si>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</si>
  <si>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</si>
  <si>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</si>
  <si>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</si>
  <si>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</si>
  <si>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</si>
  <si>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</si>
  <si>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</si>
  <si>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</si>
  <si>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</si>
  <si>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</si>
  <si>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</si>
  <si>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</si>
  <si>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</si>
  <si>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</si>
  <si>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</si>
  <si>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</si>
  <si>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</si>
  <si>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</si>
  <si>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</si>
  <si>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</si>
  <si>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</si>
  <si>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</si>
  <si>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</si>
  <si>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</si>
  <si>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</si>
  <si>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</si>
  <si>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</si>
  <si>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</si>
  <si>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</si>
  <si>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</si>
  <si>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</si>
  <si>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</si>
  <si>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</si>
  <si>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</si>
  <si>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</si>
  <si>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</si>
  <si>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</si>
  <si>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</si>
  <si>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</si>
  <si>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</si>
  <si>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</si>
  <si>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</si>
  <si>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</si>
  <si>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</si>
  <si>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</si>
  <si>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</si>
  <si>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</si>
  <si>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</si>
  <si>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</si>
  <si>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</si>
  <si>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</si>
  <si>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</si>
  <si>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</si>
  <si>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</si>
  <si>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</si>
  <si>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</si>
  <si>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</si>
  <si>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</si>
  <si>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</si>
  <si>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</si>
  <si>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</si>
  <si>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</si>
  <si>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</si>
  <si>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</si>
  <si>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</si>
  <si>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</si>
  <si>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</si>
  <si>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</si>
  <si>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</si>
  <si>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</si>
  <si>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</si>
  <si>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</si>
  <si>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</si>
  <si>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</si>
  <si>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</si>
  <si>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</si>
  <si>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</si>
  <si>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</si>
  <si>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</si>
  <si>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</si>
  <si>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</si>
  <si>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</si>
  <si>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</si>
  <si>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</si>
  <si>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</si>
  <si>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</si>
  <si>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</si>
  <si>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</si>
  <si>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</si>
  <si>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</si>
  <si>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</si>
  <si>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</si>
  <si>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</si>
  <si>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</si>
  <si>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</si>
  <si>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</si>
  <si>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</si>
  <si>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</si>
  <si>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</si>
  <si>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</si>
  <si>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</si>
  <si>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</si>
  <si>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</si>
  <si>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</si>
  <si>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</si>
  <si>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</si>
  <si>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</si>
  <si>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</si>
  <si>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</si>
  <si>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</si>
  <si>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</si>
  <si>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</si>
  <si>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</si>
  <si>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</si>
  <si>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</si>
  <si>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</si>
  <si>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</si>
  <si>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</si>
  <si>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</si>
  <si>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</si>
  <si>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</si>
  <si>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</si>
  <si>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</si>
  <si>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</si>
  <si>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</si>
  <si>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</si>
  <si>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</si>
  <si>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</si>
  <si>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</si>
  <si>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</si>
  <si>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</si>
  <si>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</si>
  <si>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</si>
  <si>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</si>
  <si>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</si>
  <si>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</si>
  <si>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</si>
  <si>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</si>
  <si>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</si>
  <si>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</si>
  <si>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</si>
  <si>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</si>
  <si>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</si>
  <si>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</si>
  <si>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</si>
  <si>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</si>
  <si>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</si>
  <si>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</si>
  <si>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</si>
  <si>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</si>
  <si>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</si>
  <si>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</si>
  <si>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</si>
  <si>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</si>
  <si>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</si>
  <si>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</si>
  <si>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</si>
  <si>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</si>
  <si>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</si>
  <si>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</si>
  <si>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</si>
  <si>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</si>
  <si>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</si>
  <si>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</si>
  <si>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</si>
  <si>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</si>
  <si>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</si>
  <si>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</si>
  <si>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</si>
  <si>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</si>
  <si>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</si>
  <si>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</si>
  <si>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</si>
  <si>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</si>
  <si>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</si>
  <si>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</si>
  <si>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</si>
  <si>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</si>
  <si>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</si>
  <si>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</si>
  <si>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</si>
  <si>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</si>
  <si>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</si>
  <si>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</si>
  <si>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</si>
  <si>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</si>
  <si>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</si>
  <si>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</si>
  <si>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</si>
  <si>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</si>
  <si>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</si>
  <si>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</si>
  <si>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</si>
  <si>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</si>
  <si>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</si>
  <si>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</si>
  <si>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</si>
  <si>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</si>
  <si>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</si>
  <si>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</si>
  <si>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</si>
  <si>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</si>
  <si>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</si>
  <si>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</si>
  <si>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</si>
  <si>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</si>
  <si>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</si>
  <si>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</si>
  <si>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</si>
  <si>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</si>
  <si>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</si>
  <si>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</si>
  <si>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</si>
  <si>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</si>
  <si>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</si>
  <si>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</si>
  <si>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</si>
  <si>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</si>
  <si>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</si>
  <si>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</si>
  <si>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</si>
  <si>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</si>
  <si>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</si>
  <si>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</si>
  <si>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</si>
  <si>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</si>
  <si>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</si>
  <si>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</si>
  <si>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</si>
  <si>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</si>
  <si>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</si>
  <si>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</si>
  <si>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</si>
  <si>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</si>
  <si>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</si>
  <si>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</si>
  <si>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</si>
  <si>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</si>
  <si>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</si>
  <si>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</si>
  <si>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</si>
  <si>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</si>
  <si>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</si>
  <si>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</si>
  <si>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</si>
  <si>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</si>
  <si>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</si>
  <si>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</si>
  <si>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</si>
  <si>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</si>
  <si>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</si>
  <si>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</si>
  <si>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</si>
  <si>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</si>
  <si>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</si>
  <si>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</si>
  <si>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</si>
  <si>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</si>
  <si>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</si>
  <si>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</si>
  <si>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</si>
  <si>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</si>
  <si>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</si>
  <si>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</si>
  <si>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</si>
  <si>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</si>
  <si>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</si>
  <si>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</si>
  <si>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</si>
  <si>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</si>
  <si>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</si>
  <si>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</si>
  <si>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</si>
  <si>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</si>
  <si>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</si>
  <si>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</si>
  <si>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</si>
  <si>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</si>
  <si>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</si>
  <si>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</si>
  <si>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</si>
  <si>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</si>
  <si>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</si>
  <si>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</si>
  <si>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</si>
  <si>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</si>
  <si>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</si>
  <si>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</si>
  <si>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</si>
  <si>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</si>
  <si>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</si>
  <si>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</si>
  <si>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</si>
  <si>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</si>
  <si>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</si>
  <si>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</si>
  <si>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</si>
  <si>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</si>
  <si>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</si>
  <si>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</si>
  <si>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</si>
  <si>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</si>
  <si>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</si>
  <si>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</si>
  <si>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</si>
  <si>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</si>
  <si>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</si>
  <si>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</si>
  <si>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</si>
  <si>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</si>
  <si>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</si>
  <si>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</si>
  <si>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</si>
  <si>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</si>
  <si>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</si>
  <si>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</si>
  <si>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</si>
  <si>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</si>
  <si>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</si>
  <si>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</si>
  <si>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</si>
  <si>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</si>
  <si>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</si>
  <si>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</si>
  <si>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</si>
  <si>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</si>
  <si>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</si>
  <si>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</si>
  <si>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</si>
  <si>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</si>
  <si>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</si>
  <si>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</si>
  <si>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</si>
  <si>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</si>
  <si>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</si>
  <si>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</si>
  <si>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</si>
  <si>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</si>
  <si>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</si>
  <si>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</si>
  <si>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</si>
  <si>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</si>
  <si>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</si>
  <si>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</si>
  <si>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</si>
  <si>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</si>
  <si>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</si>
  <si>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</si>
  <si>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</si>
  <si>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</si>
  <si>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</si>
  <si>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</si>
  <si>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</si>
  <si>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</si>
  <si>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</si>
  <si>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</si>
  <si>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</si>
  <si>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</si>
  <si>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</si>
  <si>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</si>
  <si>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</si>
  <si>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</si>
  <si>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</si>
  <si>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</si>
  <si>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</si>
  <si>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</si>
  <si>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</si>
  <si>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</si>
  <si>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</si>
  <si>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</si>
  <si>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</si>
  <si>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</si>
  <si>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</si>
  <si>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</si>
  <si>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</si>
  <si>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</si>
  <si>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</si>
  <si>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</si>
  <si>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</si>
  <si>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</si>
  <si>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</si>
  <si>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</si>
  <si>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</si>
  <si>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</si>
  <si>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</si>
  <si>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</si>
  <si>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</si>
  <si>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</si>
  <si>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</si>
  <si>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</si>
  <si>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</si>
  <si>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</si>
  <si>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</si>
  <si>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</si>
  <si>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</si>
  <si>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</si>
  <si>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</si>
  <si>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</si>
  <si>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</si>
  <si>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</si>
  <si>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</si>
  <si>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</si>
  <si>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</si>
  <si>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</si>
  <si>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</si>
  <si>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</si>
  <si>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</si>
  <si>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</si>
  <si>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</si>
  <si>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</si>
  <si>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</si>
  <si>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</si>
  <si>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</si>
  <si>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</si>
  <si>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</si>
  <si>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</si>
  <si>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</si>
  <si>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</si>
  <si>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</si>
  <si>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</si>
  <si>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</si>
  <si>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</si>
  <si>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</si>
  <si>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</si>
  <si>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</si>
  <si>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</si>
  <si>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</si>
  <si>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</si>
  <si>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</si>
  <si>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</si>
  <si>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</si>
  <si>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</si>
  <si>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</si>
  <si>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</si>
  <si>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</si>
  <si>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</si>
  <si>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</si>
  <si>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</si>
  <si>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</si>
  <si>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</si>
  <si>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</si>
  <si>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</si>
  <si>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</si>
  <si>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</si>
  <si>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</si>
  <si>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</si>
  <si>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</si>
  <si>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</si>
  <si>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</si>
  <si>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</si>
  <si>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</si>
  <si>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</si>
  <si>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</si>
  <si>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</si>
  <si>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</si>
  <si>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</si>
  <si>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</si>
  <si>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</si>
  <si>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</si>
  <si>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</si>
  <si>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</si>
  <si>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</si>
  <si>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</si>
  <si>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</si>
  <si>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</si>
  <si>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</si>
  <si>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</si>
  <si>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</si>
  <si>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</si>
  <si>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</si>
  <si>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</si>
  <si>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</si>
  <si>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</si>
  <si>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</si>
  <si>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</si>
  <si>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</si>
  <si>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</si>
  <si>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</si>
  <si>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</si>
  <si>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</si>
  <si>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</si>
  <si>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</si>
  <si>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</si>
  <si>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</si>
  <si>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</si>
  <si>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</si>
  <si>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</si>
  <si>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</si>
  <si>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</si>
  <si>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</si>
  <si>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</si>
  <si>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</si>
  <si>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</si>
  <si>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</si>
  <si>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</si>
  <si>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</si>
  <si>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</si>
  <si>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</si>
  <si>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</si>
  <si>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</si>
  <si>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</si>
  <si>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</si>
  <si>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</si>
  <si>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</si>
  <si>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</si>
  <si>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</si>
  <si>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</si>
  <si>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</si>
  <si>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</si>
  <si>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</si>
  <si>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</si>
  <si>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</si>
  <si>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</si>
  <si>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</si>
  <si>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</si>
  <si>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</si>
  <si>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</si>
  <si>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</si>
  <si>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</si>
  <si>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</si>
  <si>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</si>
  <si>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</si>
  <si>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</si>
  <si>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</si>
  <si>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</si>
  <si>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</si>
  <si>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</si>
  <si>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</si>
  <si>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</si>
  <si>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</si>
  <si>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</si>
  <si>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</si>
  <si>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</si>
  <si>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</si>
  <si>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</si>
  <si>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</si>
  <si>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</si>
  <si>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</si>
  <si>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</si>
  <si>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</si>
  <si>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</si>
  <si>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</si>
  <si>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</si>
  <si>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</si>
  <si>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</si>
  <si>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</si>
  <si>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</si>
  <si>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</si>
  <si>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</si>
  <si>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</si>
  <si>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</si>
  <si>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</si>
  <si>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</si>
  <si>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</si>
  <si>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</si>
  <si>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</si>
  <si>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</si>
  <si>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</si>
  <si>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</si>
  <si>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</si>
  <si>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</si>
  <si>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</si>
  <si>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</si>
  <si>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</si>
  <si>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</si>
  <si>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</si>
  <si>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</si>
  <si>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</si>
  <si>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</si>
  <si>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</si>
  <si>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</si>
  <si>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</si>
  <si>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</si>
  <si>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</si>
  <si>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</si>
  <si>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</si>
  <si>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</si>
  <si>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</si>
  <si>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</si>
  <si>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</si>
  <si>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</si>
  <si>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</si>
  <si>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</si>
  <si>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</si>
  <si>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</si>
  <si>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</si>
  <si>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</si>
  <si>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</si>
  <si>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</si>
  <si>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</si>
  <si>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</si>
  <si>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</si>
  <si>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</si>
  <si>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</si>
  <si>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</si>
  <si>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</si>
  <si>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</si>
  <si>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</si>
  <si>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</si>
  <si>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</si>
  <si>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</si>
  <si>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</si>
  <si>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</si>
  <si>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</si>
  <si>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</si>
  <si>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</si>
  <si>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</si>
  <si>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</si>
  <si>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</si>
  <si>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</si>
  <si>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</si>
  <si>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</si>
  <si>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</si>
  <si>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</si>
  <si>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</si>
  <si>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</si>
  <si>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</si>
  <si>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</si>
  <si>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</si>
  <si>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</si>
  <si>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</si>
  <si>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</si>
  <si>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</si>
  <si>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</si>
  <si>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</si>
  <si>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</si>
  <si>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</si>
  <si>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</si>
  <si>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</si>
  <si>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</si>
  <si>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</si>
  <si>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</si>
  <si>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</si>
  <si>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</si>
  <si>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</si>
  <si>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</si>
  <si>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</si>
  <si>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</si>
  <si>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</si>
  <si>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</si>
  <si>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</si>
  <si>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</si>
  <si>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</si>
  <si>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</si>
  <si>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</si>
  <si>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</si>
  <si>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</si>
  <si>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</si>
  <si>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</si>
  <si>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</si>
  <si>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</si>
  <si>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</si>
  <si>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</si>
  <si>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</si>
  <si>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</si>
  <si>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</si>
  <si>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</si>
  <si>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</si>
  <si>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</si>
  <si>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</si>
  <si>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</si>
  <si>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</si>
  <si>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</si>
  <si>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</si>
  <si>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</si>
  <si>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</si>
  <si>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</si>
  <si>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</si>
  <si>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</si>
  <si>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</si>
  <si>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</si>
  <si>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</si>
  <si>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</si>
  <si>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</si>
  <si>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</si>
  <si>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</si>
  <si>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</si>
  <si>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</si>
  <si>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</si>
  <si>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</si>
  <si>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</si>
  <si>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</si>
  <si>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</si>
  <si>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</si>
  <si>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</si>
  <si>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</si>
  <si>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</si>
  <si>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</si>
  <si>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</si>
  <si>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</si>
  <si>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</si>
  <si>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</si>
  <si>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</si>
  <si>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country_code</t>
  </si>
  <si>
    <t>country_name</t>
  </si>
  <si>
    <t>partner_company</t>
  </si>
  <si>
    <t>daily_profit_per_inhabitant_USD</t>
  </si>
  <si>
    <t>CN</t>
  </si>
  <si>
    <t>Bashirian, Emmerich and Kuhn</t>
  </si>
  <si>
    <t>PL</t>
  </si>
  <si>
    <t>Treutel-Moore</t>
  </si>
  <si>
    <t>FR</t>
  </si>
  <si>
    <t>Moore Group</t>
  </si>
  <si>
    <t>RU</t>
  </si>
  <si>
    <t>Lakin, Schultz and Balistreri</t>
  </si>
  <si>
    <t>PT</t>
  </si>
  <si>
    <t>Feeney LLC</t>
  </si>
  <si>
    <t>BY</t>
  </si>
  <si>
    <t>Flatley-O'Keefe</t>
  </si>
  <si>
    <t>ID</t>
  </si>
  <si>
    <t>Jaskolski Inc</t>
  </si>
  <si>
    <t>US</t>
  </si>
  <si>
    <t>Fisher-Mayert</t>
  </si>
  <si>
    <t>Deckow-Dibbert</t>
  </si>
  <si>
    <t>CY</t>
  </si>
  <si>
    <t>Breitenberg-Nikolaus</t>
  </si>
  <si>
    <t>PH</t>
  </si>
  <si>
    <t>Murphy LLC</t>
  </si>
  <si>
    <t>Mertz, Jacobs and Wunsch</t>
  </si>
  <si>
    <t>Toy-Roberts</t>
  </si>
  <si>
    <t>Hamill-Wiegand</t>
  </si>
  <si>
    <t>Paucek and Sons</t>
  </si>
  <si>
    <t>PE</t>
  </si>
  <si>
    <t>Carroll Inc</t>
  </si>
  <si>
    <t>CA</t>
  </si>
  <si>
    <t>Rosenbaum Inc</t>
  </si>
  <si>
    <t>Steuber, Tromp and Effertz</t>
  </si>
  <si>
    <t>Moen, Adams and Reichel</t>
  </si>
  <si>
    <t>Littel-Prohaska</t>
  </si>
  <si>
    <t>Hermiston-Greenholt</t>
  </si>
  <si>
    <t>AR</t>
  </si>
  <si>
    <t>Mann Group</t>
  </si>
  <si>
    <t>ES</t>
  </si>
  <si>
    <t>Grady-Schuppe</t>
  </si>
  <si>
    <t>Sawayn-Barton</t>
  </si>
  <si>
    <t>Klein-Gleason</t>
  </si>
  <si>
    <t>Bernier and Sons</t>
  </si>
  <si>
    <t>Rogahn Group</t>
  </si>
  <si>
    <t>Tromp-Reichel</t>
  </si>
  <si>
    <t>JP</t>
  </si>
  <si>
    <t>Wunsch Group</t>
  </si>
  <si>
    <t>CZ</t>
  </si>
  <si>
    <t>Trantow-Wunsch</t>
  </si>
  <si>
    <t>ZA</t>
  </si>
  <si>
    <t>Kemmer-Hessel</t>
  </si>
  <si>
    <t>BR</t>
  </si>
  <si>
    <t>Schmidt Group</t>
  </si>
  <si>
    <t>Collins-Bernhard</t>
  </si>
  <si>
    <t>Shields, Weissnat and Walker</t>
  </si>
  <si>
    <t>Maggio-Ratke</t>
  </si>
  <si>
    <t>DO</t>
  </si>
  <si>
    <t>Larson, Dach and Wiza</t>
  </si>
  <si>
    <t>Walsh-Bins</t>
  </si>
  <si>
    <t>SE</t>
  </si>
  <si>
    <t>Smitham, Johnson and Jakubowski</t>
  </si>
  <si>
    <t>VN</t>
  </si>
  <si>
    <t>Ratke Inc</t>
  </si>
  <si>
    <t>Johnston and Sons</t>
  </si>
  <si>
    <t>MX</t>
  </si>
  <si>
    <t>Cummerata LLC</t>
  </si>
  <si>
    <t>Leuschke-Wiegand</t>
  </si>
  <si>
    <t>McClure-Hartmann</t>
  </si>
  <si>
    <t>Marvin, DuBuque and Mayert</t>
  </si>
  <si>
    <t>Brekke, Kunze and Walker</t>
  </si>
  <si>
    <t>Heaney Group</t>
  </si>
  <si>
    <t>Bogan LLC</t>
  </si>
  <si>
    <t>Streich LLC</t>
  </si>
  <si>
    <t>GR</t>
  </si>
  <si>
    <t>Schimmel-Wisozk</t>
  </si>
  <si>
    <t>BG</t>
  </si>
  <si>
    <t>O'Keefe, Cremin and Beatty</t>
  </si>
  <si>
    <t>KR</t>
  </si>
  <si>
    <t>DuBuque, Walter and Gibson</t>
  </si>
  <si>
    <t>Blanda, Legros and Hermann</t>
  </si>
  <si>
    <t>FI</t>
  </si>
  <si>
    <t>Gislason-Murray</t>
  </si>
  <si>
    <t>MA</t>
  </si>
  <si>
    <t>Franecki, Gislason and Upton</t>
  </si>
  <si>
    <t>Marks-Abernathy</t>
  </si>
  <si>
    <t>Lockman, Kshlerin and Hintz</t>
  </si>
  <si>
    <t>TM</t>
  </si>
  <si>
    <t>Flatley-Rohan</t>
  </si>
  <si>
    <t>TH</t>
  </si>
  <si>
    <t>Blick-Shields</t>
  </si>
  <si>
    <t>Borer, Collins and Macejkovic</t>
  </si>
  <si>
    <t>Gorczany Inc</t>
  </si>
  <si>
    <t>Luettgen and Sons</t>
  </si>
  <si>
    <t>Leannon Group</t>
  </si>
  <si>
    <t>Torphy, Lynch and Breitenberg</t>
  </si>
  <si>
    <t>Carter, Bauch and Lueilwitz</t>
  </si>
  <si>
    <t>Dooley Inc</t>
  </si>
  <si>
    <t>ZW</t>
  </si>
  <si>
    <t>Kshlerin-Langosh</t>
  </si>
  <si>
    <t>Greenfelder-Hauck</t>
  </si>
  <si>
    <t>Gusikowski, Hermiston and Flatley</t>
  </si>
  <si>
    <t>Runolfsdottir, Schaefer and Mohr</t>
  </si>
  <si>
    <t>Buckridge, Stark and Jacobson</t>
  </si>
  <si>
    <t>Haag-Shields</t>
  </si>
  <si>
    <t>Runte, Douglas and Beahan</t>
  </si>
  <si>
    <t>Mante Group</t>
  </si>
  <si>
    <t>Schinner LLC</t>
  </si>
  <si>
    <t>Cassin-Hyatt</t>
  </si>
  <si>
    <t>Bahringer-Goodwin</t>
  </si>
  <si>
    <t>HN</t>
  </si>
  <si>
    <t>Carroll LLC</t>
  </si>
  <si>
    <t>Reinger-Dibbert</t>
  </si>
  <si>
    <t>Yundt, Ryan and Runte</t>
  </si>
  <si>
    <t>SY</t>
  </si>
  <si>
    <t>Leffler and Sons</t>
  </si>
  <si>
    <t>GY</t>
  </si>
  <si>
    <t>Barrows-Morissette</t>
  </si>
  <si>
    <t>Johns, Pacocha and Moen</t>
  </si>
  <si>
    <t>RS</t>
  </si>
  <si>
    <t>Kuhic-Kessler</t>
  </si>
  <si>
    <t>Kohler-Douglas</t>
  </si>
  <si>
    <t>Veum LLC</t>
  </si>
  <si>
    <t>Mitchell-Jakubowski</t>
  </si>
  <si>
    <t>BJ</t>
  </si>
  <si>
    <t>Halvorson, Zemlak and Klocko</t>
  </si>
  <si>
    <t>Schumm, Waelchi and Greenholt</t>
  </si>
  <si>
    <t>O'Conner-Predovic</t>
  </si>
  <si>
    <t>Jenkins Group</t>
  </si>
  <si>
    <t>Boyer Inc</t>
  </si>
  <si>
    <t>Langosh-Weissnat</t>
  </si>
  <si>
    <t>Stoltenberg, Stokes and Doyle</t>
  </si>
  <si>
    <t>SD</t>
  </si>
  <si>
    <t>Bradtke-Runte</t>
  </si>
  <si>
    <t>Denesik, Homenick and Howe</t>
  </si>
  <si>
    <t>Schmitt Group</t>
  </si>
  <si>
    <t>Corwin, Nitzsche and Jerde</t>
  </si>
  <si>
    <t>Heathcote, O'Connell and Metz</t>
  </si>
  <si>
    <t>Runte-Ratke</t>
  </si>
  <si>
    <t>Okuneva and Sons</t>
  </si>
  <si>
    <t>Boyle, Gottlieb and Fay</t>
  </si>
  <si>
    <t>Bode, Schroeder and Powlowski</t>
  </si>
  <si>
    <t>Grant-Grimes</t>
  </si>
  <si>
    <t>Herman Group</t>
  </si>
  <si>
    <t>Kuhlman-Waelchi</t>
  </si>
  <si>
    <t>Waters Inc</t>
  </si>
  <si>
    <t>HR</t>
  </si>
  <si>
    <t>Williamson-Abbott</t>
  </si>
  <si>
    <t>MZ</t>
  </si>
  <si>
    <t>Ritchie, Friesen and Jacobs</t>
  </si>
  <si>
    <t>Hermann, Huel and Wintheiser</t>
  </si>
  <si>
    <t>Halvorson, Nicolas and Mann</t>
  </si>
  <si>
    <t>Leuschke-Hackett</t>
  </si>
  <si>
    <t>Cremin-Von</t>
  </si>
  <si>
    <t>Aufderhar, Klein and Kiehn</t>
  </si>
  <si>
    <t>Keeling LLC</t>
  </si>
  <si>
    <t>McGlynn, Sanford and Weissnat</t>
  </si>
  <si>
    <t>Marquardt-Grady</t>
  </si>
  <si>
    <t>Nader, Abbott and Lakin</t>
  </si>
  <si>
    <t>Hagenes, Kris and Jakubowski</t>
  </si>
  <si>
    <t>Toy Inc</t>
  </si>
  <si>
    <t>BO</t>
  </si>
  <si>
    <t>Hermann-Ryan</t>
  </si>
  <si>
    <t>Kling, Streich and Windler</t>
  </si>
  <si>
    <t>Reynolds-Mayer</t>
  </si>
  <si>
    <t>Gottlieb, Lowe and Shields</t>
  </si>
  <si>
    <t>West-Gutmann</t>
  </si>
  <si>
    <t>UA</t>
  </si>
  <si>
    <t>Russel and Sons</t>
  </si>
  <si>
    <t>Shanahan and Sons</t>
  </si>
  <si>
    <t>Terry-Lesch</t>
  </si>
  <si>
    <t>Tromp Group</t>
  </si>
  <si>
    <t>O'Kon and Sons</t>
  </si>
  <si>
    <t>Kirlin-Hilll</t>
  </si>
  <si>
    <t>Hartmann Inc</t>
  </si>
  <si>
    <t>Hagenes-Baumbach</t>
  </si>
  <si>
    <t>Hintz-Von</t>
  </si>
  <si>
    <t>Haley and Sons</t>
  </si>
  <si>
    <t>Cassin, Bosco and Mills</t>
  </si>
  <si>
    <t>Jacobs, Cremin and Schultz</t>
  </si>
  <si>
    <t>Dooley Group</t>
  </si>
  <si>
    <t>Roob Inc</t>
  </si>
  <si>
    <t>Bode-Lehner</t>
  </si>
  <si>
    <t>Schaden Group</t>
  </si>
  <si>
    <t>Cruickshank Inc</t>
  </si>
  <si>
    <t>Goodwin-Halvorson</t>
  </si>
  <si>
    <t>Price-McGlynn</t>
  </si>
  <si>
    <t>TN</t>
  </si>
  <si>
    <t>Hermiston Inc</t>
  </si>
  <si>
    <t>Bailey Inc</t>
  </si>
  <si>
    <t>Bogisich-Ortiz</t>
  </si>
  <si>
    <t>IE</t>
  </si>
  <si>
    <t>Carter-Corwin</t>
  </si>
  <si>
    <t>Rippin, Wehner and Cole</t>
  </si>
  <si>
    <t>Wolff LLC</t>
  </si>
  <si>
    <t>Cremin, Cummings and Kuhn</t>
  </si>
  <si>
    <t>Jast Group</t>
  </si>
  <si>
    <t>Little, Heidenreich and Weissnat</t>
  </si>
  <si>
    <t>Fahey Group</t>
  </si>
  <si>
    <t>Gutkowski-Batz</t>
  </si>
  <si>
    <t>UY</t>
  </si>
  <si>
    <t>Bernier, King and Jenkins</t>
  </si>
  <si>
    <t>Yundt-Glover</t>
  </si>
  <si>
    <t>Hegmann-Bailey</t>
  </si>
  <si>
    <t>West, Leannon and Dooley</t>
  </si>
  <si>
    <t>Fahey, Casper and VonRueden</t>
  </si>
  <si>
    <t>Von-Ruecker</t>
  </si>
  <si>
    <t>Pagac-Hansen</t>
  </si>
  <si>
    <t>AM</t>
  </si>
  <si>
    <t>Mitchell, Reilly and Reichel</t>
  </si>
  <si>
    <t>Prosacco-Reichert</t>
  </si>
  <si>
    <t>Sauer, Bruen and Bogisich</t>
  </si>
  <si>
    <t>Hickle-Cummerata</t>
  </si>
  <si>
    <t>Block Inc</t>
  </si>
  <si>
    <t>Steuber-Stamm</t>
  </si>
  <si>
    <t>Weber Inc</t>
  </si>
  <si>
    <t>Murphy, Homenick and Larson</t>
  </si>
  <si>
    <t>Ullrich, Mueller and Schowalter</t>
  </si>
  <si>
    <t>Lockman-Koepp</t>
  </si>
  <si>
    <t>VE</t>
  </si>
  <si>
    <t>McLaughlin-McCullough</t>
  </si>
  <si>
    <t>GT</t>
  </si>
  <si>
    <t>Nitzsche and Sons</t>
  </si>
  <si>
    <t>Hoppe, Frami and Windler</t>
  </si>
  <si>
    <t>Mann, Hackett and Tremblay</t>
  </si>
  <si>
    <t>CO</t>
  </si>
  <si>
    <t>Prosacco and Sons</t>
  </si>
  <si>
    <t>NA</t>
  </si>
  <si>
    <t>Mraz-Rogahn</t>
  </si>
  <si>
    <t>SA</t>
  </si>
  <si>
    <t>Larkin LLC</t>
  </si>
  <si>
    <t>Wiegand-Mueller</t>
  </si>
  <si>
    <t>Schulist-Prohaska</t>
  </si>
  <si>
    <t>NR</t>
  </si>
  <si>
    <t>Brown, Moen and Feeney</t>
  </si>
  <si>
    <t>Mraz-Huels</t>
  </si>
  <si>
    <t>Jakubowski-Gibson</t>
  </si>
  <si>
    <t>Zboncak-Hammes</t>
  </si>
  <si>
    <t>Welch, Wintheiser and Durgan</t>
  </si>
  <si>
    <t>Runolfsson LLC</t>
  </si>
  <si>
    <t>Zemlak, Hessel and Romaguera</t>
  </si>
  <si>
    <t>Sipes-Boyle</t>
  </si>
  <si>
    <t>Lockman-Kemmer</t>
  </si>
  <si>
    <t>Jenkins LLC</t>
  </si>
  <si>
    <t>MY</t>
  </si>
  <si>
    <t>Frami, Rutherford and Osinski</t>
  </si>
  <si>
    <t>Mayert, Schultz and Gutkowski</t>
  </si>
  <si>
    <t>AL</t>
  </si>
  <si>
    <t>Langosh, West and Hilpert</t>
  </si>
  <si>
    <t>NO</t>
  </si>
  <si>
    <t>Luettgen-Gutmann</t>
  </si>
  <si>
    <t>Green-Ankunding</t>
  </si>
  <si>
    <t>Oberbrunner-White</t>
  </si>
  <si>
    <t>Thiel Group</t>
  </si>
  <si>
    <t>Kozey, Jacobson and Stoltenberg</t>
  </si>
  <si>
    <t>Flatley, Quitzon and Schinner</t>
  </si>
  <si>
    <t>Roob, Wilkinson and Lynch</t>
  </si>
  <si>
    <t>Bode, Morar and Marquardt</t>
  </si>
  <si>
    <t>Goldner-Smitham</t>
  </si>
  <si>
    <t>GQ</t>
  </si>
  <si>
    <t>Bradtke-Bashirian</t>
  </si>
  <si>
    <t>Legros, Zemlak and Pfannerstill</t>
  </si>
  <si>
    <t>Feest, Bartoletti and Hartmann</t>
  </si>
  <si>
    <t>Monahan-Schowalter</t>
  </si>
  <si>
    <t>Reichert LLC</t>
  </si>
  <si>
    <t>Wiza, Stehr and Sauer</t>
  </si>
  <si>
    <t>Russel, Jacobs and Gusikowski</t>
  </si>
  <si>
    <t>McCullough, Little and Anderson</t>
  </si>
  <si>
    <t>Nader Inc</t>
  </si>
  <si>
    <t>Bartell, Hammes and Flatley</t>
  </si>
  <si>
    <t>Roberts, Tillman and Osinski</t>
  </si>
  <si>
    <t>MD</t>
  </si>
  <si>
    <t>Howell, Jones and Donnelly</t>
  </si>
  <si>
    <t>MV</t>
  </si>
  <si>
    <t>Marvin and Sons</t>
  </si>
  <si>
    <t>Boehm, Mayer and Mayer</t>
  </si>
  <si>
    <t>Schaefer-Koepp</t>
  </si>
  <si>
    <t>Fadel, Kutch and Schmidt</t>
  </si>
  <si>
    <t>Rowe Inc</t>
  </si>
  <si>
    <t>Berge, Medhurst and Lakin</t>
  </si>
  <si>
    <t>Becker-Reichert</t>
  </si>
  <si>
    <t>Batz, Lakin and Kozey</t>
  </si>
  <si>
    <t>GB</t>
  </si>
  <si>
    <t>Ferry, Jones and Carroll</t>
  </si>
  <si>
    <t>Haag-Strosin</t>
  </si>
  <si>
    <t>Upton, Swaniawski and Becker</t>
  </si>
  <si>
    <t>Deckow, Balistreri and Predovic</t>
  </si>
  <si>
    <t>Dooley-McDermott</t>
  </si>
  <si>
    <t>Kuhn-Kling</t>
  </si>
  <si>
    <t>Bogan-Bartell</t>
  </si>
  <si>
    <t>Hudson-Fahey</t>
  </si>
  <si>
    <t>Hintz-Sanford</t>
  </si>
  <si>
    <t>Hahn, Hane and Olson</t>
  </si>
  <si>
    <t>Beier-Howe</t>
  </si>
  <si>
    <t>Marvin-Kuhic</t>
  </si>
  <si>
    <t>Rosenbaum-Schneider</t>
  </si>
  <si>
    <t>Wisoky, Becker and Ward</t>
  </si>
  <si>
    <t>Wisoky, Schroeder and Kulas</t>
  </si>
  <si>
    <t>Wuckert-Connelly</t>
  </si>
  <si>
    <t>Stehr LLC</t>
  </si>
  <si>
    <t>Zemlak, Feest and Bayer</t>
  </si>
  <si>
    <t>EC</t>
  </si>
  <si>
    <t>Zboncak-Rolfson</t>
  </si>
  <si>
    <t>McCullough Inc</t>
  </si>
  <si>
    <t>Pacocha, Waters and Hahn</t>
  </si>
  <si>
    <t>Farrell, Cummings and Hettinger</t>
  </si>
  <si>
    <t>Batz, Hodkiewicz and Gulgowski</t>
  </si>
  <si>
    <t>Daugherty-Ebert</t>
  </si>
  <si>
    <t>Stoltenberg-Walker</t>
  </si>
  <si>
    <t>EE</t>
  </si>
  <si>
    <t>Boyle, Wyman and Shanahan</t>
  </si>
  <si>
    <t>Kiehn LLC</t>
  </si>
  <si>
    <t>Graham LLC</t>
  </si>
  <si>
    <t>DK</t>
  </si>
  <si>
    <t>Heaney-Spinka</t>
  </si>
  <si>
    <t>Collier-Konopelski</t>
  </si>
  <si>
    <t>Herzog Group</t>
  </si>
  <si>
    <t>Schaden-Hamill</t>
  </si>
  <si>
    <t>Cummings and Sons</t>
  </si>
  <si>
    <t>Rutherford-Yost</t>
  </si>
  <si>
    <t>MN</t>
  </si>
  <si>
    <t>Gutmann, Grimes and Sawayn</t>
  </si>
  <si>
    <t>Leffler-Howell</t>
  </si>
  <si>
    <t>Davis, Ruecker and Hessel</t>
  </si>
  <si>
    <t>Donnelly-Raynor</t>
  </si>
  <si>
    <t>Gottlieb LLC</t>
  </si>
  <si>
    <t>TZ</t>
  </si>
  <si>
    <t>Adams, Hudson and Bechtelar</t>
  </si>
  <si>
    <t>Veum Group</t>
  </si>
  <si>
    <t>Renner, Lynch and Bashirian</t>
  </si>
  <si>
    <t>MG</t>
  </si>
  <si>
    <t>Collier, Rath and West</t>
  </si>
  <si>
    <t>NL</t>
  </si>
  <si>
    <t>Huel Inc</t>
  </si>
  <si>
    <t>Glover, Kihn and West</t>
  </si>
  <si>
    <t>Swaniawski-Nitzsche</t>
  </si>
  <si>
    <t>Ernser-Aufderhar</t>
  </si>
  <si>
    <t>Jones Inc</t>
  </si>
  <si>
    <t>Fritsch Inc</t>
  </si>
  <si>
    <t>Emmerich-Beatty</t>
  </si>
  <si>
    <t>Effertz Inc</t>
  </si>
  <si>
    <t>Ledner-Lakin</t>
  </si>
  <si>
    <t>Moore-Hayes</t>
  </si>
  <si>
    <t>Mraz-Kohler</t>
  </si>
  <si>
    <t>Franecki Inc</t>
  </si>
  <si>
    <t>Kris-Quigley</t>
  </si>
  <si>
    <t>Hagenes-Schaden</t>
  </si>
  <si>
    <t>Marvin-McKenzie</t>
  </si>
  <si>
    <t>Rogahn Inc</t>
  </si>
  <si>
    <t>Baumbach-Barton</t>
  </si>
  <si>
    <t>Gerhold, Thiel and Mitchell</t>
  </si>
  <si>
    <t>Satterfield, Keeling and Rosenbaum</t>
  </si>
  <si>
    <t>Kirlin and Sons</t>
  </si>
  <si>
    <t>Doyle-Predovic</t>
  </si>
  <si>
    <t>Prosacco, McDermott and Dietrich</t>
  </si>
  <si>
    <t>Macejkovic LLC</t>
  </si>
  <si>
    <t>Langosh Group</t>
  </si>
  <si>
    <t>Gutkowski-Rippin</t>
  </si>
  <si>
    <t>Oberbrunner and Sons</t>
  </si>
  <si>
    <t>Breitenberg and Sons</t>
  </si>
  <si>
    <t>Blanda and Sons</t>
  </si>
  <si>
    <t>Goodwin-Dach</t>
  </si>
  <si>
    <t>Keebler Group</t>
  </si>
  <si>
    <t>Harris, Grady and Pacocha</t>
  </si>
  <si>
    <t>Kulas-Larkin</t>
  </si>
  <si>
    <t>BD</t>
  </si>
  <si>
    <t>Weissnat, Lesch and Beier</t>
  </si>
  <si>
    <t>Brown, Nienow and Homenick</t>
  </si>
  <si>
    <t>Block and Sons</t>
  </si>
  <si>
    <t>Davis, Hickle and Larkin</t>
  </si>
  <si>
    <t>Von, Dietrich and Altenwerth</t>
  </si>
  <si>
    <t>O'Keefe-Smitham</t>
  </si>
  <si>
    <t>Quigley-Medhurst</t>
  </si>
  <si>
    <t>Gottlieb-Koch</t>
  </si>
  <si>
    <t>NG</t>
  </si>
  <si>
    <t>Stark, Farrell and Mante</t>
  </si>
  <si>
    <t>Mraz-Goldner</t>
  </si>
  <si>
    <t>Kulas, Carroll and Erdman</t>
  </si>
  <si>
    <t>Botsford, Schuster and Hane</t>
  </si>
  <si>
    <t>Harvey Inc</t>
  </si>
  <si>
    <t>Schroeder LLC</t>
  </si>
  <si>
    <t>Johns, Johnson and Lemke</t>
  </si>
  <si>
    <t>Kassulke and Sons</t>
  </si>
  <si>
    <t>KM</t>
  </si>
  <si>
    <t>Lowe LLC</t>
  </si>
  <si>
    <t>Lindgren, Harvey and Dooley</t>
  </si>
  <si>
    <t>Baumbach, Boyle and Williamson</t>
  </si>
  <si>
    <t>Klein Group</t>
  </si>
  <si>
    <t>Jast Inc</t>
  </si>
  <si>
    <t>Feil-Borer</t>
  </si>
  <si>
    <t>HT</t>
  </si>
  <si>
    <t>Lynch Group</t>
  </si>
  <si>
    <t>Mante LLC</t>
  </si>
  <si>
    <t>Kerluke-Swift</t>
  </si>
  <si>
    <t>Hodkiewicz, Price and Bruen</t>
  </si>
  <si>
    <t>Dicki-Gulgowski</t>
  </si>
  <si>
    <t>Frami-Morissette</t>
  </si>
  <si>
    <t>Steuber Group</t>
  </si>
  <si>
    <t>Simonis-Ledner</t>
  </si>
  <si>
    <t>Kessler-Will</t>
  </si>
  <si>
    <t>Reichel-Bosco</t>
  </si>
  <si>
    <t>Vandervort-Blick</t>
  </si>
  <si>
    <t>Shields and Sons</t>
  </si>
  <si>
    <t>Zemlak LLC</t>
  </si>
  <si>
    <t>Erdman-Wiza</t>
  </si>
  <si>
    <t>Cummerata Group</t>
  </si>
  <si>
    <t>Fay Group</t>
  </si>
  <si>
    <t>Rau, McLaughlin and Kreiger</t>
  </si>
  <si>
    <t>Kub-Abbott</t>
  </si>
  <si>
    <t>Grant, O'Connell and Altenwerth</t>
  </si>
  <si>
    <t>Yost, Moen and Mann</t>
  </si>
  <si>
    <t>IR</t>
  </si>
  <si>
    <t>Schoen Inc</t>
  </si>
  <si>
    <t>Grimes Group</t>
  </si>
  <si>
    <t>Brekke-Ondricka</t>
  </si>
  <si>
    <t>Champlin, Bartell and Homenick</t>
  </si>
  <si>
    <t>MT</t>
  </si>
  <si>
    <t>Veum, Emard and Botsford</t>
  </si>
  <si>
    <t>Mueller, Mosciski and DuBuque</t>
  </si>
  <si>
    <t>Kassulke Inc</t>
  </si>
  <si>
    <t>QA</t>
  </si>
  <si>
    <t>Wiza, DuBuque and Dare</t>
  </si>
  <si>
    <t>Toy, Crooks and Dickens</t>
  </si>
  <si>
    <t>Gleason Inc</t>
  </si>
  <si>
    <t>Fay-Huel</t>
  </si>
  <si>
    <t>Schaefer and Sons</t>
  </si>
  <si>
    <t>CL</t>
  </si>
  <si>
    <t>Jaskolski and Sons</t>
  </si>
  <si>
    <t>Langosh Inc</t>
  </si>
  <si>
    <t>Bednar Inc</t>
  </si>
  <si>
    <t>Gottlieb-Harris</t>
  </si>
  <si>
    <t>Rice Inc</t>
  </si>
  <si>
    <t>Lueilwitz Group</t>
  </si>
  <si>
    <t>Price and Sons</t>
  </si>
  <si>
    <t>Mraz Inc</t>
  </si>
  <si>
    <t>KZ</t>
  </si>
  <si>
    <t>Powlowski, Corwin and Haley</t>
  </si>
  <si>
    <t>Waters and Sons</t>
  </si>
  <si>
    <t>Koch Group</t>
  </si>
  <si>
    <t>Fadel, Davis and Ebert</t>
  </si>
  <si>
    <t>SV</t>
  </si>
  <si>
    <t>Predovic LLC</t>
  </si>
  <si>
    <t>Schaefer, Parisian and Ondricka</t>
  </si>
  <si>
    <t>Marks, Bergstrom and Klocko</t>
  </si>
  <si>
    <t>Hagenes, Wolf and Batz</t>
  </si>
  <si>
    <t>Williamson Inc</t>
  </si>
  <si>
    <t>CV</t>
  </si>
  <si>
    <t>Rogahn LLC</t>
  </si>
  <si>
    <t>Reichert and Sons</t>
  </si>
  <si>
    <t>Bergnaum LLC</t>
  </si>
  <si>
    <t>Stoltenberg-Schoen</t>
  </si>
  <si>
    <t>Bernier Inc</t>
  </si>
  <si>
    <t>Hills-Walter</t>
  </si>
  <si>
    <t>Roberts-Funk</t>
  </si>
  <si>
    <t>Gorczany Group</t>
  </si>
  <si>
    <t>Abshire Inc</t>
  </si>
  <si>
    <t>Kessler-Becker</t>
  </si>
  <si>
    <t>Bernhard-Grady</t>
  </si>
  <si>
    <t>Sporer Inc</t>
  </si>
  <si>
    <t>Friesen LLC</t>
  </si>
  <si>
    <t>Schoen and Sons</t>
  </si>
  <si>
    <t>NI</t>
  </si>
  <si>
    <t>Bernier-Rath</t>
  </si>
  <si>
    <t>Fahey, Brekke and Predovic</t>
  </si>
  <si>
    <t>Towne Group</t>
  </si>
  <si>
    <t>O'Kon, Lockman and Batz</t>
  </si>
  <si>
    <t>Barton LLC</t>
  </si>
  <si>
    <t>Bernhard-Labadie</t>
  </si>
  <si>
    <t>Stamm-Kassulke</t>
  </si>
  <si>
    <t>Schneider, Bahringer and Mann</t>
  </si>
  <si>
    <t>Nicolas, Zemlak and Considine</t>
  </si>
  <si>
    <t>Shanahan Inc</t>
  </si>
  <si>
    <t>Muller, Friesen and Jerde</t>
  </si>
  <si>
    <t>SI</t>
  </si>
  <si>
    <t>Schaefer Group</t>
  </si>
  <si>
    <t>DJ</t>
  </si>
  <si>
    <t>Bosco, Funk and Roob</t>
  </si>
  <si>
    <t>Upton, Wunsch and Doyle</t>
  </si>
  <si>
    <t>Kutch-Yundt</t>
  </si>
  <si>
    <t>Blanda-Douglas</t>
  </si>
  <si>
    <t>Williamson-Johnston</t>
  </si>
  <si>
    <t>Blick, Rolfson and Marvin</t>
  </si>
  <si>
    <t>Bashirian Group</t>
  </si>
  <si>
    <t>Stroman, Lowe and Marquardt</t>
  </si>
  <si>
    <t>Gerlach Group</t>
  </si>
  <si>
    <t>Lakin, Mills and Turcotte</t>
  </si>
  <si>
    <t>Jacobi, Gottlieb and Volkman</t>
  </si>
  <si>
    <t>Sauer LLC</t>
  </si>
  <si>
    <t>LV</t>
  </si>
  <si>
    <t>Carroll and Sons</t>
  </si>
  <si>
    <t>Boyle-Jast</t>
  </si>
  <si>
    <t>Hamill, Bednar and Green</t>
  </si>
  <si>
    <t>Krajcik-Roberts</t>
  </si>
  <si>
    <t>Dach-Nolan</t>
  </si>
  <si>
    <t>Schumm LLC</t>
  </si>
  <si>
    <t>Boehm, Quitzon and Wunsch</t>
  </si>
  <si>
    <t>Hansen Group</t>
  </si>
  <si>
    <t>Stanton, Williamson and Orn</t>
  </si>
  <si>
    <t>Emmerich-Davis</t>
  </si>
  <si>
    <t>Kilback-Kemmer</t>
  </si>
  <si>
    <t>Walter, Jacobi and Lang</t>
  </si>
  <si>
    <t>Barton Inc</t>
  </si>
  <si>
    <t>Collins, Dooley and Herman</t>
  </si>
  <si>
    <t>Cruickshank and Sons</t>
  </si>
  <si>
    <t>Durgan, Mohr and Batz</t>
  </si>
  <si>
    <t>Jacobson-Bins</t>
  </si>
  <si>
    <t>Flatley-Blick</t>
  </si>
  <si>
    <t>Schuppe, Thompson and Braun</t>
  </si>
  <si>
    <t>AS</t>
  </si>
  <si>
    <t>Reilly and Sons</t>
  </si>
  <si>
    <t>Jakubowski and Sons</t>
  </si>
  <si>
    <t>BW</t>
  </si>
  <si>
    <t>Dickens-Harris</t>
  </si>
  <si>
    <t>Friesen-Bradtke</t>
  </si>
  <si>
    <t>Williamson-Hilll</t>
  </si>
  <si>
    <t>SO</t>
  </si>
  <si>
    <t>Cormier Group</t>
  </si>
  <si>
    <t>Goldner-Dare</t>
  </si>
  <si>
    <t>Walker-Marvin</t>
  </si>
  <si>
    <t>Howell Group</t>
  </si>
  <si>
    <t>Wisoky Inc</t>
  </si>
  <si>
    <t>Hoeger, Heller and Effertz</t>
  </si>
  <si>
    <t>Towne and Sons</t>
  </si>
  <si>
    <t>Nader, Lockman and Lueilwitz</t>
  </si>
  <si>
    <t>LT</t>
  </si>
  <si>
    <t>Lind Inc</t>
  </si>
  <si>
    <t>Feeney-Beier</t>
  </si>
  <si>
    <t>Hegmann-Metz</t>
  </si>
  <si>
    <t>Lemke-Brown</t>
  </si>
  <si>
    <t>Green, Schamberger and Gottlieb</t>
  </si>
  <si>
    <t>Franecki-Crona</t>
  </si>
  <si>
    <t>Hermann and Sons</t>
  </si>
  <si>
    <t>Durgan-Swift</t>
  </si>
  <si>
    <t>Hyatt-Brown</t>
  </si>
  <si>
    <t>Considine, Rath and Rolfson</t>
  </si>
  <si>
    <t>Parisian Group</t>
  </si>
  <si>
    <t>Smith, Pouros and Crooks</t>
  </si>
  <si>
    <t>Kuphal, O'Conner and Mayer</t>
  </si>
  <si>
    <t>Hessel, Kshlerin and Krajcik</t>
  </si>
  <si>
    <t>Thiel LLC</t>
  </si>
  <si>
    <t>McKenzie-Haag</t>
  </si>
  <si>
    <t>Toy-DuBuque</t>
  </si>
  <si>
    <t>Collins Group</t>
  </si>
  <si>
    <t>Bogan-Murray</t>
  </si>
  <si>
    <t>Kutch-Leffler</t>
  </si>
  <si>
    <t>Lowe, Hudson and Baumbach</t>
  </si>
  <si>
    <t>Rogahn, Hessel and Turner</t>
  </si>
  <si>
    <t>Stokes and Sons</t>
  </si>
  <si>
    <t>Schiller, Zemlak and Luettgen</t>
  </si>
  <si>
    <t>King Inc</t>
  </si>
  <si>
    <t>IT</t>
  </si>
  <si>
    <t>O'Connell, Okuneva and Wolf</t>
  </si>
  <si>
    <t>Mills, Balistreri and Gutmann</t>
  </si>
  <si>
    <t>Johns Group</t>
  </si>
  <si>
    <t>GA</t>
  </si>
  <si>
    <t>Jast-Crist</t>
  </si>
  <si>
    <t>Gorczany, Mosciski and Schmeler</t>
  </si>
  <si>
    <t>Heidenreich, Denesik and Morar</t>
  </si>
  <si>
    <t>Kuhn, Connelly and Zboncak</t>
  </si>
  <si>
    <t>White, Nitzsche and Howe</t>
  </si>
  <si>
    <t>Douglas LLC</t>
  </si>
  <si>
    <t>Feil-Kertzmann</t>
  </si>
  <si>
    <t>Labadie, Gerhold and Predovic</t>
  </si>
  <si>
    <t>Bergnaum-Thiel</t>
  </si>
  <si>
    <t>Erdman LLC</t>
  </si>
  <si>
    <t>Nicolas and Sons</t>
  </si>
  <si>
    <t>Pagac, Hettinger and Lubowitz</t>
  </si>
  <si>
    <t>Walsh, Frami and Waters</t>
  </si>
  <si>
    <t>Feest, Hoppe and Barton</t>
  </si>
  <si>
    <t>Stamm, Cartwright and Volkman</t>
  </si>
  <si>
    <t>Spinka, O'Kon and Legros</t>
  </si>
  <si>
    <t>Ankunding, Ryan and Spinka</t>
  </si>
  <si>
    <t>Beatty, Cassin and Wiegand</t>
  </si>
  <si>
    <t>Christiansen-Fadel</t>
  </si>
  <si>
    <t>CF</t>
  </si>
  <si>
    <t>Altenwerth, D'Amore and Veum</t>
  </si>
  <si>
    <t>Keebler, Bailey and Veum</t>
  </si>
  <si>
    <t>Kshlerin-Ortiz</t>
  </si>
  <si>
    <t>Daniel-Douglas</t>
  </si>
  <si>
    <t>Torphy, Feest and Hermiston</t>
  </si>
  <si>
    <t>AF</t>
  </si>
  <si>
    <t>Powlowski, Abshire and Schroeder</t>
  </si>
  <si>
    <t>Watsica-Reilly</t>
  </si>
  <si>
    <t>CI</t>
  </si>
  <si>
    <t>Altenwerth-MacGyver</t>
  </si>
  <si>
    <t>Lynch and Sons</t>
  </si>
  <si>
    <t>Ebert-Nolan</t>
  </si>
  <si>
    <t>Purdy-Bechtelar</t>
  </si>
  <si>
    <t>LA</t>
  </si>
  <si>
    <t>Schuster-Halvorson</t>
  </si>
  <si>
    <t>Sanford, Wyman and Boehm</t>
  </si>
  <si>
    <t>Wiegand, Hills and Dickinson</t>
  </si>
  <si>
    <t>Lubowitz, Ankunding and Rutherford</t>
  </si>
  <si>
    <t>Harber and Sons</t>
  </si>
  <si>
    <t>Glover LLC</t>
  </si>
  <si>
    <t>Zemlak-Schaden</t>
  </si>
  <si>
    <t>Greenholt-Hahn</t>
  </si>
  <si>
    <t>West, Dibbert and Spinka</t>
  </si>
  <si>
    <t>Douglas, Murray and Metz</t>
  </si>
  <si>
    <t>Hettinger-Orn</t>
  </si>
  <si>
    <t>Glover Group</t>
  </si>
  <si>
    <t>PK</t>
  </si>
  <si>
    <t>Jones and Sons</t>
  </si>
  <si>
    <t>Donnelly-Borer</t>
  </si>
  <si>
    <t>Feest Group</t>
  </si>
  <si>
    <t>Schowalter-Will</t>
  </si>
  <si>
    <t>Torphy and Sons</t>
  </si>
  <si>
    <t>Bartell-Denesik</t>
  </si>
  <si>
    <t>Witting, McDermott and Weimann</t>
  </si>
  <si>
    <t>Wyman-Labadie</t>
  </si>
  <si>
    <t>Carter LLC</t>
  </si>
  <si>
    <t>Quitzon-Lubowitz</t>
  </si>
  <si>
    <t>Gleichner, Prohaska and Nader</t>
  </si>
  <si>
    <t>IQ</t>
  </si>
  <si>
    <t>Witting-Larkin</t>
  </si>
  <si>
    <t>Nicolas-Daniel</t>
  </si>
  <si>
    <t>Willms Group</t>
  </si>
  <si>
    <t>Erdman-Mayert</t>
  </si>
  <si>
    <t>Swift, Moore and Luettgen</t>
  </si>
  <si>
    <t>Huels, Pfeffer and Hammes</t>
  </si>
  <si>
    <t>CR</t>
  </si>
  <si>
    <t>Casper, Turner and Waelchi</t>
  </si>
  <si>
    <t>Buckridge, Ullrich and Franecki</t>
  </si>
  <si>
    <t>Romaguera, Zemlak and Durgan</t>
  </si>
  <si>
    <t>YE</t>
  </si>
  <si>
    <t>Murphy Inc</t>
  </si>
  <si>
    <t>Morissette Inc</t>
  </si>
  <si>
    <t>Goodwin and Sons</t>
  </si>
  <si>
    <t>Stiedemann, Torphy and Jacobs</t>
  </si>
  <si>
    <t>Smith-Stamm</t>
  </si>
  <si>
    <t>Wunsch, Fahey and Lueilwitz</t>
  </si>
  <si>
    <t>Tromp and Sons</t>
  </si>
  <si>
    <t>Howe, DuBuque and Hermann</t>
  </si>
  <si>
    <t>Gerlach Inc</t>
  </si>
  <si>
    <t>Jerde, Reinger and Nitzsche</t>
  </si>
  <si>
    <t>Douglas-Gibson</t>
  </si>
  <si>
    <t>Huels, Nienow and Goldner</t>
  </si>
  <si>
    <t>Marquardt-Bogisich</t>
  </si>
  <si>
    <t>Hudson, Quitzon and Veum</t>
  </si>
  <si>
    <t>Hackett and Sons</t>
  </si>
  <si>
    <t>LU</t>
  </si>
  <si>
    <t>Senger, Douglas and Kovacek</t>
  </si>
  <si>
    <t>Klocko Inc</t>
  </si>
  <si>
    <t>Purdy and Sons</t>
  </si>
  <si>
    <t>Hilpert, Pouros and Champlin</t>
  </si>
  <si>
    <t>Balistreri, Padberg and Corkery</t>
  </si>
  <si>
    <t>BA</t>
  </si>
  <si>
    <t>Connelly, Parker and Corwin</t>
  </si>
  <si>
    <t>Stanton, Fisher and Donnelly</t>
  </si>
  <si>
    <t>Smitham, Rice and Muller</t>
  </si>
  <si>
    <t>Donnelly, Bergnaum and Pagac</t>
  </si>
  <si>
    <t>Krajcik Inc</t>
  </si>
  <si>
    <t>Kulas-Reichel</t>
  </si>
  <si>
    <t>Rosenbaum-Barton</t>
  </si>
  <si>
    <t>Rippin LLC</t>
  </si>
  <si>
    <t>Hirthe Group</t>
  </si>
  <si>
    <t>GM</t>
  </si>
  <si>
    <t>Greenfelder-Dickens</t>
  </si>
  <si>
    <t>DuBuque and Sons</t>
  </si>
  <si>
    <t>Lemke Inc</t>
  </si>
  <si>
    <t>Blanda LLC</t>
  </si>
  <si>
    <t>Kirlin Inc</t>
  </si>
  <si>
    <t>Stracke-Spinka</t>
  </si>
  <si>
    <t>Weissnat, Hills and Prohaska</t>
  </si>
  <si>
    <t>Kerluke Group</t>
  </si>
  <si>
    <t>Douglas-Hammes</t>
  </si>
  <si>
    <t>Fritsch LLC</t>
  </si>
  <si>
    <t>Welch-Hansen</t>
  </si>
  <si>
    <t>Purdy-Metz</t>
  </si>
  <si>
    <t>Kshlerin, Effertz and Predovic</t>
  </si>
  <si>
    <t>Graham, Dietrich and Mayert</t>
  </si>
  <si>
    <t>Lesch, Cremin and Russel</t>
  </si>
  <si>
    <t>Maggio, Zulauf and Kirlin</t>
  </si>
  <si>
    <t>Parker-Gutkowski</t>
  </si>
  <si>
    <t>Ullrich, Abbott and Hodkiewicz</t>
  </si>
  <si>
    <t>Green-Thiel</t>
  </si>
  <si>
    <t>Yost Group</t>
  </si>
  <si>
    <t>Bradtke-Leannon</t>
  </si>
  <si>
    <t>Hermiston-Reynolds</t>
  </si>
  <si>
    <t>Quigley-Kuphal</t>
  </si>
  <si>
    <t>Spencer, Ernser and Sawayn</t>
  </si>
  <si>
    <t>Casper-Stracke</t>
  </si>
  <si>
    <t>Gulgowski LLC</t>
  </si>
  <si>
    <t>Miller, Lowe and Bins</t>
  </si>
  <si>
    <t>Stokes-Barton</t>
  </si>
  <si>
    <t>Wisoky, Kerluke and Kiehn</t>
  </si>
  <si>
    <t>Howe-Schaefer</t>
  </si>
  <si>
    <t>Hand Group</t>
  </si>
  <si>
    <t>Glover, Casper and Jacobi</t>
  </si>
  <si>
    <t>SN</t>
  </si>
  <si>
    <t>Erdman-Rogahn</t>
  </si>
  <si>
    <t>Daniel, Brekke and Prohaska</t>
  </si>
  <si>
    <t>Herman LLC</t>
  </si>
  <si>
    <t>Gerlach, Frami and Lesch</t>
  </si>
  <si>
    <t>West, Lynch and Daniel</t>
  </si>
  <si>
    <t>Stehr-Keeling</t>
  </si>
  <si>
    <t>Fritsch-Welch</t>
  </si>
  <si>
    <t>TD</t>
  </si>
  <si>
    <t>Halvorson, Leuschke and Ruecker</t>
  </si>
  <si>
    <t>BT</t>
  </si>
  <si>
    <t>Nader, Ernser and Mante</t>
  </si>
  <si>
    <t>Tromp, Will and Walsh</t>
  </si>
  <si>
    <t>Carroll Group</t>
  </si>
  <si>
    <t>Ferry, Price and McDermott</t>
  </si>
  <si>
    <t>Gleason, Fadel and Bauch</t>
  </si>
  <si>
    <t>Abbott Inc</t>
  </si>
  <si>
    <t>Kohler, Tromp and Vandervort</t>
  </si>
  <si>
    <t>Bogan and Sons</t>
  </si>
  <si>
    <t>Stark and Sons</t>
  </si>
  <si>
    <t>Gulgowski, Swaniawski and Johns</t>
  </si>
  <si>
    <t>Runte Group</t>
  </si>
  <si>
    <t>Osinski-D'Amore</t>
  </si>
  <si>
    <t>Murazik and Sons</t>
  </si>
  <si>
    <t>NP</t>
  </si>
  <si>
    <t>Hilpert Group</t>
  </si>
  <si>
    <t>Lubowitz, Boehm and Gottlieb</t>
  </si>
  <si>
    <t>Wolff Group</t>
  </si>
  <si>
    <t>Harvey Group</t>
  </si>
  <si>
    <t>Effertz, Schoen and Nienow</t>
  </si>
  <si>
    <t>Homenick LLC</t>
  </si>
  <si>
    <t>Gibson Inc</t>
  </si>
  <si>
    <t>Mueller and Sons</t>
  </si>
  <si>
    <t>Kertzmann, Weber and Roob</t>
  </si>
  <si>
    <t>Metz, Bogan and McDermott</t>
  </si>
  <si>
    <t>Ortiz, Hoeger and Hansen</t>
  </si>
  <si>
    <t>Becker Group</t>
  </si>
  <si>
    <t>Cremin Inc</t>
  </si>
  <si>
    <t>Adams-Brakus</t>
  </si>
  <si>
    <t>McGlynn, Fadel and Kerluke</t>
  </si>
  <si>
    <t>Ankunding LLC</t>
  </si>
  <si>
    <t>Christiansen-Langworth</t>
  </si>
  <si>
    <t>Keeling and Sons</t>
  </si>
  <si>
    <t>Cronin-Franecki</t>
  </si>
  <si>
    <t>Mante-Champlin</t>
  </si>
  <si>
    <t>Oberbrunner-Mann</t>
  </si>
  <si>
    <t>Leannon, Hammes and Runolfsson</t>
  </si>
  <si>
    <t>Ruecker LLC</t>
  </si>
  <si>
    <t>Huels, Wisoky and Harvey</t>
  </si>
  <si>
    <t>Murazik Inc</t>
  </si>
  <si>
    <t>Cremin-Toy</t>
  </si>
  <si>
    <t>Witting and Sons</t>
  </si>
  <si>
    <t>Metz-Larson</t>
  </si>
  <si>
    <t>Sauer-Howell</t>
  </si>
  <si>
    <t>Murray Group</t>
  </si>
  <si>
    <t>Skiles-Harris</t>
  </si>
  <si>
    <t>Larson, Jakubowski and Considine</t>
  </si>
  <si>
    <t>McLaughlin, Hoppe and Hintz</t>
  </si>
  <si>
    <t>KG</t>
  </si>
  <si>
    <t>Homenick and Sons</t>
  </si>
  <si>
    <t>Hayes-Gibson</t>
  </si>
  <si>
    <t>Jaskolski, Hand and Kulas</t>
  </si>
  <si>
    <t>McLaughlin, Quitzon and Mills</t>
  </si>
  <si>
    <t>McDermott-Bruen</t>
  </si>
  <si>
    <t>Kris, Kutch and Beer</t>
  </si>
  <si>
    <t>Hackett LLC</t>
  </si>
  <si>
    <t>Hermiston, Mante and Romaguera</t>
  </si>
  <si>
    <t>Zboncak and Sons</t>
  </si>
  <si>
    <t>Stamm-Sipes</t>
  </si>
  <si>
    <t>Wolff-Jakubowski</t>
  </si>
  <si>
    <t>Zulauf, Fritsch and Berge</t>
  </si>
  <si>
    <t>Veum and Sons</t>
  </si>
  <si>
    <t>Glover, Stokes and Daniel</t>
  </si>
  <si>
    <t>Hermiston, Smitham and Lynch</t>
  </si>
  <si>
    <t>Stracke-Reilly</t>
  </si>
  <si>
    <t>Schuppe-Yundt</t>
  </si>
  <si>
    <t>Fay LLC</t>
  </si>
  <si>
    <t>Cassin Inc</t>
  </si>
  <si>
    <t>Schultz-Kunde</t>
  </si>
  <si>
    <t>Ortiz-Greenholt</t>
  </si>
  <si>
    <t>Dare-Wilkinson</t>
  </si>
  <si>
    <t>Koepp LLC</t>
  </si>
  <si>
    <t>Abbott, Quigley and Jerde</t>
  </si>
  <si>
    <t>Davis, Fahey and Schinner</t>
  </si>
  <si>
    <t>Schuster Group</t>
  </si>
  <si>
    <t>Ondricka, Roob and Balistreri</t>
  </si>
  <si>
    <t>Glover-Walker</t>
  </si>
  <si>
    <t>LC</t>
  </si>
  <si>
    <t>Braun, Swaniawski and Wilderman</t>
  </si>
  <si>
    <t>Ondricka-Schulist</t>
  </si>
  <si>
    <t>Kshlerin-Hills</t>
  </si>
  <si>
    <t>Dietrich, Quigley and Lehner</t>
  </si>
  <si>
    <t>Lockman, White and Schmidt</t>
  </si>
  <si>
    <t>Kling-Johns</t>
  </si>
  <si>
    <t>Wilderman-Padberg</t>
  </si>
  <si>
    <t>Krajcik LLC</t>
  </si>
  <si>
    <t>Frami-Monahan</t>
  </si>
  <si>
    <t>Runolfsson Group</t>
  </si>
  <si>
    <t>Harris-Gorczany</t>
  </si>
  <si>
    <t>UZ</t>
  </si>
  <si>
    <t>Schuppe Group</t>
  </si>
  <si>
    <t>AZ</t>
  </si>
  <si>
    <t>Hudson-Pacocha</t>
  </si>
  <si>
    <t>Miller-Tremblay</t>
  </si>
  <si>
    <t>Bahringer Group</t>
  </si>
  <si>
    <t>Lehner, Baumbach and Considine</t>
  </si>
  <si>
    <t>Baumbach-Wuckert</t>
  </si>
  <si>
    <t>Fritsch, Fay and Douglas</t>
  </si>
  <si>
    <t>DuBuque LLC</t>
  </si>
  <si>
    <t>Trantow-Bednar</t>
  </si>
  <si>
    <t>Auer, Dare and Kris</t>
  </si>
  <si>
    <t>Volkman, Powlowski and Morar</t>
  </si>
  <si>
    <t>Metz and Sons</t>
  </si>
  <si>
    <t>Mohr-Herzog</t>
  </si>
  <si>
    <t>Crist-Zboncak</t>
  </si>
  <si>
    <t>LK</t>
  </si>
  <si>
    <t>Bode, Shields and Mayer</t>
  </si>
  <si>
    <t>Murphy, Rice and Emmerich</t>
  </si>
  <si>
    <t>Toy-Morar</t>
  </si>
  <si>
    <t>Bogisich, Heidenreich and Kling</t>
  </si>
  <si>
    <t>Emard-D'Amore</t>
  </si>
  <si>
    <t>Gibson LLC</t>
  </si>
  <si>
    <t>Hessel-Champlin</t>
  </si>
  <si>
    <t>Gibson, Brekke and Tillman</t>
  </si>
  <si>
    <t>Dietrich and Sons</t>
  </si>
  <si>
    <t>Sipes Group</t>
  </si>
  <si>
    <t>Davis and Sons</t>
  </si>
  <si>
    <t>Ebert, Connelly and Beier</t>
  </si>
  <si>
    <t>Metz-White</t>
  </si>
  <si>
    <t>Keeling-Greenholt</t>
  </si>
  <si>
    <t>Trantow, Smith and Tromp</t>
  </si>
  <si>
    <t>Pollich, Mayert and Skiles</t>
  </si>
  <si>
    <t>Paucek-Ebert</t>
  </si>
  <si>
    <t>Simonis-Lubowitz</t>
  </si>
  <si>
    <t>Skiles-Howe</t>
  </si>
  <si>
    <t>KP</t>
  </si>
  <si>
    <t>Shields Group</t>
  </si>
  <si>
    <t>Dicki, Beier and Parisian</t>
  </si>
  <si>
    <t>West-Boehm</t>
  </si>
  <si>
    <t>Medhurst, Zieme and Leffler</t>
  </si>
  <si>
    <t>Wolf-Glover</t>
  </si>
  <si>
    <t>Schaefer-Heller</t>
  </si>
  <si>
    <t>Jones LLC</t>
  </si>
  <si>
    <t>Schuppe, Kulas and Reynolds</t>
  </si>
  <si>
    <t>EG</t>
  </si>
  <si>
    <t>Conn-Maggio</t>
  </si>
  <si>
    <t>Hackett-Hoeger</t>
  </si>
  <si>
    <t>BN</t>
  </si>
  <si>
    <t>Kub, Hauck and Dooley</t>
  </si>
  <si>
    <t>Mitchell-Sauer</t>
  </si>
  <si>
    <t>Koelpin-VonRueden</t>
  </si>
  <si>
    <t>D'Amore-Torp</t>
  </si>
  <si>
    <t>Glover and Sons</t>
  </si>
  <si>
    <t>BS</t>
  </si>
  <si>
    <t>Hamill, Dibbert and Lebsack</t>
  </si>
  <si>
    <t>Ferry Group</t>
  </si>
  <si>
    <t>Abshire, Gislason and Stoltenberg</t>
  </si>
  <si>
    <t>VonRueden, Klein and Kassulke</t>
  </si>
  <si>
    <t>Weimann-Boyle</t>
  </si>
  <si>
    <t>Becker, Russel and Stroman</t>
  </si>
  <si>
    <t>Dickens, Halvorson and Hamill</t>
  </si>
  <si>
    <t>Morar-Deckow</t>
  </si>
  <si>
    <t>Hoeger, Erdman and Sanford</t>
  </si>
  <si>
    <t>Erdman Inc</t>
  </si>
  <si>
    <t>Kessler LLC</t>
  </si>
  <si>
    <t>Hodkiewicz-Kilback</t>
  </si>
  <si>
    <t>Zieme-Kovacek</t>
  </si>
  <si>
    <t>West Group</t>
  </si>
  <si>
    <t>Mante Inc</t>
  </si>
  <si>
    <t>Pfeffer-Dibbert</t>
  </si>
  <si>
    <t>Grady LLC</t>
  </si>
  <si>
    <t>Lang, O'Connell and Klocko</t>
  </si>
  <si>
    <t>Schaefer, Funk and Cole</t>
  </si>
  <si>
    <t>Douglas Group</t>
  </si>
  <si>
    <t>Cole-Blick</t>
  </si>
  <si>
    <t>JM</t>
  </si>
  <si>
    <t>Goldner, Wolf and Hermann</t>
  </si>
  <si>
    <t>Monahan LLC</t>
  </si>
  <si>
    <t>Sanford and Sons</t>
  </si>
  <si>
    <t>Stokes Inc</t>
  </si>
  <si>
    <t>Konopelski Group</t>
  </si>
  <si>
    <t>Beier Inc</t>
  </si>
  <si>
    <t>CU</t>
  </si>
  <si>
    <t>Roob-Quitzon</t>
  </si>
  <si>
    <t>Weissnat-Boyle</t>
  </si>
  <si>
    <t>Ruecker, Streich and Gusikowski</t>
  </si>
  <si>
    <t>Hayes, Batz and Yost</t>
  </si>
  <si>
    <t>Stracke, Haley and Friesen</t>
  </si>
  <si>
    <t>Aufderhar, Wolf and Turcotte</t>
  </si>
  <si>
    <t>Cartwright-Champlin</t>
  </si>
  <si>
    <t>Haag, Romaguera and Hessel</t>
  </si>
  <si>
    <t>Lang Group</t>
  </si>
  <si>
    <t>Larson-Schamberger</t>
  </si>
  <si>
    <t>Stoltenberg LLC</t>
  </si>
  <si>
    <t>Jacobi-Leuschke</t>
  </si>
  <si>
    <t>Erdman, Moore and Veum</t>
  </si>
  <si>
    <t>Ruecker Group</t>
  </si>
  <si>
    <t>Schinner Group</t>
  </si>
  <si>
    <t>Nicolas Inc</t>
  </si>
  <si>
    <t>Daugherty Inc</t>
  </si>
  <si>
    <t>Schoen, Abshire and Hilll</t>
  </si>
  <si>
    <t>Haag, Shanahan and Bartell</t>
  </si>
  <si>
    <t>Batz-Schiller</t>
  </si>
  <si>
    <t>Pfeffer-Kuphal</t>
  </si>
  <si>
    <t>Greenholt-Veum</t>
  </si>
  <si>
    <t>Schimmel-Botsford</t>
  </si>
  <si>
    <t>Blick Inc</t>
  </si>
  <si>
    <t>LS</t>
  </si>
  <si>
    <t>Zulauf Group</t>
  </si>
  <si>
    <t>Legros-Koelpin</t>
  </si>
  <si>
    <t>Runolfsdottir-Morar</t>
  </si>
  <si>
    <t>Leannon LLC</t>
  </si>
  <si>
    <t>Becker-Little</t>
  </si>
  <si>
    <t>Shanahan LLC</t>
  </si>
  <si>
    <t>Langworth Group</t>
  </si>
  <si>
    <t>Lubowitz-Schamberger</t>
  </si>
  <si>
    <t>Lowe, Roberts and Douglas</t>
  </si>
  <si>
    <t>Jaskolski-Rau</t>
  </si>
  <si>
    <t>Hamill-Legros</t>
  </si>
  <si>
    <t>Langosh, Hirthe and Rath</t>
  </si>
  <si>
    <t>Hayes Group</t>
  </si>
  <si>
    <t>Bartell-Carter</t>
  </si>
  <si>
    <t>PY</t>
  </si>
  <si>
    <t>Herzog and Sons</t>
  </si>
  <si>
    <t>Senger-Marvin</t>
  </si>
  <si>
    <t>Tillman Group</t>
  </si>
  <si>
    <t>Reichel, Tremblay and Beier</t>
  </si>
  <si>
    <t>Crist, Bailey and Marquardt</t>
  </si>
  <si>
    <t>Satterfield, Rowe and McGlynn</t>
  </si>
  <si>
    <t>Hoeger and Sons</t>
  </si>
  <si>
    <t>Morar, Schowalter and Hilpert</t>
  </si>
  <si>
    <t>Feest, Halvorson and Kuhlman</t>
  </si>
  <si>
    <t>Metz LLC</t>
  </si>
  <si>
    <t>Collier-Gerhold</t>
  </si>
  <si>
    <t>Blanda-Flatley</t>
  </si>
  <si>
    <t>Bauch, Kohler and Waelchi</t>
  </si>
  <si>
    <t>Maggio Inc</t>
  </si>
  <si>
    <t>Mohr-Herman</t>
  </si>
  <si>
    <t>Emard-Cole</t>
  </si>
  <si>
    <t>Daugherty, Thompson and Maggio</t>
  </si>
  <si>
    <t>Lakin-Lang</t>
  </si>
  <si>
    <t>Lang Inc</t>
  </si>
  <si>
    <t>Mayert LLC</t>
  </si>
  <si>
    <t>Mante, Torphy and Farrell</t>
  </si>
  <si>
    <t>Runolfsdottir, Daugherty and Wilderman</t>
  </si>
  <si>
    <t>Bergstrom-Koepp</t>
  </si>
  <si>
    <t>Crooks LLC</t>
  </si>
  <si>
    <t>Spinka, Kunde and Powlowski</t>
  </si>
  <si>
    <t>Mills Inc</t>
  </si>
  <si>
    <t>Weissnat and Sons</t>
  </si>
  <si>
    <t>PA</t>
  </si>
  <si>
    <t>Bernier, Stracke and Gerhold</t>
  </si>
  <si>
    <t>Ferry Inc</t>
  </si>
  <si>
    <t>Nienow, Hickle and Emmerich</t>
  </si>
  <si>
    <t>Howe-Predovic</t>
  </si>
  <si>
    <t>Terry and Sons</t>
  </si>
  <si>
    <t>Parisian Inc</t>
  </si>
  <si>
    <t>Denesik-Gerhold</t>
  </si>
  <si>
    <t>Quitzon LLC</t>
  </si>
  <si>
    <t>Mann-Abbott</t>
  </si>
  <si>
    <t>Schuppe Inc</t>
  </si>
  <si>
    <t>Zieme LLC</t>
  </si>
  <si>
    <t>Yundt-Medhurst</t>
  </si>
  <si>
    <t>Goldner-Sauer</t>
  </si>
  <si>
    <t>Wisozk LLC</t>
  </si>
  <si>
    <t>Runolfsson-Swaniawski</t>
  </si>
  <si>
    <t>NE</t>
  </si>
  <si>
    <t>Schmidt, Hane and Johns</t>
  </si>
  <si>
    <t>MacGyver and Sons</t>
  </si>
  <si>
    <t>Stanton Inc</t>
  </si>
  <si>
    <t>Farrell Inc</t>
  </si>
  <si>
    <t>Maggio, Bartoletti and Cormier</t>
  </si>
  <si>
    <t>Rutherford Group</t>
  </si>
  <si>
    <t>Ratke-Fay</t>
  </si>
  <si>
    <t>Kunze-Hermiston</t>
  </si>
  <si>
    <t>Marvin-Pfeffer</t>
  </si>
  <si>
    <t>Marquardt Inc</t>
  </si>
  <si>
    <t>Kuhic, Hodkiewicz and McLaughlin</t>
  </si>
  <si>
    <t>Padberg Inc</t>
  </si>
  <si>
    <t>O'Kon-Brown</t>
  </si>
  <si>
    <t>Glover, Davis and Stehr</t>
  </si>
  <si>
    <t>Altenwerth Group</t>
  </si>
  <si>
    <t>Schuppe, Corkery and Cronin</t>
  </si>
  <si>
    <t>Bednar Group</t>
  </si>
  <si>
    <t>Kohler-Rippin</t>
  </si>
  <si>
    <t>Thompson Inc</t>
  </si>
  <si>
    <t>Muller-McLaughlin</t>
  </si>
  <si>
    <t>Kozey-Prosacco</t>
  </si>
  <si>
    <t>Goldner-Stark</t>
  </si>
  <si>
    <t>Bernhard, Bahringer and Medhurst</t>
  </si>
  <si>
    <t>Toy-Corkery</t>
  </si>
  <si>
    <t>Will Group</t>
  </si>
  <si>
    <t>Muller-Spencer</t>
  </si>
  <si>
    <t>Maggio and Sons</t>
  </si>
  <si>
    <t>Franecki, Cruickshank and Bauch</t>
  </si>
  <si>
    <t>Will, Leffler and Rosenbaum</t>
  </si>
  <si>
    <t>Ankunding, Cremin and Nader</t>
  </si>
  <si>
    <t>Orn, Rippin and Kerluke</t>
  </si>
  <si>
    <t>Stamm-Barrows</t>
  </si>
  <si>
    <t>Cormier and Sons</t>
  </si>
  <si>
    <t>Wyman, McDermott and VonRueden</t>
  </si>
  <si>
    <t>Gusikowski-Batz</t>
  </si>
  <si>
    <t>McClure, Parisian and Haag</t>
  </si>
  <si>
    <t>Block, Carroll and D'Amore</t>
  </si>
  <si>
    <t>Hintz, Durgan and Bechtelar</t>
  </si>
  <si>
    <t>Abbott, Rippin and Koch</t>
  </si>
  <si>
    <t>Leffler-Bartell</t>
  </si>
  <si>
    <t>Bogan-Marks</t>
  </si>
  <si>
    <t>Kuhic, Mills and Kshlerin</t>
  </si>
  <si>
    <t>Larson, Rowe and Sporer</t>
  </si>
  <si>
    <t>Hackett-Gleason</t>
  </si>
  <si>
    <t>AU</t>
  </si>
  <si>
    <t>Becker-Hauck</t>
  </si>
  <si>
    <t>Jones-Weissnat</t>
  </si>
  <si>
    <t>Hilpert-Brakus</t>
  </si>
  <si>
    <t>Hoeger, Predovic and Hamill</t>
  </si>
  <si>
    <t>Roob and Sons</t>
  </si>
  <si>
    <t>O'Reilly Inc</t>
  </si>
  <si>
    <t>Sporer-Herman</t>
  </si>
  <si>
    <t>Cole LLC</t>
  </si>
  <si>
    <t>BF</t>
  </si>
  <si>
    <t>Swaniawski, Hammes and Sanford</t>
  </si>
  <si>
    <t>Leffler-VonRueden</t>
  </si>
  <si>
    <t>Ullrich, Swaniawski and Kub</t>
  </si>
  <si>
    <t>Harber, Bruen and Borer</t>
  </si>
  <si>
    <t>Baumbach, Koepp and Kessler</t>
  </si>
  <si>
    <t>Morar-Leannon</t>
  </si>
  <si>
    <t>Hane-Koss</t>
  </si>
  <si>
    <t>Parisian-Cassin</t>
  </si>
  <si>
    <t>Howell-Schoen</t>
  </si>
  <si>
    <t>Doyle-Schinner</t>
  </si>
  <si>
    <t>Schowalter-Pfeffer</t>
  </si>
  <si>
    <t>Nolan and Sons</t>
  </si>
  <si>
    <t>Kuphal and Sons</t>
  </si>
  <si>
    <t>Bernhard-Senger</t>
  </si>
  <si>
    <t>Nolan, Senger and Will</t>
  </si>
  <si>
    <t>Schultz, Homenick and Bogisich</t>
  </si>
  <si>
    <t>Ferry, Douglas and Rau</t>
  </si>
  <si>
    <t>Frami, Kozey and Stokes</t>
  </si>
  <si>
    <t>Schaden, Casper and Kessler</t>
  </si>
  <si>
    <t>CM</t>
  </si>
  <si>
    <t>Hermann, Schaefer and Corkery</t>
  </si>
  <si>
    <t>Cassin-Bauch</t>
  </si>
  <si>
    <t>Bechtelar Group</t>
  </si>
  <si>
    <t>Lesch Inc</t>
  </si>
  <si>
    <t>Gerhold Group</t>
  </si>
  <si>
    <t>Gibson, Luettgen and Olson</t>
  </si>
  <si>
    <t>Hermiston, Buckridge and Denesik</t>
  </si>
  <si>
    <t>Nolan, Trantow and Olson</t>
  </si>
  <si>
    <t>Witting, Pfeffer and Funk</t>
  </si>
  <si>
    <t>Dicki Group</t>
  </si>
  <si>
    <t>Goyette LLC</t>
  </si>
  <si>
    <t>Schimmel-Friesen</t>
  </si>
  <si>
    <t>Walter, Herzog and Stoltenberg</t>
  </si>
  <si>
    <t>Simonis-Klein</t>
  </si>
  <si>
    <t>Kessler Group</t>
  </si>
  <si>
    <t>Schimmel LLC</t>
  </si>
  <si>
    <t>Beer Group</t>
  </si>
  <si>
    <t>Waelchi, Stoltenberg and Beier</t>
  </si>
  <si>
    <t>Rogahn-Ortiz</t>
  </si>
  <si>
    <t>Runte-Crona</t>
  </si>
  <si>
    <t>Auer-Grady</t>
  </si>
  <si>
    <t>Kuphal Inc</t>
  </si>
  <si>
    <t>Wolf-Shanahan</t>
  </si>
  <si>
    <t>Nikolaus-Fay</t>
  </si>
  <si>
    <t>Blanda-Upton</t>
  </si>
  <si>
    <t>Fadel, Jenkins and Bogisich</t>
  </si>
  <si>
    <t>Okuneva-Gottlieb</t>
  </si>
  <si>
    <t>Pacocha Group</t>
  </si>
  <si>
    <t>Howell, Prohaska and Rowe</t>
  </si>
  <si>
    <t>Turcotte, Kris and Little</t>
  </si>
  <si>
    <t>Kling, Conn and Gusikowski</t>
  </si>
  <si>
    <t>Robel Group</t>
  </si>
  <si>
    <t>Jacobs, Hilll and O'Hara</t>
  </si>
  <si>
    <t>Reilly, Baumbach and Carter</t>
  </si>
  <si>
    <t>Schuster, Cole and Adams</t>
  </si>
  <si>
    <t>Langworth-Hackett</t>
  </si>
  <si>
    <t>Schaden-Bartoletti</t>
  </si>
  <si>
    <t>Upton and Sons</t>
  </si>
  <si>
    <t>Berge-Reinger</t>
  </si>
  <si>
    <t>Bernhard-Yost</t>
  </si>
  <si>
    <t>Lowe, Heidenreich and Hilpert</t>
  </si>
  <si>
    <t>Cassin and Sons</t>
  </si>
  <si>
    <t>Bailey and Sons</t>
  </si>
  <si>
    <t>Dickinson-Bins</t>
  </si>
  <si>
    <t>Dietrich, Sanford and Sporer</t>
  </si>
  <si>
    <t>Heller-Boyer</t>
  </si>
  <si>
    <t>White-Hills</t>
  </si>
  <si>
    <t>Jaskolski, Langosh and Wunsch</t>
  </si>
  <si>
    <t>Huels-Runolfsson</t>
  </si>
  <si>
    <t>Mayer-Stroman</t>
  </si>
  <si>
    <t>Orn, Mohr and Mills</t>
  </si>
  <si>
    <t>Lowe Group</t>
  </si>
  <si>
    <t>Shields, Casper and Hahn</t>
  </si>
  <si>
    <t>Morar-Robel</t>
  </si>
  <si>
    <t>Ernser Group</t>
  </si>
  <si>
    <t>Mills, Wolff and Douglas</t>
  </si>
  <si>
    <t>Huels-Farrell</t>
  </si>
  <si>
    <t>country_population</t>
  </si>
  <si>
    <t>daily_profit_USD</t>
  </si>
  <si>
    <t>country</t>
  </si>
  <si>
    <t>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</si>
</sst>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2" xfId="0" applyAlignment="1" applyFont="1" applyNumberFormat="1">
      <alignment readingOrder="0"/>
    </xf>
    <xf borderId="0" fillId="2" fontId="2" numFmtId="0" xfId="0" applyFon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88"/>
    <col customWidth="1" min="4" max="4" width="17.25"/>
    <col customWidth="1" min="5" max="5" width="11.88"/>
    <col customWidth="1" min="17" max="17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>
      <c r="A2" s="1">
        <v>36.0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4.1128771E7</v>
      </c>
      <c r="G2" s="1">
        <v>3.897223E7</v>
      </c>
      <c r="H2" s="1">
        <v>3.3753499E7</v>
      </c>
      <c r="I2" s="1">
        <v>2.8189672E7</v>
      </c>
      <c r="J2" s="1">
        <v>1.9542982E7</v>
      </c>
      <c r="K2" s="1">
        <v>1.0694796E7</v>
      </c>
      <c r="L2" s="1">
        <v>1.2486631E7</v>
      </c>
      <c r="M2" s="1">
        <v>1.0752971E7</v>
      </c>
      <c r="N2" s="1">
        <v>652230.0</v>
      </c>
      <c r="O2" s="1">
        <v>63.0587</v>
      </c>
      <c r="P2" s="2">
        <v>1.0257</v>
      </c>
      <c r="Q2" s="3">
        <v>0.52</v>
      </c>
    </row>
    <row r="3">
      <c r="A3" s="1">
        <v>138.0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2842321.0</v>
      </c>
      <c r="G3" s="1">
        <v>2866849.0</v>
      </c>
      <c r="H3" s="1">
        <v>2882481.0</v>
      </c>
      <c r="I3" s="1">
        <v>2913399.0</v>
      </c>
      <c r="J3" s="1">
        <v>3182021.0</v>
      </c>
      <c r="K3" s="1">
        <v>3295066.0</v>
      </c>
      <c r="L3" s="1">
        <v>2941651.0</v>
      </c>
      <c r="M3" s="1">
        <v>2324731.0</v>
      </c>
      <c r="N3" s="1">
        <v>28748.0</v>
      </c>
      <c r="O3" s="1">
        <v>98.8702</v>
      </c>
      <c r="P3" s="2">
        <v>0.9957</v>
      </c>
      <c r="Q3" s="3">
        <v>0.04</v>
      </c>
    </row>
    <row r="4">
      <c r="A4" s="1">
        <v>34.0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4.4903225E7</v>
      </c>
      <c r="G4" s="1">
        <v>4.3451666E7</v>
      </c>
      <c r="H4" s="1">
        <v>3.9543154E7</v>
      </c>
      <c r="I4" s="1">
        <v>3.5856344E7</v>
      </c>
      <c r="J4" s="1">
        <v>3.0774621E7</v>
      </c>
      <c r="K4" s="1">
        <v>2.5518074E7</v>
      </c>
      <c r="L4" s="1">
        <v>1.8739378E7</v>
      </c>
      <c r="M4" s="1">
        <v>1.3795915E7</v>
      </c>
      <c r="N4" s="1">
        <v>2381741.0</v>
      </c>
      <c r="O4" s="1">
        <v>18.8531</v>
      </c>
      <c r="P4" s="2">
        <v>1.0164</v>
      </c>
      <c r="Q4" s="3">
        <v>0.56</v>
      </c>
    </row>
    <row r="5">
      <c r="A5" s="1">
        <v>213.0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44273.0</v>
      </c>
      <c r="G5" s="1">
        <v>46189.0</v>
      </c>
      <c r="H5" s="1">
        <v>51368.0</v>
      </c>
      <c r="I5" s="1">
        <v>54849.0</v>
      </c>
      <c r="J5" s="1">
        <v>58230.0</v>
      </c>
      <c r="K5" s="1">
        <v>47818.0</v>
      </c>
      <c r="L5" s="1">
        <v>32886.0</v>
      </c>
      <c r="M5" s="1">
        <v>27075.0</v>
      </c>
      <c r="N5" s="1">
        <v>199.0</v>
      </c>
      <c r="O5" s="1">
        <v>222.4774</v>
      </c>
      <c r="P5" s="2">
        <v>0.9831</v>
      </c>
      <c r="Q5" s="3">
        <v>0.0</v>
      </c>
    </row>
    <row r="6">
      <c r="A6" s="1">
        <v>203.0</v>
      </c>
      <c r="B6" s="1" t="s">
        <v>33</v>
      </c>
      <c r="C6" s="1" t="s">
        <v>34</v>
      </c>
      <c r="D6" s="1" t="s">
        <v>35</v>
      </c>
      <c r="E6" s="1" t="s">
        <v>24</v>
      </c>
      <c r="F6" s="1">
        <v>79824.0</v>
      </c>
      <c r="G6" s="1">
        <v>77700.0</v>
      </c>
      <c r="H6" s="1">
        <v>71746.0</v>
      </c>
      <c r="I6" s="1">
        <v>71519.0</v>
      </c>
      <c r="J6" s="1">
        <v>66097.0</v>
      </c>
      <c r="K6" s="1">
        <v>53569.0</v>
      </c>
      <c r="L6" s="1">
        <v>35611.0</v>
      </c>
      <c r="M6" s="1">
        <v>19860.0</v>
      </c>
      <c r="N6" s="1">
        <v>468.0</v>
      </c>
      <c r="O6" s="1">
        <v>170.5641</v>
      </c>
      <c r="P6" s="2">
        <v>1.01</v>
      </c>
      <c r="Q6" s="3">
        <v>0.0</v>
      </c>
    </row>
    <row r="7">
      <c r="A7" s="1">
        <v>42.0</v>
      </c>
      <c r="B7" s="1" t="s">
        <v>36</v>
      </c>
      <c r="C7" s="1" t="s">
        <v>37</v>
      </c>
      <c r="D7" s="1" t="s">
        <v>38</v>
      </c>
      <c r="E7" s="1" t="s">
        <v>28</v>
      </c>
      <c r="F7" s="1">
        <v>3.5588987E7</v>
      </c>
      <c r="G7" s="1">
        <v>3.3428485E7</v>
      </c>
      <c r="H7" s="1">
        <v>2.8127721E7</v>
      </c>
      <c r="I7" s="1">
        <v>2.3364185E7</v>
      </c>
      <c r="J7" s="1">
        <v>1.6394062E7</v>
      </c>
      <c r="K7" s="1">
        <v>1.1828638E7</v>
      </c>
      <c r="L7" s="1">
        <v>8330047.0</v>
      </c>
      <c r="M7" s="1">
        <v>6029700.0</v>
      </c>
      <c r="N7" s="1">
        <v>1246700.0</v>
      </c>
      <c r="O7" s="1">
        <v>28.5466</v>
      </c>
      <c r="P7" s="2">
        <v>1.0315</v>
      </c>
      <c r="Q7" s="3">
        <v>0.45</v>
      </c>
    </row>
    <row r="8">
      <c r="A8" s="1">
        <v>224.0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15857.0</v>
      </c>
      <c r="G8" s="1">
        <v>15585.0</v>
      </c>
      <c r="H8" s="1">
        <v>14525.0</v>
      </c>
      <c r="I8" s="1">
        <v>13172.0</v>
      </c>
      <c r="J8" s="1">
        <v>11047.0</v>
      </c>
      <c r="K8" s="1">
        <v>8316.0</v>
      </c>
      <c r="L8" s="1">
        <v>6560.0</v>
      </c>
      <c r="M8" s="1">
        <v>6283.0</v>
      </c>
      <c r="N8" s="1">
        <v>91.0</v>
      </c>
      <c r="O8" s="1">
        <v>174.2527</v>
      </c>
      <c r="P8" s="2">
        <v>1.0066</v>
      </c>
      <c r="Q8" s="3">
        <v>0.0</v>
      </c>
    </row>
    <row r="9">
      <c r="A9" s="1">
        <v>201.0</v>
      </c>
      <c r="B9" s="1" t="s">
        <v>43</v>
      </c>
      <c r="C9" s="1" t="s">
        <v>44</v>
      </c>
      <c r="D9" s="1" t="s">
        <v>45</v>
      </c>
      <c r="E9" s="1" t="s">
        <v>42</v>
      </c>
      <c r="F9" s="1">
        <v>93763.0</v>
      </c>
      <c r="G9" s="1">
        <v>92664.0</v>
      </c>
      <c r="H9" s="1">
        <v>89941.0</v>
      </c>
      <c r="I9" s="1">
        <v>85695.0</v>
      </c>
      <c r="J9" s="1">
        <v>75055.0</v>
      </c>
      <c r="K9" s="1">
        <v>63328.0</v>
      </c>
      <c r="L9" s="1">
        <v>64888.0</v>
      </c>
      <c r="M9" s="1">
        <v>64516.0</v>
      </c>
      <c r="N9" s="1">
        <v>442.0</v>
      </c>
      <c r="O9" s="1">
        <v>212.1335</v>
      </c>
      <c r="P9" s="2">
        <v>1.0058</v>
      </c>
      <c r="Q9" s="3">
        <v>0.0</v>
      </c>
    </row>
    <row r="10">
      <c r="A10" s="1">
        <v>33.0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4.5510318E7</v>
      </c>
      <c r="G10" s="1">
        <v>4.5036032E7</v>
      </c>
      <c r="H10" s="1">
        <v>4.3257065E7</v>
      </c>
      <c r="I10" s="1">
        <v>4.1100123E7</v>
      </c>
      <c r="J10" s="1">
        <v>3.7070774E7</v>
      </c>
      <c r="K10" s="1">
        <v>3.2637657E7</v>
      </c>
      <c r="L10" s="1">
        <v>2.8024803E7</v>
      </c>
      <c r="M10" s="1">
        <v>2.3842803E7</v>
      </c>
      <c r="N10" s="1">
        <v>2780400.0</v>
      </c>
      <c r="O10" s="1">
        <v>16.3683</v>
      </c>
      <c r="P10" s="2">
        <v>1.0052</v>
      </c>
      <c r="Q10" s="3">
        <v>0.57</v>
      </c>
    </row>
    <row r="11">
      <c r="A11" s="1">
        <v>140.0</v>
      </c>
      <c r="B11" s="1" t="s">
        <v>50</v>
      </c>
      <c r="C11" s="1" t="s">
        <v>51</v>
      </c>
      <c r="D11" s="1" t="s">
        <v>52</v>
      </c>
      <c r="E11" s="1" t="s">
        <v>20</v>
      </c>
      <c r="F11" s="1">
        <v>2780469.0</v>
      </c>
      <c r="G11" s="1">
        <v>2805608.0</v>
      </c>
      <c r="H11" s="1">
        <v>2878595.0</v>
      </c>
      <c r="I11" s="1">
        <v>2946293.0</v>
      </c>
      <c r="J11" s="1">
        <v>3168523.0</v>
      </c>
      <c r="K11" s="1">
        <v>3556539.0</v>
      </c>
      <c r="L11" s="1">
        <v>3135123.0</v>
      </c>
      <c r="M11" s="1">
        <v>2534377.0</v>
      </c>
      <c r="N11" s="1">
        <v>29743.0</v>
      </c>
      <c r="O11" s="1">
        <v>93.4831</v>
      </c>
      <c r="P11" s="2">
        <v>0.9962</v>
      </c>
      <c r="Q11" s="3">
        <v>0.03</v>
      </c>
    </row>
    <row r="12">
      <c r="A12" s="1">
        <v>198.0</v>
      </c>
      <c r="B12" s="1" t="s">
        <v>53</v>
      </c>
      <c r="C12" s="1" t="s">
        <v>54</v>
      </c>
      <c r="D12" s="1" t="s">
        <v>55</v>
      </c>
      <c r="E12" s="1" t="s">
        <v>42</v>
      </c>
      <c r="F12" s="1">
        <v>106445.0</v>
      </c>
      <c r="G12" s="1">
        <v>106585.0</v>
      </c>
      <c r="H12" s="1">
        <v>104257.0</v>
      </c>
      <c r="I12" s="1">
        <v>100341.0</v>
      </c>
      <c r="J12" s="1">
        <v>89101.0</v>
      </c>
      <c r="K12" s="1">
        <v>65712.0</v>
      </c>
      <c r="L12" s="1">
        <v>62267.0</v>
      </c>
      <c r="M12" s="1">
        <v>59106.0</v>
      </c>
      <c r="N12" s="1">
        <v>180.0</v>
      </c>
      <c r="O12" s="1">
        <v>591.3611</v>
      </c>
      <c r="P12" s="2">
        <v>0.9991</v>
      </c>
      <c r="Q12" s="3">
        <v>0.0</v>
      </c>
    </row>
    <row r="13">
      <c r="A13" s="1">
        <v>55.0</v>
      </c>
      <c r="B13" s="1" t="s">
        <v>56</v>
      </c>
      <c r="C13" s="1" t="s">
        <v>57</v>
      </c>
      <c r="D13" s="1" t="s">
        <v>58</v>
      </c>
      <c r="E13" s="1" t="s">
        <v>32</v>
      </c>
      <c r="F13" s="1">
        <v>2.6177413E7</v>
      </c>
      <c r="G13" s="1">
        <v>2.5670051E7</v>
      </c>
      <c r="H13" s="1">
        <v>2.3820236E7</v>
      </c>
      <c r="I13" s="1">
        <v>2.2019168E7</v>
      </c>
      <c r="J13" s="1">
        <v>1.9017963E7</v>
      </c>
      <c r="K13" s="1">
        <v>1.7048003E7</v>
      </c>
      <c r="L13" s="1">
        <v>1.4706322E7</v>
      </c>
      <c r="M13" s="1">
        <v>1.2595034E7</v>
      </c>
      <c r="N13" s="1">
        <v>7692024.0</v>
      </c>
      <c r="O13" s="1">
        <v>3.4032</v>
      </c>
      <c r="P13" s="2">
        <v>1.0099</v>
      </c>
      <c r="Q13" s="3">
        <v>0.33</v>
      </c>
    </row>
    <row r="14">
      <c r="A14" s="1">
        <v>99.0</v>
      </c>
      <c r="B14" s="1" t="s">
        <v>59</v>
      </c>
      <c r="C14" s="1" t="s">
        <v>60</v>
      </c>
      <c r="D14" s="1" t="s">
        <v>61</v>
      </c>
      <c r="E14" s="1" t="s">
        <v>24</v>
      </c>
      <c r="F14" s="1">
        <v>8939617.0</v>
      </c>
      <c r="G14" s="1">
        <v>8907777.0</v>
      </c>
      <c r="H14" s="1">
        <v>8642421.0</v>
      </c>
      <c r="I14" s="1">
        <v>8362829.0</v>
      </c>
      <c r="J14" s="1">
        <v>8010428.0</v>
      </c>
      <c r="K14" s="1">
        <v>7678729.0</v>
      </c>
      <c r="L14" s="1">
        <v>7547561.0</v>
      </c>
      <c r="M14" s="1">
        <v>7465301.0</v>
      </c>
      <c r="N14" s="1">
        <v>83871.0</v>
      </c>
      <c r="O14" s="1">
        <v>106.5877</v>
      </c>
      <c r="P14" s="2">
        <v>1.002</v>
      </c>
      <c r="Q14" s="3">
        <v>0.11</v>
      </c>
    </row>
    <row r="15">
      <c r="A15" s="1">
        <v>91.0</v>
      </c>
      <c r="B15" s="1" t="s">
        <v>62</v>
      </c>
      <c r="C15" s="1" t="s">
        <v>63</v>
      </c>
      <c r="D15" s="1" t="s">
        <v>64</v>
      </c>
      <c r="E15" s="1" t="s">
        <v>20</v>
      </c>
      <c r="F15" s="1">
        <v>1.0358074E7</v>
      </c>
      <c r="G15" s="1">
        <v>1.0284951E7</v>
      </c>
      <c r="H15" s="1">
        <v>9863480.0</v>
      </c>
      <c r="I15" s="1">
        <v>9237202.0</v>
      </c>
      <c r="J15" s="1">
        <v>8190337.0</v>
      </c>
      <c r="K15" s="1">
        <v>7427836.0</v>
      </c>
      <c r="L15" s="1">
        <v>6383060.0</v>
      </c>
      <c r="M15" s="1">
        <v>5425317.0</v>
      </c>
      <c r="N15" s="1">
        <v>86600.0</v>
      </c>
      <c r="O15" s="1">
        <v>119.6082</v>
      </c>
      <c r="P15" s="2">
        <v>1.0044</v>
      </c>
      <c r="Q15" s="3">
        <v>0.13</v>
      </c>
    </row>
    <row r="16">
      <c r="A16" s="1">
        <v>176.0</v>
      </c>
      <c r="B16" s="1" t="s">
        <v>65</v>
      </c>
      <c r="C16" s="1" t="s">
        <v>66</v>
      </c>
      <c r="D16" s="1" t="s">
        <v>67</v>
      </c>
      <c r="E16" s="1" t="s">
        <v>42</v>
      </c>
      <c r="F16" s="1">
        <v>409984.0</v>
      </c>
      <c r="G16" s="1">
        <v>406471.0</v>
      </c>
      <c r="H16" s="1">
        <v>392697.0</v>
      </c>
      <c r="I16" s="1">
        <v>373272.0</v>
      </c>
      <c r="J16" s="1">
        <v>325014.0</v>
      </c>
      <c r="K16" s="1">
        <v>270679.0</v>
      </c>
      <c r="L16" s="1">
        <v>223752.0</v>
      </c>
      <c r="M16" s="1">
        <v>179129.0</v>
      </c>
      <c r="N16" s="1">
        <v>13943.0</v>
      </c>
      <c r="O16" s="1">
        <v>29.4043</v>
      </c>
      <c r="P16" s="2">
        <v>1.0051</v>
      </c>
      <c r="Q16" s="3">
        <v>0.01</v>
      </c>
    </row>
    <row r="17">
      <c r="A17" s="1">
        <v>154.0</v>
      </c>
      <c r="B17" s="1" t="s">
        <v>68</v>
      </c>
      <c r="C17" s="1" t="s">
        <v>69</v>
      </c>
      <c r="D17" s="1" t="s">
        <v>70</v>
      </c>
      <c r="E17" s="1" t="s">
        <v>20</v>
      </c>
      <c r="F17" s="1">
        <v>1472233.0</v>
      </c>
      <c r="G17" s="1">
        <v>1477469.0</v>
      </c>
      <c r="H17" s="1">
        <v>1362142.0</v>
      </c>
      <c r="I17" s="1">
        <v>1213645.0</v>
      </c>
      <c r="J17" s="1">
        <v>711442.0</v>
      </c>
      <c r="K17" s="1">
        <v>517418.0</v>
      </c>
      <c r="L17" s="1">
        <v>362595.0</v>
      </c>
      <c r="M17" s="1">
        <v>222555.0</v>
      </c>
      <c r="N17" s="1">
        <v>765.0</v>
      </c>
      <c r="O17" s="1">
        <v>1924.4876</v>
      </c>
      <c r="P17" s="2">
        <v>1.0061</v>
      </c>
      <c r="Q17" s="3">
        <v>0.02</v>
      </c>
    </row>
    <row r="18">
      <c r="A18" s="1">
        <v>8.0</v>
      </c>
      <c r="B18" s="1" t="s">
        <v>71</v>
      </c>
      <c r="C18" s="1" t="s">
        <v>72</v>
      </c>
      <c r="D18" s="1" t="s">
        <v>73</v>
      </c>
      <c r="E18" s="1" t="s">
        <v>20</v>
      </c>
      <c r="F18" s="1">
        <v>1.71186372E8</v>
      </c>
      <c r="G18" s="1">
        <v>1.67420951E8</v>
      </c>
      <c r="H18" s="1">
        <v>1.5783E8</v>
      </c>
      <c r="I18" s="1">
        <v>1.48391139E8</v>
      </c>
      <c r="J18" s="1">
        <v>1.29193327E8</v>
      </c>
      <c r="K18" s="1">
        <v>1.07147651E8</v>
      </c>
      <c r="L18" s="1">
        <v>8.3929765E7</v>
      </c>
      <c r="M18" s="1">
        <v>6.754186E7</v>
      </c>
      <c r="N18" s="1">
        <v>147570.0</v>
      </c>
      <c r="O18" s="1">
        <v>1160.035</v>
      </c>
      <c r="P18" s="2">
        <v>1.0108</v>
      </c>
      <c r="Q18" s="3">
        <v>2.15</v>
      </c>
    </row>
    <row r="19">
      <c r="A19" s="1">
        <v>186.0</v>
      </c>
      <c r="B19" s="1" t="s">
        <v>74</v>
      </c>
      <c r="C19" s="1" t="s">
        <v>75</v>
      </c>
      <c r="D19" s="1" t="s">
        <v>76</v>
      </c>
      <c r="E19" s="1" t="s">
        <v>42</v>
      </c>
      <c r="F19" s="1">
        <v>281635.0</v>
      </c>
      <c r="G19" s="1">
        <v>280693.0</v>
      </c>
      <c r="H19" s="1">
        <v>278083.0</v>
      </c>
      <c r="I19" s="1">
        <v>274711.0</v>
      </c>
      <c r="J19" s="1">
        <v>264657.0</v>
      </c>
      <c r="K19" s="1">
        <v>258868.0</v>
      </c>
      <c r="L19" s="1">
        <v>253575.0</v>
      </c>
      <c r="M19" s="1">
        <v>241397.0</v>
      </c>
      <c r="N19" s="1">
        <v>430.0</v>
      </c>
      <c r="O19" s="1">
        <v>654.9651</v>
      </c>
      <c r="P19" s="2">
        <v>1.0015</v>
      </c>
      <c r="Q19" s="3">
        <v>0.0</v>
      </c>
    </row>
    <row r="20">
      <c r="A20" s="1">
        <v>96.0</v>
      </c>
      <c r="B20" s="1" t="s">
        <v>77</v>
      </c>
      <c r="C20" s="1" t="s">
        <v>78</v>
      </c>
      <c r="D20" s="1" t="s">
        <v>79</v>
      </c>
      <c r="E20" s="1" t="s">
        <v>24</v>
      </c>
      <c r="F20" s="1">
        <v>9534954.0</v>
      </c>
      <c r="G20" s="1">
        <v>9633740.0</v>
      </c>
      <c r="H20" s="1">
        <v>9700609.0</v>
      </c>
      <c r="I20" s="1">
        <v>9731427.0</v>
      </c>
      <c r="J20" s="1">
        <v>1.0256483E7</v>
      </c>
      <c r="K20" s="1">
        <v>1.0428525E7</v>
      </c>
      <c r="L20" s="1">
        <v>9817257.0</v>
      </c>
      <c r="M20" s="1">
        <v>9170786.0</v>
      </c>
      <c r="N20" s="1">
        <v>207600.0</v>
      </c>
      <c r="O20" s="1">
        <v>45.9295</v>
      </c>
      <c r="P20" s="2">
        <v>0.9955</v>
      </c>
      <c r="Q20" s="3">
        <v>0.12</v>
      </c>
    </row>
    <row r="21">
      <c r="A21" s="1">
        <v>81.0</v>
      </c>
      <c r="B21" s="1" t="s">
        <v>80</v>
      </c>
      <c r="C21" s="1" t="s">
        <v>81</v>
      </c>
      <c r="D21" s="1" t="s">
        <v>82</v>
      </c>
      <c r="E21" s="1" t="s">
        <v>24</v>
      </c>
      <c r="F21" s="1">
        <v>1.165593E7</v>
      </c>
      <c r="G21" s="1">
        <v>1.1561717E7</v>
      </c>
      <c r="H21" s="1">
        <v>1.1248303E7</v>
      </c>
      <c r="I21" s="1">
        <v>1.0877947E7</v>
      </c>
      <c r="J21" s="1">
        <v>1.0264343E7</v>
      </c>
      <c r="K21" s="1">
        <v>9959560.0</v>
      </c>
      <c r="L21" s="1">
        <v>9828986.0</v>
      </c>
      <c r="M21" s="1">
        <v>9629376.0</v>
      </c>
      <c r="N21" s="1">
        <v>30528.0</v>
      </c>
      <c r="O21" s="1">
        <v>381.8111</v>
      </c>
      <c r="P21" s="2">
        <v>1.0038</v>
      </c>
      <c r="Q21" s="3">
        <v>0.15</v>
      </c>
    </row>
    <row r="22">
      <c r="A22" s="1">
        <v>177.0</v>
      </c>
      <c r="B22" s="1" t="s">
        <v>83</v>
      </c>
      <c r="C22" s="1" t="s">
        <v>84</v>
      </c>
      <c r="D22" s="1" t="s">
        <v>85</v>
      </c>
      <c r="E22" s="1" t="s">
        <v>42</v>
      </c>
      <c r="F22" s="1">
        <v>405272.0</v>
      </c>
      <c r="G22" s="1">
        <v>394921.0</v>
      </c>
      <c r="H22" s="1">
        <v>359871.0</v>
      </c>
      <c r="I22" s="1">
        <v>322106.0</v>
      </c>
      <c r="J22" s="1">
        <v>240406.0</v>
      </c>
      <c r="K22" s="1">
        <v>182589.0</v>
      </c>
      <c r="L22" s="1">
        <v>145133.0</v>
      </c>
      <c r="M22" s="1">
        <v>120905.0</v>
      </c>
      <c r="N22" s="1">
        <v>22966.0</v>
      </c>
      <c r="O22" s="1">
        <v>17.6466</v>
      </c>
      <c r="P22" s="2">
        <v>1.0131</v>
      </c>
      <c r="Q22" s="3">
        <v>0.01</v>
      </c>
    </row>
    <row r="23">
      <c r="A23" s="1">
        <v>77.0</v>
      </c>
      <c r="B23" s="1" t="s">
        <v>86</v>
      </c>
      <c r="C23" s="1" t="s">
        <v>87</v>
      </c>
      <c r="D23" s="1" t="s">
        <v>88</v>
      </c>
      <c r="E23" s="1" t="s">
        <v>28</v>
      </c>
      <c r="F23" s="1">
        <v>1.3352864E7</v>
      </c>
      <c r="G23" s="1">
        <v>1.2643123E7</v>
      </c>
      <c r="H23" s="1">
        <v>1.0932783E7</v>
      </c>
      <c r="I23" s="1">
        <v>9445710.0</v>
      </c>
      <c r="J23" s="1">
        <v>6998023.0</v>
      </c>
      <c r="K23" s="1">
        <v>5133419.0</v>
      </c>
      <c r="L23" s="1">
        <v>3833939.0</v>
      </c>
      <c r="M23" s="1">
        <v>3023443.0</v>
      </c>
      <c r="N23" s="1">
        <v>112622.0</v>
      </c>
      <c r="O23" s="1">
        <v>118.5635</v>
      </c>
      <c r="P23" s="2">
        <v>1.0274</v>
      </c>
      <c r="Q23" s="3">
        <v>0.17</v>
      </c>
    </row>
    <row r="24">
      <c r="A24" s="1">
        <v>206.0</v>
      </c>
      <c r="B24" s="1" t="s">
        <v>89</v>
      </c>
      <c r="C24" s="1" t="s">
        <v>90</v>
      </c>
      <c r="D24" s="1" t="s">
        <v>91</v>
      </c>
      <c r="E24" s="1" t="s">
        <v>42</v>
      </c>
      <c r="F24" s="1">
        <v>64184.0</v>
      </c>
      <c r="G24" s="1">
        <v>64031.0</v>
      </c>
      <c r="H24" s="1">
        <v>63144.0</v>
      </c>
      <c r="I24" s="1">
        <v>63447.0</v>
      </c>
      <c r="J24" s="1">
        <v>61371.0</v>
      </c>
      <c r="K24" s="1">
        <v>57470.0</v>
      </c>
      <c r="L24" s="1">
        <v>53565.0</v>
      </c>
      <c r="M24" s="1">
        <v>52019.0</v>
      </c>
      <c r="N24" s="1">
        <v>54.0</v>
      </c>
      <c r="O24" s="1">
        <v>1188.5926</v>
      </c>
      <c r="P24" s="2">
        <v>1.0</v>
      </c>
      <c r="Q24" s="3">
        <v>0.0</v>
      </c>
    </row>
    <row r="25">
      <c r="A25" s="1">
        <v>165.0</v>
      </c>
      <c r="B25" s="1" t="s">
        <v>92</v>
      </c>
      <c r="C25" s="1" t="s">
        <v>93</v>
      </c>
      <c r="D25" s="1" t="s">
        <v>94</v>
      </c>
      <c r="E25" s="1" t="s">
        <v>20</v>
      </c>
      <c r="F25" s="1">
        <v>782455.0</v>
      </c>
      <c r="G25" s="1">
        <v>772506.0</v>
      </c>
      <c r="H25" s="1">
        <v>743274.0</v>
      </c>
      <c r="I25" s="1">
        <v>705516.0</v>
      </c>
      <c r="J25" s="1">
        <v>587207.0</v>
      </c>
      <c r="K25" s="1">
        <v>558442.0</v>
      </c>
      <c r="L25" s="1">
        <v>415257.0</v>
      </c>
      <c r="M25" s="1">
        <v>298894.0</v>
      </c>
      <c r="N25" s="1">
        <v>38394.0</v>
      </c>
      <c r="O25" s="1">
        <v>20.3796</v>
      </c>
      <c r="P25" s="2">
        <v>1.0064</v>
      </c>
      <c r="Q25" s="3">
        <v>0.01</v>
      </c>
    </row>
    <row r="26">
      <c r="A26" s="1">
        <v>80.0</v>
      </c>
      <c r="B26" s="1" t="s">
        <v>95</v>
      </c>
      <c r="C26" s="1" t="s">
        <v>96</v>
      </c>
      <c r="D26" s="1" t="s">
        <v>97</v>
      </c>
      <c r="E26" s="1" t="s">
        <v>49</v>
      </c>
      <c r="F26" s="1">
        <v>1.222411E7</v>
      </c>
      <c r="G26" s="1">
        <v>1.1936162E7</v>
      </c>
      <c r="H26" s="1">
        <v>1.1090085E7</v>
      </c>
      <c r="I26" s="1">
        <v>1.022327E7</v>
      </c>
      <c r="J26" s="1">
        <v>8592656.0</v>
      </c>
      <c r="K26" s="1">
        <v>7096194.0</v>
      </c>
      <c r="L26" s="1">
        <v>5736088.0</v>
      </c>
      <c r="M26" s="1">
        <v>4585693.0</v>
      </c>
      <c r="N26" s="1">
        <v>1098581.0</v>
      </c>
      <c r="O26" s="1">
        <v>11.1272</v>
      </c>
      <c r="P26" s="2">
        <v>1.012</v>
      </c>
      <c r="Q26" s="3">
        <v>0.15</v>
      </c>
    </row>
    <row r="27">
      <c r="A27" s="1">
        <v>137.0</v>
      </c>
      <c r="B27" s="1" t="s">
        <v>98</v>
      </c>
      <c r="C27" s="1" t="s">
        <v>99</v>
      </c>
      <c r="D27" s="1" t="s">
        <v>100</v>
      </c>
      <c r="E27" s="1" t="s">
        <v>24</v>
      </c>
      <c r="F27" s="1">
        <v>3233526.0</v>
      </c>
      <c r="G27" s="1">
        <v>3318407.0</v>
      </c>
      <c r="H27" s="1">
        <v>3524324.0</v>
      </c>
      <c r="I27" s="1">
        <v>3811088.0</v>
      </c>
      <c r="J27" s="1">
        <v>4179350.0</v>
      </c>
      <c r="K27" s="1">
        <v>4494310.0</v>
      </c>
      <c r="L27" s="1">
        <v>4199820.0</v>
      </c>
      <c r="M27" s="1">
        <v>3815561.0</v>
      </c>
      <c r="N27" s="1">
        <v>51209.0</v>
      </c>
      <c r="O27" s="1">
        <v>63.1437</v>
      </c>
      <c r="P27" s="2">
        <v>0.9886</v>
      </c>
      <c r="Q27" s="3">
        <v>0.04</v>
      </c>
    </row>
    <row r="28">
      <c r="A28" s="1">
        <v>144.0</v>
      </c>
      <c r="B28" s="1" t="s">
        <v>101</v>
      </c>
      <c r="C28" s="1" t="s">
        <v>102</v>
      </c>
      <c r="D28" s="1" t="s">
        <v>103</v>
      </c>
      <c r="E28" s="1" t="s">
        <v>28</v>
      </c>
      <c r="F28" s="1">
        <v>2630296.0</v>
      </c>
      <c r="G28" s="1">
        <v>2546402.0</v>
      </c>
      <c r="H28" s="1">
        <v>2305171.0</v>
      </c>
      <c r="I28" s="1">
        <v>2091664.0</v>
      </c>
      <c r="J28" s="1">
        <v>1726985.0</v>
      </c>
      <c r="K28" s="1">
        <v>1341474.0</v>
      </c>
      <c r="L28" s="1">
        <v>938578.0</v>
      </c>
      <c r="M28" s="1">
        <v>592244.0</v>
      </c>
      <c r="N28" s="1">
        <v>582000.0</v>
      </c>
      <c r="O28" s="1">
        <v>4.5194</v>
      </c>
      <c r="P28" s="2">
        <v>1.0162</v>
      </c>
      <c r="Q28" s="3">
        <v>0.03</v>
      </c>
    </row>
    <row r="29">
      <c r="A29" s="1">
        <v>7.0</v>
      </c>
      <c r="B29" s="1" t="s">
        <v>104</v>
      </c>
      <c r="C29" s="1" t="s">
        <v>105</v>
      </c>
      <c r="D29" s="1" t="s">
        <v>106</v>
      </c>
      <c r="E29" s="1" t="s">
        <v>49</v>
      </c>
      <c r="F29" s="1">
        <v>2.15313498E8</v>
      </c>
      <c r="G29" s="1">
        <v>2.13196304E8</v>
      </c>
      <c r="H29" s="1">
        <v>2.05188205E8</v>
      </c>
      <c r="I29" s="1">
        <v>1.96353492E8</v>
      </c>
      <c r="J29" s="1">
        <v>1.7587372E8</v>
      </c>
      <c r="K29" s="1">
        <v>1.50706446E8</v>
      </c>
      <c r="L29" s="1">
        <v>1.22288383E8</v>
      </c>
      <c r="M29" s="1">
        <v>9.6369875E7</v>
      </c>
      <c r="N29" s="1">
        <v>8515767.0</v>
      </c>
      <c r="O29" s="1">
        <v>25.2841</v>
      </c>
      <c r="P29" s="2">
        <v>1.0046</v>
      </c>
      <c r="Q29" s="3">
        <v>2.7</v>
      </c>
    </row>
    <row r="30">
      <c r="A30" s="1">
        <v>221.0</v>
      </c>
      <c r="B30" s="1" t="s">
        <v>107</v>
      </c>
      <c r="C30" s="1" t="s">
        <v>108</v>
      </c>
      <c r="D30" s="1" t="s">
        <v>109</v>
      </c>
      <c r="E30" s="1" t="s">
        <v>42</v>
      </c>
      <c r="F30" s="1">
        <v>31305.0</v>
      </c>
      <c r="G30" s="1">
        <v>30910.0</v>
      </c>
      <c r="H30" s="1">
        <v>29366.0</v>
      </c>
      <c r="I30" s="1">
        <v>27556.0</v>
      </c>
      <c r="J30" s="1">
        <v>20104.0</v>
      </c>
      <c r="K30" s="1">
        <v>15617.0</v>
      </c>
      <c r="L30" s="1">
        <v>11109.0</v>
      </c>
      <c r="M30" s="1">
        <v>9581.0</v>
      </c>
      <c r="N30" s="1">
        <v>151.0</v>
      </c>
      <c r="O30" s="1">
        <v>207.3179</v>
      </c>
      <c r="P30" s="2">
        <v>1.0059</v>
      </c>
      <c r="Q30" s="3">
        <v>0.0</v>
      </c>
    </row>
    <row r="31">
      <c r="A31" s="1">
        <v>175.0</v>
      </c>
      <c r="B31" s="1" t="s">
        <v>110</v>
      </c>
      <c r="C31" s="1" t="s">
        <v>111</v>
      </c>
      <c r="D31" s="1" t="s">
        <v>112</v>
      </c>
      <c r="E31" s="1" t="s">
        <v>20</v>
      </c>
      <c r="F31" s="1">
        <v>449002.0</v>
      </c>
      <c r="G31" s="1">
        <v>441725.0</v>
      </c>
      <c r="H31" s="1">
        <v>421437.0</v>
      </c>
      <c r="I31" s="1">
        <v>396053.0</v>
      </c>
      <c r="J31" s="1">
        <v>333926.0</v>
      </c>
      <c r="K31" s="1">
        <v>261928.0</v>
      </c>
      <c r="L31" s="1">
        <v>187921.0</v>
      </c>
      <c r="M31" s="1">
        <v>133343.0</v>
      </c>
      <c r="N31" s="1">
        <v>5765.0</v>
      </c>
      <c r="O31" s="1">
        <v>77.8841</v>
      </c>
      <c r="P31" s="2">
        <v>1.0081</v>
      </c>
      <c r="Q31" s="3">
        <v>0.01</v>
      </c>
    </row>
    <row r="32">
      <c r="A32" s="1">
        <v>108.0</v>
      </c>
      <c r="B32" s="1" t="s">
        <v>113</v>
      </c>
      <c r="C32" s="1" t="s">
        <v>114</v>
      </c>
      <c r="D32" s="1" t="s">
        <v>115</v>
      </c>
      <c r="E32" s="1" t="s">
        <v>24</v>
      </c>
      <c r="F32" s="1">
        <v>6781953.0</v>
      </c>
      <c r="G32" s="1">
        <v>6979175.0</v>
      </c>
      <c r="H32" s="1">
        <v>7309253.0</v>
      </c>
      <c r="I32" s="1">
        <v>7592273.0</v>
      </c>
      <c r="J32" s="1">
        <v>8097691.0</v>
      </c>
      <c r="K32" s="1">
        <v>8767778.0</v>
      </c>
      <c r="L32" s="1">
        <v>8980606.0</v>
      </c>
      <c r="M32" s="1">
        <v>8582950.0</v>
      </c>
      <c r="N32" s="1">
        <v>110879.0</v>
      </c>
      <c r="O32" s="1">
        <v>61.1654</v>
      </c>
      <c r="P32" s="2">
        <v>0.9849</v>
      </c>
      <c r="Q32" s="3">
        <v>0.09</v>
      </c>
    </row>
    <row r="33">
      <c r="A33" s="1">
        <v>58.0</v>
      </c>
      <c r="B33" s="1" t="s">
        <v>116</v>
      </c>
      <c r="C33" s="1" t="s">
        <v>117</v>
      </c>
      <c r="D33" s="1" t="s">
        <v>118</v>
      </c>
      <c r="E33" s="1" t="s">
        <v>28</v>
      </c>
      <c r="F33" s="1">
        <v>2.2673762E7</v>
      </c>
      <c r="G33" s="1">
        <v>2.1522626E7</v>
      </c>
      <c r="H33" s="1">
        <v>1.8718019E7</v>
      </c>
      <c r="I33" s="1">
        <v>1.6116845E7</v>
      </c>
      <c r="J33" s="1">
        <v>1.1882888E7</v>
      </c>
      <c r="K33" s="1">
        <v>9131361.0</v>
      </c>
      <c r="L33" s="1">
        <v>6932967.0</v>
      </c>
      <c r="M33" s="1">
        <v>5611666.0</v>
      </c>
      <c r="N33" s="1">
        <v>272967.0</v>
      </c>
      <c r="O33" s="1">
        <v>83.0641</v>
      </c>
      <c r="P33" s="2">
        <v>1.0259</v>
      </c>
      <c r="Q33" s="3">
        <v>0.28</v>
      </c>
    </row>
    <row r="34">
      <c r="A34" s="1">
        <v>78.0</v>
      </c>
      <c r="B34" s="1" t="s">
        <v>119</v>
      </c>
      <c r="C34" s="1" t="s">
        <v>120</v>
      </c>
      <c r="D34" s="1" t="s">
        <v>121</v>
      </c>
      <c r="E34" s="1" t="s">
        <v>28</v>
      </c>
      <c r="F34" s="1">
        <v>1.2889576E7</v>
      </c>
      <c r="G34" s="1">
        <v>1.2220227E7</v>
      </c>
      <c r="H34" s="1">
        <v>1.0727148E7</v>
      </c>
      <c r="I34" s="1">
        <v>9126605.0</v>
      </c>
      <c r="J34" s="1">
        <v>6307659.0</v>
      </c>
      <c r="K34" s="1">
        <v>5483793.0</v>
      </c>
      <c r="L34" s="1">
        <v>4312834.0</v>
      </c>
      <c r="M34" s="1">
        <v>3497834.0</v>
      </c>
      <c r="N34" s="1">
        <v>27834.0</v>
      </c>
      <c r="O34" s="1">
        <v>463.0874</v>
      </c>
      <c r="P34" s="2">
        <v>1.027</v>
      </c>
      <c r="Q34" s="3">
        <v>0.16</v>
      </c>
    </row>
    <row r="35">
      <c r="A35" s="1">
        <v>73.0</v>
      </c>
      <c r="B35" s="1" t="s">
        <v>122</v>
      </c>
      <c r="C35" s="1" t="s">
        <v>123</v>
      </c>
      <c r="D35" s="1" t="s">
        <v>124</v>
      </c>
      <c r="E35" s="1" t="s">
        <v>20</v>
      </c>
      <c r="F35" s="1">
        <v>1.6767842E7</v>
      </c>
      <c r="G35" s="1">
        <v>1.639686E7</v>
      </c>
      <c r="H35" s="1">
        <v>1.5417523E7</v>
      </c>
      <c r="I35" s="1">
        <v>1.4363532E7</v>
      </c>
      <c r="J35" s="1">
        <v>1.2118841E7</v>
      </c>
      <c r="K35" s="1">
        <v>8910808.0</v>
      </c>
      <c r="L35" s="1">
        <v>6198959.0</v>
      </c>
      <c r="M35" s="1">
        <v>6708525.0</v>
      </c>
      <c r="N35" s="1">
        <v>181035.0</v>
      </c>
      <c r="O35" s="1">
        <v>92.6221</v>
      </c>
      <c r="P35" s="2">
        <v>1.0108</v>
      </c>
      <c r="Q35" s="3">
        <v>0.21</v>
      </c>
    </row>
    <row r="36">
      <c r="A36" s="1">
        <v>53.0</v>
      </c>
      <c r="B36" s="1" t="s">
        <v>125</v>
      </c>
      <c r="C36" s="1" t="s">
        <v>126</v>
      </c>
      <c r="D36" s="1" t="s">
        <v>127</v>
      </c>
      <c r="E36" s="1" t="s">
        <v>28</v>
      </c>
      <c r="F36" s="1">
        <v>2.7914536E7</v>
      </c>
      <c r="G36" s="1">
        <v>2.6491087E7</v>
      </c>
      <c r="H36" s="1">
        <v>2.3012646E7</v>
      </c>
      <c r="I36" s="1">
        <v>1.9878036E7</v>
      </c>
      <c r="J36" s="1">
        <v>1.5091594E7</v>
      </c>
      <c r="K36" s="1">
        <v>1.143052E7</v>
      </c>
      <c r="L36" s="1">
        <v>8519891.0</v>
      </c>
      <c r="M36" s="1">
        <v>6452787.0</v>
      </c>
      <c r="N36" s="1">
        <v>475442.0</v>
      </c>
      <c r="O36" s="1">
        <v>58.7128</v>
      </c>
      <c r="P36" s="2">
        <v>1.0263</v>
      </c>
      <c r="Q36" s="3">
        <v>0.35</v>
      </c>
    </row>
    <row r="37">
      <c r="A37" s="1">
        <v>39.0</v>
      </c>
      <c r="B37" s="1" t="s">
        <v>128</v>
      </c>
      <c r="C37" s="1" t="s">
        <v>129</v>
      </c>
      <c r="D37" s="1" t="s">
        <v>130</v>
      </c>
      <c r="E37" s="1" t="s">
        <v>42</v>
      </c>
      <c r="F37" s="1">
        <v>3.8454327E7</v>
      </c>
      <c r="G37" s="1">
        <v>3.7888705E7</v>
      </c>
      <c r="H37" s="1">
        <v>3.5732126E7</v>
      </c>
      <c r="I37" s="1">
        <v>3.3963412E7</v>
      </c>
      <c r="J37" s="1">
        <v>3.0683313E7</v>
      </c>
      <c r="K37" s="1">
        <v>2.7657204E7</v>
      </c>
      <c r="L37" s="1">
        <v>2.451151E7</v>
      </c>
      <c r="M37" s="1">
        <v>2.1434577E7</v>
      </c>
      <c r="N37" s="1">
        <v>9984670.0</v>
      </c>
      <c r="O37" s="1">
        <v>3.8513</v>
      </c>
      <c r="P37" s="2">
        <v>1.0078</v>
      </c>
      <c r="Q37" s="3">
        <v>0.48</v>
      </c>
    </row>
    <row r="38">
      <c r="A38" s="1">
        <v>171.0</v>
      </c>
      <c r="B38" s="1" t="s">
        <v>131</v>
      </c>
      <c r="C38" s="1" t="s">
        <v>132</v>
      </c>
      <c r="D38" s="1" t="s">
        <v>133</v>
      </c>
      <c r="E38" s="1" t="s">
        <v>28</v>
      </c>
      <c r="F38" s="1">
        <v>593149.0</v>
      </c>
      <c r="G38" s="1">
        <v>582640.0</v>
      </c>
      <c r="H38" s="1">
        <v>552166.0</v>
      </c>
      <c r="I38" s="1">
        <v>521212.0</v>
      </c>
      <c r="J38" s="1">
        <v>458251.0</v>
      </c>
      <c r="K38" s="1">
        <v>364563.0</v>
      </c>
      <c r="L38" s="1">
        <v>317234.0</v>
      </c>
      <c r="M38" s="1">
        <v>287262.0</v>
      </c>
      <c r="N38" s="1">
        <v>4033.0</v>
      </c>
      <c r="O38" s="1">
        <v>147.0739</v>
      </c>
      <c r="P38" s="2">
        <v>1.0089</v>
      </c>
      <c r="Q38" s="3">
        <v>0.01</v>
      </c>
    </row>
    <row r="39">
      <c r="A39" s="1">
        <v>205.0</v>
      </c>
      <c r="B39" s="1" t="s">
        <v>134</v>
      </c>
      <c r="C39" s="1" t="s">
        <v>135</v>
      </c>
      <c r="D39" s="1" t="s">
        <v>136</v>
      </c>
      <c r="E39" s="1" t="s">
        <v>42</v>
      </c>
      <c r="F39" s="1">
        <v>68706.0</v>
      </c>
      <c r="G39" s="1">
        <v>67311.0</v>
      </c>
      <c r="H39" s="1">
        <v>60911.0</v>
      </c>
      <c r="I39" s="1">
        <v>54074.0</v>
      </c>
      <c r="J39" s="1">
        <v>39658.0</v>
      </c>
      <c r="K39" s="1">
        <v>26027.0</v>
      </c>
      <c r="L39" s="1">
        <v>17100.0</v>
      </c>
      <c r="M39" s="1">
        <v>10533.0</v>
      </c>
      <c r="N39" s="1">
        <v>264.0</v>
      </c>
      <c r="O39" s="1">
        <v>260.25</v>
      </c>
      <c r="P39" s="2">
        <v>1.0084</v>
      </c>
      <c r="Q39" s="3">
        <v>0.0</v>
      </c>
    </row>
    <row r="40">
      <c r="A40" s="1">
        <v>117.0</v>
      </c>
      <c r="B40" s="1" t="s">
        <v>137</v>
      </c>
      <c r="C40" s="1" t="s">
        <v>138</v>
      </c>
      <c r="D40" s="1" t="s">
        <v>139</v>
      </c>
      <c r="E40" s="1" t="s">
        <v>28</v>
      </c>
      <c r="F40" s="1">
        <v>5579144.0</v>
      </c>
      <c r="G40" s="1">
        <v>5343020.0</v>
      </c>
      <c r="H40" s="1">
        <v>4819333.0</v>
      </c>
      <c r="I40" s="1">
        <v>4660067.0</v>
      </c>
      <c r="J40" s="1">
        <v>3759170.0</v>
      </c>
      <c r="K40" s="1">
        <v>2809221.0</v>
      </c>
      <c r="L40" s="1">
        <v>2415276.0</v>
      </c>
      <c r="M40" s="1">
        <v>2067356.0</v>
      </c>
      <c r="N40" s="1">
        <v>622984.0</v>
      </c>
      <c r="O40" s="1">
        <v>8.9555</v>
      </c>
      <c r="P40" s="2">
        <v>1.0224</v>
      </c>
      <c r="Q40" s="3">
        <v>0.07</v>
      </c>
    </row>
    <row r="41">
      <c r="A41" s="1">
        <v>69.0</v>
      </c>
      <c r="B41" s="1" t="s">
        <v>140</v>
      </c>
      <c r="C41" s="1" t="s">
        <v>141</v>
      </c>
      <c r="D41" s="1" t="s">
        <v>142</v>
      </c>
      <c r="E41" s="1" t="s">
        <v>28</v>
      </c>
      <c r="F41" s="1">
        <v>1.7723315E7</v>
      </c>
      <c r="G41" s="1">
        <v>1.6644701E7</v>
      </c>
      <c r="H41" s="1">
        <v>1.4140274E7</v>
      </c>
      <c r="I41" s="1">
        <v>1.1894727E7</v>
      </c>
      <c r="J41" s="1">
        <v>8259137.0</v>
      </c>
      <c r="K41" s="1">
        <v>5827069.0</v>
      </c>
      <c r="L41" s="1">
        <v>4408230.0</v>
      </c>
      <c r="M41" s="1">
        <v>3667394.0</v>
      </c>
      <c r="N41" s="1">
        <v>1284000.0</v>
      </c>
      <c r="O41" s="1">
        <v>13.8032</v>
      </c>
      <c r="P41" s="2">
        <v>1.0316</v>
      </c>
      <c r="Q41" s="3">
        <v>0.22</v>
      </c>
    </row>
    <row r="42">
      <c r="A42" s="1">
        <v>65.0</v>
      </c>
      <c r="B42" s="1" t="s">
        <v>143</v>
      </c>
      <c r="C42" s="1" t="s">
        <v>144</v>
      </c>
      <c r="D42" s="1" t="s">
        <v>145</v>
      </c>
      <c r="E42" s="1" t="s">
        <v>49</v>
      </c>
      <c r="F42" s="1">
        <v>1.9603733E7</v>
      </c>
      <c r="G42" s="1">
        <v>1.9300315E7</v>
      </c>
      <c r="H42" s="1">
        <v>1.7870124E7</v>
      </c>
      <c r="I42" s="1">
        <v>1.7004162E7</v>
      </c>
      <c r="J42" s="1">
        <v>1.5351799E7</v>
      </c>
      <c r="K42" s="1">
        <v>1.3342868E7</v>
      </c>
      <c r="L42" s="1">
        <v>1.1469828E7</v>
      </c>
      <c r="M42" s="1">
        <v>9820481.0</v>
      </c>
      <c r="N42" s="1">
        <v>756102.0</v>
      </c>
      <c r="O42" s="1">
        <v>25.9274</v>
      </c>
      <c r="P42" s="2">
        <v>1.0057</v>
      </c>
      <c r="Q42" s="3">
        <v>0.25</v>
      </c>
    </row>
    <row r="43">
      <c r="A43" s="1">
        <v>1.0</v>
      </c>
      <c r="B43" s="1" t="s">
        <v>146</v>
      </c>
      <c r="C43" s="1" t="s">
        <v>147</v>
      </c>
      <c r="D43" s="1" t="s">
        <v>148</v>
      </c>
      <c r="E43" s="1" t="s">
        <v>20</v>
      </c>
      <c r="F43" s="1">
        <v>1.425887337E9</v>
      </c>
      <c r="G43" s="1">
        <v>1.424929781E9</v>
      </c>
      <c r="H43" s="1">
        <v>1.393715448E9</v>
      </c>
      <c r="I43" s="1">
        <v>1.348191368E9</v>
      </c>
      <c r="J43" s="1">
        <v>1.264099069E9</v>
      </c>
      <c r="K43" s="1">
        <v>1.153704252E9</v>
      </c>
      <c r="L43" s="1">
        <v>9.82372466E8</v>
      </c>
      <c r="M43" s="1">
        <v>8.2253445E8</v>
      </c>
      <c r="N43" s="1">
        <v>9706961.0</v>
      </c>
      <c r="O43" s="1">
        <v>146.8933</v>
      </c>
      <c r="P43" s="2">
        <v>1.0</v>
      </c>
      <c r="Q43" s="3">
        <v>17.88</v>
      </c>
    </row>
    <row r="44">
      <c r="A44" s="1">
        <v>28.0</v>
      </c>
      <c r="B44" s="1" t="s">
        <v>149</v>
      </c>
      <c r="C44" s="1" t="s">
        <v>150</v>
      </c>
      <c r="D44" s="1" t="s">
        <v>151</v>
      </c>
      <c r="E44" s="1" t="s">
        <v>49</v>
      </c>
      <c r="F44" s="1">
        <v>5.1874024E7</v>
      </c>
      <c r="G44" s="1">
        <v>5.0930662E7</v>
      </c>
      <c r="H44" s="1">
        <v>4.7119728E7</v>
      </c>
      <c r="I44" s="1">
        <v>4.4816108E7</v>
      </c>
      <c r="J44" s="1">
        <v>3.9215135E7</v>
      </c>
      <c r="K44" s="1">
        <v>3.2601393E7</v>
      </c>
      <c r="L44" s="1">
        <v>2.6176195E7</v>
      </c>
      <c r="M44" s="1">
        <v>2.0905254E7</v>
      </c>
      <c r="N44" s="1">
        <v>1141748.0</v>
      </c>
      <c r="O44" s="1">
        <v>45.4339</v>
      </c>
      <c r="P44" s="2">
        <v>1.0069</v>
      </c>
      <c r="Q44" s="3">
        <v>0.65</v>
      </c>
    </row>
    <row r="45">
      <c r="A45" s="1">
        <v>163.0</v>
      </c>
      <c r="B45" s="1" t="s">
        <v>152</v>
      </c>
      <c r="C45" s="1" t="s">
        <v>153</v>
      </c>
      <c r="D45" s="1" t="s">
        <v>154</v>
      </c>
      <c r="E45" s="1" t="s">
        <v>28</v>
      </c>
      <c r="F45" s="1">
        <v>836774.0</v>
      </c>
      <c r="G45" s="1">
        <v>806166.0</v>
      </c>
      <c r="H45" s="1">
        <v>730216.0</v>
      </c>
      <c r="I45" s="1">
        <v>656024.0</v>
      </c>
      <c r="J45" s="1">
        <v>536758.0</v>
      </c>
      <c r="K45" s="1">
        <v>431119.0</v>
      </c>
      <c r="L45" s="1">
        <v>328328.0</v>
      </c>
      <c r="M45" s="1">
        <v>242351.0</v>
      </c>
      <c r="N45" s="1">
        <v>1862.0</v>
      </c>
      <c r="O45" s="1">
        <v>449.3953</v>
      </c>
      <c r="P45" s="2">
        <v>1.0184</v>
      </c>
      <c r="Q45" s="3">
        <v>0.01</v>
      </c>
    </row>
    <row r="46">
      <c r="A46" s="1">
        <v>223.0</v>
      </c>
      <c r="B46" s="1" t="s">
        <v>155</v>
      </c>
      <c r="C46" s="1" t="s">
        <v>156</v>
      </c>
      <c r="D46" s="1" t="s">
        <v>157</v>
      </c>
      <c r="E46" s="1" t="s">
        <v>32</v>
      </c>
      <c r="F46" s="1">
        <v>17011.0</v>
      </c>
      <c r="G46" s="1">
        <v>17029.0</v>
      </c>
      <c r="H46" s="1">
        <v>17695.0</v>
      </c>
      <c r="I46" s="1">
        <v>17212.0</v>
      </c>
      <c r="J46" s="1">
        <v>15897.0</v>
      </c>
      <c r="K46" s="1">
        <v>17123.0</v>
      </c>
      <c r="L46" s="1">
        <v>17651.0</v>
      </c>
      <c r="M46" s="1">
        <v>20470.0</v>
      </c>
      <c r="N46" s="1">
        <v>236.0</v>
      </c>
      <c r="O46" s="1">
        <v>72.0805</v>
      </c>
      <c r="P46" s="2">
        <v>1.0005</v>
      </c>
      <c r="Q46" s="3">
        <v>0.0</v>
      </c>
    </row>
    <row r="47">
      <c r="A47" s="1">
        <v>124.0</v>
      </c>
      <c r="B47" s="1" t="s">
        <v>158</v>
      </c>
      <c r="C47" s="1" t="s">
        <v>159</v>
      </c>
      <c r="D47" s="1" t="s">
        <v>160</v>
      </c>
      <c r="E47" s="1" t="s">
        <v>42</v>
      </c>
      <c r="F47" s="1">
        <v>5180829.0</v>
      </c>
      <c r="G47" s="1">
        <v>5123105.0</v>
      </c>
      <c r="H47" s="1">
        <v>4895242.0</v>
      </c>
      <c r="I47" s="1">
        <v>4622252.0</v>
      </c>
      <c r="J47" s="1">
        <v>3979193.0</v>
      </c>
      <c r="K47" s="1">
        <v>3158253.0</v>
      </c>
      <c r="L47" s="1">
        <v>2414303.0</v>
      </c>
      <c r="M47" s="1">
        <v>1855697.0</v>
      </c>
      <c r="N47" s="1">
        <v>51100.0</v>
      </c>
      <c r="O47" s="1">
        <v>101.3861</v>
      </c>
      <c r="P47" s="2">
        <v>1.0052</v>
      </c>
      <c r="Q47" s="3">
        <v>0.06</v>
      </c>
    </row>
    <row r="48">
      <c r="A48" s="1">
        <v>130.0</v>
      </c>
      <c r="B48" s="1" t="s">
        <v>161</v>
      </c>
      <c r="C48" s="1" t="s">
        <v>162</v>
      </c>
      <c r="D48" s="1" t="s">
        <v>163</v>
      </c>
      <c r="E48" s="1" t="s">
        <v>24</v>
      </c>
      <c r="F48" s="1">
        <v>4030358.0</v>
      </c>
      <c r="G48" s="1">
        <v>4096868.0</v>
      </c>
      <c r="H48" s="1">
        <v>4254815.0</v>
      </c>
      <c r="I48" s="1">
        <v>4368682.0</v>
      </c>
      <c r="J48" s="1">
        <v>4548434.0</v>
      </c>
      <c r="K48" s="1">
        <v>4873707.0</v>
      </c>
      <c r="L48" s="1">
        <v>4680144.0</v>
      </c>
      <c r="M48" s="1">
        <v>4492638.0</v>
      </c>
      <c r="N48" s="1">
        <v>56594.0</v>
      </c>
      <c r="O48" s="1">
        <v>71.2153</v>
      </c>
      <c r="P48" s="2">
        <v>0.9927</v>
      </c>
      <c r="Q48" s="3">
        <v>0.05</v>
      </c>
    </row>
    <row r="49">
      <c r="A49" s="1">
        <v>85.0</v>
      </c>
      <c r="B49" s="1" t="s">
        <v>164</v>
      </c>
      <c r="C49" s="1" t="s">
        <v>165</v>
      </c>
      <c r="D49" s="1" t="s">
        <v>166</v>
      </c>
      <c r="E49" s="1" t="s">
        <v>42</v>
      </c>
      <c r="F49" s="1">
        <v>1.1212191E7</v>
      </c>
      <c r="G49" s="1">
        <v>1.1300698E7</v>
      </c>
      <c r="H49" s="1">
        <v>1.1339894E7</v>
      </c>
      <c r="I49" s="1">
        <v>1.1290417E7</v>
      </c>
      <c r="J49" s="1">
        <v>1.1105791E7</v>
      </c>
      <c r="K49" s="1">
        <v>1.062668E7</v>
      </c>
      <c r="L49" s="1">
        <v>9809107.0</v>
      </c>
      <c r="M49" s="1">
        <v>8869636.0</v>
      </c>
      <c r="N49" s="1">
        <v>109884.0</v>
      </c>
      <c r="O49" s="1">
        <v>102.0366</v>
      </c>
      <c r="P49" s="2">
        <v>0.9961</v>
      </c>
      <c r="Q49" s="3">
        <v>0.14</v>
      </c>
    </row>
    <row r="50">
      <c r="A50" s="1">
        <v>189.0</v>
      </c>
      <c r="B50" s="1" t="s">
        <v>167</v>
      </c>
      <c r="C50" s="1" t="s">
        <v>168</v>
      </c>
      <c r="D50" s="1" t="s">
        <v>169</v>
      </c>
      <c r="E50" s="1" t="s">
        <v>42</v>
      </c>
      <c r="F50" s="1">
        <v>191163.0</v>
      </c>
      <c r="G50" s="1">
        <v>189288.0</v>
      </c>
      <c r="H50" s="1">
        <v>169572.0</v>
      </c>
      <c r="I50" s="1">
        <v>159380.0</v>
      </c>
      <c r="J50" s="1">
        <v>141424.0</v>
      </c>
      <c r="K50" s="1">
        <v>155446.0</v>
      </c>
      <c r="L50" s="1">
        <v>156851.0</v>
      </c>
      <c r="M50" s="1">
        <v>150385.0</v>
      </c>
      <c r="N50" s="1">
        <v>444.0</v>
      </c>
      <c r="O50" s="1">
        <v>430.5473</v>
      </c>
      <c r="P50" s="2">
        <v>1.0043</v>
      </c>
      <c r="Q50" s="3">
        <v>0.0</v>
      </c>
    </row>
    <row r="51">
      <c r="A51" s="1">
        <v>158.0</v>
      </c>
      <c r="B51" s="1" t="s">
        <v>170</v>
      </c>
      <c r="C51" s="1" t="s">
        <v>171</v>
      </c>
      <c r="D51" s="1" t="s">
        <v>172</v>
      </c>
      <c r="E51" s="1" t="s">
        <v>24</v>
      </c>
      <c r="F51" s="1">
        <v>1251488.0</v>
      </c>
      <c r="G51" s="1">
        <v>1237537.0</v>
      </c>
      <c r="H51" s="1">
        <v>1187280.0</v>
      </c>
      <c r="I51" s="1">
        <v>1129686.0</v>
      </c>
      <c r="J51" s="1">
        <v>948237.0</v>
      </c>
      <c r="K51" s="1">
        <v>788500.0</v>
      </c>
      <c r="L51" s="1">
        <v>679327.0</v>
      </c>
      <c r="M51" s="1">
        <v>640804.0</v>
      </c>
      <c r="N51" s="1">
        <v>9251.0</v>
      </c>
      <c r="O51" s="1">
        <v>135.2814</v>
      </c>
      <c r="P51" s="2">
        <v>1.0059</v>
      </c>
      <c r="Q51" s="3">
        <v>0.02</v>
      </c>
    </row>
    <row r="52">
      <c r="A52" s="1">
        <v>88.0</v>
      </c>
      <c r="B52" s="1" t="s">
        <v>173</v>
      </c>
      <c r="C52" s="1" t="s">
        <v>174</v>
      </c>
      <c r="D52" s="1" t="s">
        <v>175</v>
      </c>
      <c r="E52" s="1" t="s">
        <v>24</v>
      </c>
      <c r="F52" s="1">
        <v>1.0493986E7</v>
      </c>
      <c r="G52" s="1">
        <v>1.0530953E7</v>
      </c>
      <c r="H52" s="1">
        <v>1.0523798E7</v>
      </c>
      <c r="I52" s="1">
        <v>1.0464749E7</v>
      </c>
      <c r="J52" s="1">
        <v>1.023471E7</v>
      </c>
      <c r="K52" s="1">
        <v>1.0301192E7</v>
      </c>
      <c r="L52" s="1">
        <v>1.027006E7</v>
      </c>
      <c r="M52" s="1">
        <v>9795744.0</v>
      </c>
      <c r="N52" s="1">
        <v>78865.0</v>
      </c>
      <c r="O52" s="1">
        <v>133.0627</v>
      </c>
      <c r="P52" s="2">
        <v>0.9984</v>
      </c>
      <c r="Q52" s="3">
        <v>0.13</v>
      </c>
    </row>
    <row r="53">
      <c r="A53" s="1">
        <v>115.0</v>
      </c>
      <c r="B53" s="1" t="s">
        <v>176</v>
      </c>
      <c r="C53" s="1" t="s">
        <v>177</v>
      </c>
      <c r="D53" s="1" t="s">
        <v>178</v>
      </c>
      <c r="E53" s="1" t="s">
        <v>24</v>
      </c>
      <c r="F53" s="1">
        <v>5882261.0</v>
      </c>
      <c r="G53" s="1">
        <v>5825641.0</v>
      </c>
      <c r="H53" s="1">
        <v>5677796.0</v>
      </c>
      <c r="I53" s="1">
        <v>5550849.0</v>
      </c>
      <c r="J53" s="1">
        <v>5340655.0</v>
      </c>
      <c r="K53" s="1">
        <v>5144623.0</v>
      </c>
      <c r="L53" s="1">
        <v>5125392.0</v>
      </c>
      <c r="M53" s="1">
        <v>4922963.0</v>
      </c>
      <c r="N53" s="1">
        <v>43094.0</v>
      </c>
      <c r="O53" s="1">
        <v>136.4984</v>
      </c>
      <c r="P53" s="2">
        <v>1.0048</v>
      </c>
      <c r="Q53" s="3">
        <v>0.07</v>
      </c>
    </row>
    <row r="54">
      <c r="A54" s="1">
        <v>160.0</v>
      </c>
      <c r="B54" s="1" t="s">
        <v>179</v>
      </c>
      <c r="C54" s="1" t="s">
        <v>180</v>
      </c>
      <c r="D54" s="1" t="s">
        <v>180</v>
      </c>
      <c r="E54" s="1" t="s">
        <v>28</v>
      </c>
      <c r="F54" s="1">
        <v>1120849.0</v>
      </c>
      <c r="G54" s="1">
        <v>1090156.0</v>
      </c>
      <c r="H54" s="1">
        <v>1006259.0</v>
      </c>
      <c r="I54" s="1">
        <v>919199.0</v>
      </c>
      <c r="J54" s="1">
        <v>742033.0</v>
      </c>
      <c r="K54" s="1">
        <v>577173.0</v>
      </c>
      <c r="L54" s="1">
        <v>324121.0</v>
      </c>
      <c r="M54" s="1">
        <v>144379.0</v>
      </c>
      <c r="N54" s="1">
        <v>23200.0</v>
      </c>
      <c r="O54" s="1">
        <v>48.3125</v>
      </c>
      <c r="P54" s="2">
        <v>1.0138</v>
      </c>
      <c r="Q54" s="3">
        <v>0.01</v>
      </c>
    </row>
    <row r="55">
      <c r="A55" s="1">
        <v>204.0</v>
      </c>
      <c r="B55" s="1" t="s">
        <v>181</v>
      </c>
      <c r="C55" s="1" t="s">
        <v>182</v>
      </c>
      <c r="D55" s="1" t="s">
        <v>183</v>
      </c>
      <c r="E55" s="1" t="s">
        <v>42</v>
      </c>
      <c r="F55" s="1">
        <v>72737.0</v>
      </c>
      <c r="G55" s="1">
        <v>71995.0</v>
      </c>
      <c r="H55" s="1">
        <v>70007.0</v>
      </c>
      <c r="I55" s="1">
        <v>68755.0</v>
      </c>
      <c r="J55" s="1">
        <v>68346.0</v>
      </c>
      <c r="K55" s="1">
        <v>69481.0</v>
      </c>
      <c r="L55" s="1">
        <v>72978.0</v>
      </c>
      <c r="M55" s="1">
        <v>68895.0</v>
      </c>
      <c r="N55" s="1">
        <v>751.0</v>
      </c>
      <c r="O55" s="1">
        <v>96.8535</v>
      </c>
      <c r="P55" s="2">
        <v>1.0045</v>
      </c>
      <c r="Q55" s="3">
        <v>0.0</v>
      </c>
    </row>
    <row r="56">
      <c r="A56" s="1">
        <v>84.0</v>
      </c>
      <c r="B56" s="1" t="s">
        <v>184</v>
      </c>
      <c r="C56" s="1" t="s">
        <v>185</v>
      </c>
      <c r="D56" s="1" t="s">
        <v>186</v>
      </c>
      <c r="E56" s="1" t="s">
        <v>42</v>
      </c>
      <c r="F56" s="1">
        <v>1.1228821E7</v>
      </c>
      <c r="G56" s="1">
        <v>1.0999664E7</v>
      </c>
      <c r="H56" s="1">
        <v>1.0405832E7</v>
      </c>
      <c r="I56" s="1">
        <v>9775755.0</v>
      </c>
      <c r="J56" s="1">
        <v>8540791.0</v>
      </c>
      <c r="K56" s="1">
        <v>7129004.0</v>
      </c>
      <c r="L56" s="1">
        <v>5755800.0</v>
      </c>
      <c r="M56" s="1">
        <v>4475871.0</v>
      </c>
      <c r="N56" s="1">
        <v>48671.0</v>
      </c>
      <c r="O56" s="1">
        <v>230.7087</v>
      </c>
      <c r="P56" s="2">
        <v>1.01</v>
      </c>
      <c r="Q56" s="3">
        <v>0.14</v>
      </c>
    </row>
    <row r="57">
      <c r="A57" s="1">
        <v>15.0</v>
      </c>
      <c r="B57" s="1" t="s">
        <v>187</v>
      </c>
      <c r="C57" s="1" t="s">
        <v>188</v>
      </c>
      <c r="D57" s="1" t="s">
        <v>189</v>
      </c>
      <c r="E57" s="1" t="s">
        <v>28</v>
      </c>
      <c r="F57" s="1">
        <v>9.9010212E7</v>
      </c>
      <c r="G57" s="1">
        <v>9.2853164E7</v>
      </c>
      <c r="H57" s="1">
        <v>7.8656904E7</v>
      </c>
      <c r="I57" s="1">
        <v>6.6391257E7</v>
      </c>
      <c r="J57" s="1">
        <v>4.8616317E7</v>
      </c>
      <c r="K57" s="1">
        <v>3.5987541E7</v>
      </c>
      <c r="L57" s="1">
        <v>2.6708686E7</v>
      </c>
      <c r="M57" s="1">
        <v>2.0151733E7</v>
      </c>
      <c r="N57" s="1">
        <v>2344858.0</v>
      </c>
      <c r="O57" s="1">
        <v>42.2244</v>
      </c>
      <c r="P57" s="2">
        <v>1.0325</v>
      </c>
      <c r="Q57" s="3">
        <v>1.24</v>
      </c>
    </row>
    <row r="58">
      <c r="A58" s="1">
        <v>67.0</v>
      </c>
      <c r="B58" s="1" t="s">
        <v>190</v>
      </c>
      <c r="C58" s="1" t="s">
        <v>191</v>
      </c>
      <c r="D58" s="1" t="s">
        <v>192</v>
      </c>
      <c r="E58" s="1" t="s">
        <v>49</v>
      </c>
      <c r="F58" s="1">
        <v>1.8001E7</v>
      </c>
      <c r="G58" s="1">
        <v>1.7588595E7</v>
      </c>
      <c r="H58" s="1">
        <v>1.6195902E7</v>
      </c>
      <c r="I58" s="1">
        <v>1.4989585E7</v>
      </c>
      <c r="J58" s="1">
        <v>1.2626507E7</v>
      </c>
      <c r="K58" s="1">
        <v>1.0449837E7</v>
      </c>
      <c r="L58" s="1">
        <v>8135845.0</v>
      </c>
      <c r="M58" s="1">
        <v>6172215.0</v>
      </c>
      <c r="N58" s="1">
        <v>276841.0</v>
      </c>
      <c r="O58" s="1">
        <v>65.0229</v>
      </c>
      <c r="P58" s="2">
        <v>1.0114</v>
      </c>
      <c r="Q58" s="3">
        <v>0.23</v>
      </c>
    </row>
    <row r="59">
      <c r="A59" s="1">
        <v>14.0</v>
      </c>
      <c r="B59" s="1" t="s">
        <v>193</v>
      </c>
      <c r="C59" s="1" t="s">
        <v>194</v>
      </c>
      <c r="D59" s="1" t="s">
        <v>195</v>
      </c>
      <c r="E59" s="1" t="s">
        <v>28</v>
      </c>
      <c r="F59" s="1">
        <v>1.10990103E8</v>
      </c>
      <c r="G59" s="1">
        <v>1.07465134E8</v>
      </c>
      <c r="H59" s="1">
        <v>9.7723799E7</v>
      </c>
      <c r="I59" s="1">
        <v>8.7252413E7</v>
      </c>
      <c r="J59" s="1">
        <v>7.1371371E7</v>
      </c>
      <c r="K59" s="1">
        <v>5.721463E7</v>
      </c>
      <c r="L59" s="1">
        <v>4.3748556E7</v>
      </c>
      <c r="M59" s="1">
        <v>3.4781986E7</v>
      </c>
      <c r="N59" s="1">
        <v>1002450.0</v>
      </c>
      <c r="O59" s="1">
        <v>110.7188</v>
      </c>
      <c r="P59" s="2">
        <v>1.0158</v>
      </c>
      <c r="Q59" s="3">
        <v>1.39</v>
      </c>
    </row>
    <row r="60">
      <c r="A60" s="1">
        <v>112.0</v>
      </c>
      <c r="B60" s="1" t="s">
        <v>196</v>
      </c>
      <c r="C60" s="1" t="s">
        <v>197</v>
      </c>
      <c r="D60" s="1" t="s">
        <v>198</v>
      </c>
      <c r="E60" s="1" t="s">
        <v>42</v>
      </c>
      <c r="F60" s="1">
        <v>6336392.0</v>
      </c>
      <c r="G60" s="1">
        <v>6292731.0</v>
      </c>
      <c r="H60" s="1">
        <v>6231066.0</v>
      </c>
      <c r="I60" s="1">
        <v>6114034.0</v>
      </c>
      <c r="J60" s="1">
        <v>5958482.0</v>
      </c>
      <c r="K60" s="1">
        <v>5367179.0</v>
      </c>
      <c r="L60" s="1">
        <v>4508992.0</v>
      </c>
      <c r="M60" s="1">
        <v>3619090.0</v>
      </c>
      <c r="N60" s="1">
        <v>21041.0</v>
      </c>
      <c r="O60" s="1">
        <v>301.145</v>
      </c>
      <c r="P60" s="2">
        <v>1.0035</v>
      </c>
      <c r="Q60" s="3">
        <v>0.08</v>
      </c>
    </row>
    <row r="61">
      <c r="A61" s="1">
        <v>152.0</v>
      </c>
      <c r="B61" s="1" t="s">
        <v>199</v>
      </c>
      <c r="C61" s="1" t="s">
        <v>200</v>
      </c>
      <c r="D61" s="1" t="s">
        <v>201</v>
      </c>
      <c r="E61" s="1" t="s">
        <v>28</v>
      </c>
      <c r="F61" s="1">
        <v>1674908.0</v>
      </c>
      <c r="G61" s="1">
        <v>1596049.0</v>
      </c>
      <c r="H61" s="1">
        <v>1346973.0</v>
      </c>
      <c r="I61" s="1">
        <v>1094524.0</v>
      </c>
      <c r="J61" s="1">
        <v>684977.0</v>
      </c>
      <c r="K61" s="1">
        <v>465549.0</v>
      </c>
      <c r="L61" s="1">
        <v>282509.0</v>
      </c>
      <c r="M61" s="1">
        <v>316955.0</v>
      </c>
      <c r="N61" s="1">
        <v>28051.0</v>
      </c>
      <c r="O61" s="1">
        <v>59.7094</v>
      </c>
      <c r="P61" s="2">
        <v>1.0247</v>
      </c>
      <c r="Q61" s="3">
        <v>0.02</v>
      </c>
    </row>
    <row r="62">
      <c r="A62" s="1">
        <v>132.0</v>
      </c>
      <c r="B62" s="1" t="s">
        <v>202</v>
      </c>
      <c r="C62" s="1" t="s">
        <v>203</v>
      </c>
      <c r="D62" s="1" t="s">
        <v>204</v>
      </c>
      <c r="E62" s="1" t="s">
        <v>28</v>
      </c>
      <c r="F62" s="1">
        <v>3684032.0</v>
      </c>
      <c r="G62" s="1">
        <v>3555868.0</v>
      </c>
      <c r="H62" s="1">
        <v>3340006.0</v>
      </c>
      <c r="I62" s="1">
        <v>3147727.0</v>
      </c>
      <c r="J62" s="1">
        <v>2392880.0</v>
      </c>
      <c r="K62" s="1">
        <v>2149960.0</v>
      </c>
      <c r="L62" s="1">
        <v>1657982.0</v>
      </c>
      <c r="M62" s="1">
        <v>1272748.0</v>
      </c>
      <c r="N62" s="1">
        <v>117600.0</v>
      </c>
      <c r="O62" s="1">
        <v>31.3268</v>
      </c>
      <c r="P62" s="2">
        <v>1.0176</v>
      </c>
      <c r="Q62" s="3">
        <v>0.05</v>
      </c>
    </row>
    <row r="63">
      <c r="A63" s="1">
        <v>156.0</v>
      </c>
      <c r="B63" s="1" t="s">
        <v>205</v>
      </c>
      <c r="C63" s="1" t="s">
        <v>206</v>
      </c>
      <c r="D63" s="1" t="s">
        <v>207</v>
      </c>
      <c r="E63" s="1" t="s">
        <v>24</v>
      </c>
      <c r="F63" s="1">
        <v>1326062.0</v>
      </c>
      <c r="G63" s="1">
        <v>1329444.0</v>
      </c>
      <c r="H63" s="1">
        <v>1314657.0</v>
      </c>
      <c r="I63" s="1">
        <v>1331535.0</v>
      </c>
      <c r="J63" s="1">
        <v>1396877.0</v>
      </c>
      <c r="K63" s="1">
        <v>1570674.0</v>
      </c>
      <c r="L63" s="1">
        <v>1476983.0</v>
      </c>
      <c r="M63" s="1">
        <v>1361999.0</v>
      </c>
      <c r="N63" s="1">
        <v>45227.0</v>
      </c>
      <c r="O63" s="1">
        <v>29.3201</v>
      </c>
      <c r="P63" s="2">
        <v>0.998</v>
      </c>
      <c r="Q63" s="3">
        <v>0.02</v>
      </c>
    </row>
    <row r="64">
      <c r="A64" s="1">
        <v>159.0</v>
      </c>
      <c r="B64" s="1" t="s">
        <v>208</v>
      </c>
      <c r="C64" s="1" t="s">
        <v>209</v>
      </c>
      <c r="D64" s="1" t="s">
        <v>210</v>
      </c>
      <c r="E64" s="1" t="s">
        <v>28</v>
      </c>
      <c r="F64" s="1">
        <v>1201670.0</v>
      </c>
      <c r="G64" s="1">
        <v>1180655.0</v>
      </c>
      <c r="H64" s="1">
        <v>1133936.0</v>
      </c>
      <c r="I64" s="1">
        <v>1099920.0</v>
      </c>
      <c r="J64" s="1">
        <v>1030496.0</v>
      </c>
      <c r="K64" s="1">
        <v>854011.0</v>
      </c>
      <c r="L64" s="1">
        <v>598564.0</v>
      </c>
      <c r="M64" s="1">
        <v>442865.0</v>
      </c>
      <c r="N64" s="1">
        <v>17364.0</v>
      </c>
      <c r="O64" s="1">
        <v>69.2047</v>
      </c>
      <c r="P64" s="2">
        <v>1.0079</v>
      </c>
      <c r="Q64" s="3">
        <v>0.02</v>
      </c>
    </row>
    <row r="65">
      <c r="A65" s="1">
        <v>12.0</v>
      </c>
      <c r="B65" s="1" t="s">
        <v>211</v>
      </c>
      <c r="C65" s="1" t="s">
        <v>212</v>
      </c>
      <c r="D65" s="1" t="s">
        <v>213</v>
      </c>
      <c r="E65" s="1" t="s">
        <v>28</v>
      </c>
      <c r="F65" s="1">
        <v>1.23379924E8</v>
      </c>
      <c r="G65" s="1">
        <v>1.17190911E8</v>
      </c>
      <c r="H65" s="1">
        <v>1.02471895E8</v>
      </c>
      <c r="I65" s="1">
        <v>8.9237791E7</v>
      </c>
      <c r="J65" s="1">
        <v>6.7031867E7</v>
      </c>
      <c r="K65" s="1">
        <v>4.7878073E7</v>
      </c>
      <c r="L65" s="1">
        <v>3.4945469E7</v>
      </c>
      <c r="M65" s="1">
        <v>2.8308246E7</v>
      </c>
      <c r="N65" s="1">
        <v>1104300.0</v>
      </c>
      <c r="O65" s="1">
        <v>111.7268</v>
      </c>
      <c r="P65" s="2">
        <v>1.0257</v>
      </c>
      <c r="Q65" s="3">
        <v>1.55</v>
      </c>
    </row>
    <row r="66">
      <c r="A66" s="1">
        <v>231.0</v>
      </c>
      <c r="B66" s="1" t="s">
        <v>214</v>
      </c>
      <c r="C66" s="1" t="s">
        <v>215</v>
      </c>
      <c r="D66" s="1" t="s">
        <v>216</v>
      </c>
      <c r="E66" s="1" t="s">
        <v>49</v>
      </c>
      <c r="F66" s="1">
        <v>3780.0</v>
      </c>
      <c r="G66" s="1">
        <v>3747.0</v>
      </c>
      <c r="H66" s="1">
        <v>3408.0</v>
      </c>
      <c r="I66" s="1">
        <v>3187.0</v>
      </c>
      <c r="J66" s="1">
        <v>3080.0</v>
      </c>
      <c r="K66" s="1">
        <v>2332.0</v>
      </c>
      <c r="L66" s="1">
        <v>2240.0</v>
      </c>
      <c r="M66" s="1">
        <v>2274.0</v>
      </c>
      <c r="N66" s="1">
        <v>12173.0</v>
      </c>
      <c r="O66" s="1">
        <v>0.3105</v>
      </c>
      <c r="P66" s="2">
        <v>1.0043</v>
      </c>
      <c r="Q66" s="3">
        <v>0.0</v>
      </c>
    </row>
    <row r="67">
      <c r="A67" s="1">
        <v>209.0</v>
      </c>
      <c r="B67" s="1" t="s">
        <v>217</v>
      </c>
      <c r="C67" s="1" t="s">
        <v>218</v>
      </c>
      <c r="D67" s="1" t="s">
        <v>219</v>
      </c>
      <c r="E67" s="1" t="s">
        <v>24</v>
      </c>
      <c r="F67" s="1">
        <v>53090.0</v>
      </c>
      <c r="G67" s="1">
        <v>52415.0</v>
      </c>
      <c r="H67" s="1">
        <v>48816.0</v>
      </c>
      <c r="I67" s="1">
        <v>48410.0</v>
      </c>
      <c r="J67" s="1">
        <v>45660.0</v>
      </c>
      <c r="K67" s="1">
        <v>47479.0</v>
      </c>
      <c r="L67" s="1">
        <v>43054.0</v>
      </c>
      <c r="M67" s="1">
        <v>38416.0</v>
      </c>
      <c r="N67" s="1">
        <v>1393.0</v>
      </c>
      <c r="O67" s="1">
        <v>38.112</v>
      </c>
      <c r="P67" s="2">
        <v>1.0038</v>
      </c>
      <c r="Q67" s="3">
        <v>0.0</v>
      </c>
    </row>
    <row r="68">
      <c r="A68" s="1">
        <v>162.0</v>
      </c>
      <c r="B68" s="1" t="s">
        <v>220</v>
      </c>
      <c r="C68" s="1" t="s">
        <v>221</v>
      </c>
      <c r="D68" s="1" t="s">
        <v>222</v>
      </c>
      <c r="E68" s="1" t="s">
        <v>32</v>
      </c>
      <c r="F68" s="1">
        <v>929766.0</v>
      </c>
      <c r="G68" s="1">
        <v>920422.0</v>
      </c>
      <c r="H68" s="1">
        <v>917200.0</v>
      </c>
      <c r="I68" s="1">
        <v>905169.0</v>
      </c>
      <c r="J68" s="1">
        <v>832509.0</v>
      </c>
      <c r="K68" s="1">
        <v>780430.0</v>
      </c>
      <c r="L68" s="1">
        <v>644582.0</v>
      </c>
      <c r="M68" s="1">
        <v>527634.0</v>
      </c>
      <c r="N68" s="1">
        <v>18272.0</v>
      </c>
      <c r="O68" s="1">
        <v>50.8847</v>
      </c>
      <c r="P68" s="2">
        <v>1.0056</v>
      </c>
      <c r="Q68" s="3">
        <v>0.01</v>
      </c>
    </row>
    <row r="69">
      <c r="A69" s="1">
        <v>118.0</v>
      </c>
      <c r="B69" s="1" t="s">
        <v>223</v>
      </c>
      <c r="C69" s="1" t="s">
        <v>224</v>
      </c>
      <c r="D69" s="1" t="s">
        <v>225</v>
      </c>
      <c r="E69" s="1" t="s">
        <v>24</v>
      </c>
      <c r="F69" s="1">
        <v>5540745.0</v>
      </c>
      <c r="G69" s="1">
        <v>5529468.0</v>
      </c>
      <c r="H69" s="1">
        <v>5479461.0</v>
      </c>
      <c r="I69" s="1">
        <v>5363271.0</v>
      </c>
      <c r="J69" s="1">
        <v>5176209.0</v>
      </c>
      <c r="K69" s="1">
        <v>4986545.0</v>
      </c>
      <c r="L69" s="1">
        <v>4779418.0</v>
      </c>
      <c r="M69" s="1">
        <v>4606621.0</v>
      </c>
      <c r="N69" s="1">
        <v>338424.0</v>
      </c>
      <c r="O69" s="1">
        <v>16.3722</v>
      </c>
      <c r="P69" s="2">
        <v>1.0009</v>
      </c>
      <c r="Q69" s="3">
        <v>0.07</v>
      </c>
    </row>
    <row r="70">
      <c r="A70" s="1">
        <v>23.0</v>
      </c>
      <c r="B70" s="1" t="s">
        <v>226</v>
      </c>
      <c r="C70" s="1" t="s">
        <v>227</v>
      </c>
      <c r="D70" s="1" t="s">
        <v>228</v>
      </c>
      <c r="E70" s="1" t="s">
        <v>24</v>
      </c>
      <c r="F70" s="1">
        <v>6.4626628E7</v>
      </c>
      <c r="G70" s="1">
        <v>6.4480053E7</v>
      </c>
      <c r="H70" s="1">
        <v>6.3809769E7</v>
      </c>
      <c r="I70" s="1">
        <v>6.2444567E7</v>
      </c>
      <c r="J70" s="1">
        <v>5.8665453E7</v>
      </c>
      <c r="K70" s="1">
        <v>5.6412897E7</v>
      </c>
      <c r="L70" s="1">
        <v>5.371383E7</v>
      </c>
      <c r="M70" s="1">
        <v>5.0523586E7</v>
      </c>
      <c r="N70" s="1">
        <v>551695.0</v>
      </c>
      <c r="O70" s="1">
        <v>117.1419</v>
      </c>
      <c r="P70" s="2">
        <v>1.0015</v>
      </c>
      <c r="Q70" s="3">
        <v>0.81</v>
      </c>
    </row>
    <row r="71">
      <c r="A71" s="1">
        <v>184.0</v>
      </c>
      <c r="B71" s="1" t="s">
        <v>229</v>
      </c>
      <c r="C71" s="1" t="s">
        <v>230</v>
      </c>
      <c r="D71" s="1" t="s">
        <v>231</v>
      </c>
      <c r="E71" s="1" t="s">
        <v>49</v>
      </c>
      <c r="F71" s="1">
        <v>304557.0</v>
      </c>
      <c r="G71" s="1">
        <v>290969.0</v>
      </c>
      <c r="H71" s="1">
        <v>257026.0</v>
      </c>
      <c r="I71" s="1">
        <v>228453.0</v>
      </c>
      <c r="J71" s="1">
        <v>164351.0</v>
      </c>
      <c r="K71" s="1">
        <v>113931.0</v>
      </c>
      <c r="L71" s="1">
        <v>66825.0</v>
      </c>
      <c r="M71" s="1">
        <v>46484.0</v>
      </c>
      <c r="N71" s="1">
        <v>83534.0</v>
      </c>
      <c r="O71" s="1">
        <v>3.6459</v>
      </c>
      <c r="P71" s="2">
        <v>1.0239</v>
      </c>
      <c r="Q71" s="3">
        <v>0.0</v>
      </c>
    </row>
    <row r="72">
      <c r="A72" s="1">
        <v>183.0</v>
      </c>
      <c r="B72" s="1" t="s">
        <v>232</v>
      </c>
      <c r="C72" s="1" t="s">
        <v>233</v>
      </c>
      <c r="D72" s="1" t="s">
        <v>234</v>
      </c>
      <c r="E72" s="1" t="s">
        <v>32</v>
      </c>
      <c r="F72" s="1">
        <v>306279.0</v>
      </c>
      <c r="G72" s="1">
        <v>301920.0</v>
      </c>
      <c r="H72" s="1">
        <v>291787.0</v>
      </c>
      <c r="I72" s="1">
        <v>283788.0</v>
      </c>
      <c r="J72" s="1">
        <v>250927.0</v>
      </c>
      <c r="K72" s="1">
        <v>211089.0</v>
      </c>
      <c r="L72" s="1">
        <v>163591.0</v>
      </c>
      <c r="M72" s="1">
        <v>117891.0</v>
      </c>
      <c r="N72" s="1">
        <v>4167.0</v>
      </c>
      <c r="O72" s="1">
        <v>73.5011</v>
      </c>
      <c r="P72" s="2">
        <v>1.0074</v>
      </c>
      <c r="Q72" s="3">
        <v>0.0</v>
      </c>
    </row>
    <row r="73">
      <c r="A73" s="1">
        <v>146.0</v>
      </c>
      <c r="B73" s="1" t="s">
        <v>235</v>
      </c>
      <c r="C73" s="1" t="s">
        <v>236</v>
      </c>
      <c r="D73" s="1" t="s">
        <v>237</v>
      </c>
      <c r="E73" s="1" t="s">
        <v>28</v>
      </c>
      <c r="F73" s="1">
        <v>2388992.0</v>
      </c>
      <c r="G73" s="1">
        <v>2292573.0</v>
      </c>
      <c r="H73" s="1">
        <v>2028517.0</v>
      </c>
      <c r="I73" s="1">
        <v>1711105.0</v>
      </c>
      <c r="J73" s="1">
        <v>1272935.0</v>
      </c>
      <c r="K73" s="1">
        <v>983028.0</v>
      </c>
      <c r="L73" s="1">
        <v>749078.0</v>
      </c>
      <c r="M73" s="1">
        <v>597192.0</v>
      </c>
      <c r="N73" s="1">
        <v>267668.0</v>
      </c>
      <c r="O73" s="1">
        <v>8.9252</v>
      </c>
      <c r="P73" s="2">
        <v>1.0204</v>
      </c>
      <c r="Q73" s="3">
        <v>0.03</v>
      </c>
    </row>
    <row r="74">
      <c r="A74" s="1">
        <v>142.0</v>
      </c>
      <c r="B74" s="1" t="s">
        <v>238</v>
      </c>
      <c r="C74" s="1" t="s">
        <v>239</v>
      </c>
      <c r="D74" s="1" t="s">
        <v>240</v>
      </c>
      <c r="E74" s="1" t="s">
        <v>28</v>
      </c>
      <c r="F74" s="1">
        <v>2705992.0</v>
      </c>
      <c r="G74" s="1">
        <v>2573995.0</v>
      </c>
      <c r="H74" s="1">
        <v>2253133.0</v>
      </c>
      <c r="I74" s="1">
        <v>1937275.0</v>
      </c>
      <c r="J74" s="1">
        <v>1437539.0</v>
      </c>
      <c r="K74" s="1">
        <v>1040616.0</v>
      </c>
      <c r="L74" s="1">
        <v>718586.0</v>
      </c>
      <c r="M74" s="1">
        <v>528731.0</v>
      </c>
      <c r="N74" s="1">
        <v>10689.0</v>
      </c>
      <c r="O74" s="1">
        <v>253.1567</v>
      </c>
      <c r="P74" s="2">
        <v>1.025</v>
      </c>
      <c r="Q74" s="3">
        <v>0.03</v>
      </c>
    </row>
    <row r="75">
      <c r="A75" s="1">
        <v>131.0</v>
      </c>
      <c r="B75" s="1" t="s">
        <v>241</v>
      </c>
      <c r="C75" s="1" t="s">
        <v>242</v>
      </c>
      <c r="D75" s="1" t="s">
        <v>243</v>
      </c>
      <c r="E75" s="1" t="s">
        <v>20</v>
      </c>
      <c r="F75" s="1">
        <v>3744385.0</v>
      </c>
      <c r="G75" s="1">
        <v>3765912.0</v>
      </c>
      <c r="H75" s="1">
        <v>3771132.0</v>
      </c>
      <c r="I75" s="1">
        <v>3836831.0</v>
      </c>
      <c r="J75" s="1">
        <v>4265172.0</v>
      </c>
      <c r="K75" s="1">
        <v>5391636.0</v>
      </c>
      <c r="L75" s="1">
        <v>5145843.0</v>
      </c>
      <c r="M75" s="1">
        <v>4800426.0</v>
      </c>
      <c r="N75" s="1">
        <v>69700.0</v>
      </c>
      <c r="O75" s="1">
        <v>53.7214</v>
      </c>
      <c r="P75" s="2">
        <v>0.9964</v>
      </c>
      <c r="Q75" s="3">
        <v>0.05</v>
      </c>
    </row>
    <row r="76">
      <c r="A76" s="1">
        <v>19.0</v>
      </c>
      <c r="B76" s="1" t="s">
        <v>244</v>
      </c>
      <c r="C76" s="1" t="s">
        <v>245</v>
      </c>
      <c r="D76" s="1" t="s">
        <v>246</v>
      </c>
      <c r="E76" s="1" t="s">
        <v>24</v>
      </c>
      <c r="F76" s="1">
        <v>8.3369843E7</v>
      </c>
      <c r="G76" s="1">
        <v>8.3328988E7</v>
      </c>
      <c r="H76" s="1">
        <v>8.2073226E7</v>
      </c>
      <c r="I76" s="1">
        <v>8.132509E7</v>
      </c>
      <c r="J76" s="1">
        <v>8.1551677E7</v>
      </c>
      <c r="K76" s="1">
        <v>7.9370196E7</v>
      </c>
      <c r="L76" s="1">
        <v>7.7786703E7</v>
      </c>
      <c r="M76" s="1">
        <v>7.8294583E7</v>
      </c>
      <c r="N76" s="1">
        <v>357114.0</v>
      </c>
      <c r="O76" s="1">
        <v>233.4544</v>
      </c>
      <c r="P76" s="2">
        <v>0.9995</v>
      </c>
      <c r="Q76" s="3">
        <v>1.05</v>
      </c>
    </row>
    <row r="77">
      <c r="A77" s="1">
        <v>47.0</v>
      </c>
      <c r="B77" s="1" t="s">
        <v>247</v>
      </c>
      <c r="C77" s="1" t="s">
        <v>248</v>
      </c>
      <c r="D77" s="1" t="s">
        <v>249</v>
      </c>
      <c r="E77" s="1" t="s">
        <v>28</v>
      </c>
      <c r="F77" s="1">
        <v>3.347587E7</v>
      </c>
      <c r="G77" s="1">
        <v>3.2180401E7</v>
      </c>
      <c r="H77" s="1">
        <v>2.8870939E7</v>
      </c>
      <c r="I77" s="1">
        <v>2.5574719E7</v>
      </c>
      <c r="J77" s="1">
        <v>1.9665502E7</v>
      </c>
      <c r="K77" s="1">
        <v>1.5446982E7</v>
      </c>
      <c r="L77" s="1">
        <v>1.1865246E7</v>
      </c>
      <c r="M77" s="1">
        <v>8861895.0</v>
      </c>
      <c r="N77" s="1">
        <v>238533.0</v>
      </c>
      <c r="O77" s="1">
        <v>140.3406</v>
      </c>
      <c r="P77" s="2">
        <v>1.0196</v>
      </c>
      <c r="Q77" s="3">
        <v>0.42</v>
      </c>
    </row>
    <row r="78">
      <c r="A78" s="1">
        <v>219.0</v>
      </c>
      <c r="B78" s="1" t="s">
        <v>250</v>
      </c>
      <c r="C78" s="1" t="s">
        <v>251</v>
      </c>
      <c r="D78" s="1" t="s">
        <v>251</v>
      </c>
      <c r="E78" s="1" t="s">
        <v>24</v>
      </c>
      <c r="F78" s="1">
        <v>32649.0</v>
      </c>
      <c r="G78" s="1">
        <v>32709.0</v>
      </c>
      <c r="H78" s="1">
        <v>32520.0</v>
      </c>
      <c r="I78" s="1">
        <v>31262.0</v>
      </c>
      <c r="J78" s="1">
        <v>27741.0</v>
      </c>
      <c r="K78" s="1">
        <v>27317.0</v>
      </c>
      <c r="L78" s="1">
        <v>28734.0</v>
      </c>
      <c r="M78" s="1">
        <v>26685.0</v>
      </c>
      <c r="N78" s="1">
        <v>6.0</v>
      </c>
      <c r="O78" s="1">
        <v>5441.5</v>
      </c>
      <c r="P78" s="2">
        <v>0.9994</v>
      </c>
      <c r="Q78" s="3">
        <v>0.0</v>
      </c>
    </row>
    <row r="79">
      <c r="A79" s="1">
        <v>90.0</v>
      </c>
      <c r="B79" s="1" t="s">
        <v>252</v>
      </c>
      <c r="C79" s="1" t="s">
        <v>253</v>
      </c>
      <c r="D79" s="1" t="s">
        <v>254</v>
      </c>
      <c r="E79" s="1" t="s">
        <v>24</v>
      </c>
      <c r="F79" s="1">
        <v>1.0384971E7</v>
      </c>
      <c r="G79" s="1">
        <v>1.0512232E7</v>
      </c>
      <c r="H79" s="1">
        <v>1.0806641E7</v>
      </c>
      <c r="I79" s="1">
        <v>1.1033783E7</v>
      </c>
      <c r="J79" s="1">
        <v>1.1038109E7</v>
      </c>
      <c r="K79" s="1">
        <v>1.0302255E7</v>
      </c>
      <c r="L79" s="1">
        <v>9307148.0</v>
      </c>
      <c r="M79" s="1">
        <v>8544873.0</v>
      </c>
      <c r="N79" s="1">
        <v>131990.0</v>
      </c>
      <c r="O79" s="1">
        <v>78.68</v>
      </c>
      <c r="P79" s="2">
        <v>0.9942</v>
      </c>
      <c r="Q79" s="3">
        <v>0.13</v>
      </c>
    </row>
    <row r="80">
      <c r="A80" s="1">
        <v>208.0</v>
      </c>
      <c r="B80" s="1" t="s">
        <v>255</v>
      </c>
      <c r="C80" s="1" t="s">
        <v>256</v>
      </c>
      <c r="D80" s="1" t="s">
        <v>257</v>
      </c>
      <c r="E80" s="1" t="s">
        <v>42</v>
      </c>
      <c r="F80" s="1">
        <v>56466.0</v>
      </c>
      <c r="G80" s="1">
        <v>56026.0</v>
      </c>
      <c r="H80" s="1">
        <v>55895.0</v>
      </c>
      <c r="I80" s="1">
        <v>56351.0</v>
      </c>
      <c r="J80" s="1">
        <v>56184.0</v>
      </c>
      <c r="K80" s="1">
        <v>55599.0</v>
      </c>
      <c r="L80" s="1">
        <v>50106.0</v>
      </c>
      <c r="M80" s="1">
        <v>45434.0</v>
      </c>
      <c r="N80" s="1">
        <v>2166086.0</v>
      </c>
      <c r="O80" s="1">
        <v>0.0261</v>
      </c>
      <c r="P80" s="2">
        <v>1.004</v>
      </c>
      <c r="Q80" s="3">
        <v>0.0</v>
      </c>
    </row>
    <row r="81">
      <c r="A81" s="1">
        <v>193.0</v>
      </c>
      <c r="B81" s="1" t="s">
        <v>258</v>
      </c>
      <c r="C81" s="1" t="s">
        <v>259</v>
      </c>
      <c r="D81" s="1" t="s">
        <v>260</v>
      </c>
      <c r="E81" s="1" t="s">
        <v>42</v>
      </c>
      <c r="F81" s="1">
        <v>125438.0</v>
      </c>
      <c r="G81" s="1">
        <v>123663.0</v>
      </c>
      <c r="H81" s="1">
        <v>118980.0</v>
      </c>
      <c r="I81" s="1">
        <v>114039.0</v>
      </c>
      <c r="J81" s="1">
        <v>107432.0</v>
      </c>
      <c r="K81" s="1">
        <v>99047.0</v>
      </c>
      <c r="L81" s="1">
        <v>94838.0</v>
      </c>
      <c r="M81" s="1">
        <v>98794.0</v>
      </c>
      <c r="N81" s="1">
        <v>344.0</v>
      </c>
      <c r="O81" s="1">
        <v>364.6453</v>
      </c>
      <c r="P81" s="2">
        <v>1.0066</v>
      </c>
      <c r="Q81" s="3">
        <v>0.0</v>
      </c>
    </row>
    <row r="82">
      <c r="A82" s="1">
        <v>178.0</v>
      </c>
      <c r="B82" s="1" t="s">
        <v>261</v>
      </c>
      <c r="C82" s="1" t="s">
        <v>262</v>
      </c>
      <c r="D82" s="1" t="s">
        <v>263</v>
      </c>
      <c r="E82" s="1" t="s">
        <v>42</v>
      </c>
      <c r="F82" s="1">
        <v>395752.0</v>
      </c>
      <c r="G82" s="1">
        <v>395642.0</v>
      </c>
      <c r="H82" s="1">
        <v>399089.0</v>
      </c>
      <c r="I82" s="1">
        <v>403072.0</v>
      </c>
      <c r="J82" s="1">
        <v>424067.0</v>
      </c>
      <c r="K82" s="1">
        <v>391951.0</v>
      </c>
      <c r="L82" s="1">
        <v>334234.0</v>
      </c>
      <c r="M82" s="1">
        <v>318310.0</v>
      </c>
      <c r="N82" s="1">
        <v>1628.0</v>
      </c>
      <c r="O82" s="1">
        <v>243.0909</v>
      </c>
      <c r="P82" s="2">
        <v>0.9992</v>
      </c>
      <c r="Q82" s="3">
        <v>0.0</v>
      </c>
    </row>
    <row r="83">
      <c r="A83" s="1">
        <v>191.0</v>
      </c>
      <c r="B83" s="1" t="s">
        <v>264</v>
      </c>
      <c r="C83" s="1" t="s">
        <v>265</v>
      </c>
      <c r="D83" s="1" t="s">
        <v>266</v>
      </c>
      <c r="E83" s="1" t="s">
        <v>32</v>
      </c>
      <c r="F83" s="1">
        <v>171774.0</v>
      </c>
      <c r="G83" s="1">
        <v>169231.0</v>
      </c>
      <c r="H83" s="1">
        <v>167978.0</v>
      </c>
      <c r="I83" s="1">
        <v>164905.0</v>
      </c>
      <c r="J83" s="1">
        <v>160188.0</v>
      </c>
      <c r="K83" s="1">
        <v>138263.0</v>
      </c>
      <c r="L83" s="1">
        <v>110286.0</v>
      </c>
      <c r="M83" s="1">
        <v>88300.0</v>
      </c>
      <c r="N83" s="1">
        <v>549.0</v>
      </c>
      <c r="O83" s="1">
        <v>312.8852</v>
      </c>
      <c r="P83" s="2">
        <v>1.0073</v>
      </c>
      <c r="Q83" s="3">
        <v>0.0</v>
      </c>
    </row>
    <row r="84">
      <c r="A84" s="1">
        <v>68.0</v>
      </c>
      <c r="B84" s="1" t="s">
        <v>267</v>
      </c>
      <c r="C84" s="1" t="s">
        <v>268</v>
      </c>
      <c r="D84" s="1" t="s">
        <v>269</v>
      </c>
      <c r="E84" s="1" t="s">
        <v>42</v>
      </c>
      <c r="F84" s="1">
        <v>1.7843908E7</v>
      </c>
      <c r="G84" s="1">
        <v>1.7362718E7</v>
      </c>
      <c r="H84" s="1">
        <v>1.6001107E7</v>
      </c>
      <c r="I84" s="1">
        <v>1.4543121E7</v>
      </c>
      <c r="J84" s="1">
        <v>1.1735894E7</v>
      </c>
      <c r="K84" s="1">
        <v>9084780.0</v>
      </c>
      <c r="L84" s="1">
        <v>6987767.0</v>
      </c>
      <c r="M84" s="1">
        <v>5453208.0</v>
      </c>
      <c r="N84" s="1">
        <v>108889.0</v>
      </c>
      <c r="O84" s="1">
        <v>163.8725</v>
      </c>
      <c r="P84" s="2">
        <v>1.0134</v>
      </c>
      <c r="Q84" s="3">
        <v>0.22</v>
      </c>
    </row>
    <row r="85">
      <c r="A85" s="1">
        <v>207.0</v>
      </c>
      <c r="B85" s="1" t="s">
        <v>270</v>
      </c>
      <c r="C85" s="1" t="s">
        <v>271</v>
      </c>
      <c r="D85" s="1" t="s">
        <v>272</v>
      </c>
      <c r="E85" s="1" t="s">
        <v>24</v>
      </c>
      <c r="F85" s="1">
        <v>63301.0</v>
      </c>
      <c r="G85" s="1">
        <v>62794.0</v>
      </c>
      <c r="H85" s="1">
        <v>61629.0</v>
      </c>
      <c r="I85" s="1">
        <v>60782.0</v>
      </c>
      <c r="J85" s="1">
        <v>59114.0</v>
      </c>
      <c r="K85" s="1">
        <v>57727.0</v>
      </c>
      <c r="L85" s="1">
        <v>52860.0</v>
      </c>
      <c r="M85" s="1">
        <v>52656.0</v>
      </c>
      <c r="N85" s="1">
        <v>78.0</v>
      </c>
      <c r="O85" s="1">
        <v>811.5513</v>
      </c>
      <c r="P85" s="2">
        <v>1.0037</v>
      </c>
      <c r="Q85" s="3">
        <v>0.0</v>
      </c>
    </row>
    <row r="86">
      <c r="A86" s="1">
        <v>75.0</v>
      </c>
      <c r="B86" s="1" t="s">
        <v>273</v>
      </c>
      <c r="C86" s="1" t="s">
        <v>274</v>
      </c>
      <c r="D86" s="1" t="s">
        <v>275</v>
      </c>
      <c r="E86" s="1" t="s">
        <v>28</v>
      </c>
      <c r="F86" s="1">
        <v>1.3859341E7</v>
      </c>
      <c r="G86" s="1">
        <v>1.3205153E7</v>
      </c>
      <c r="H86" s="1">
        <v>1.1625998E7</v>
      </c>
      <c r="I86" s="1">
        <v>1.0270728E7</v>
      </c>
      <c r="J86" s="1">
        <v>8336967.0</v>
      </c>
      <c r="K86" s="1">
        <v>6354145.0</v>
      </c>
      <c r="L86" s="1">
        <v>4972609.0</v>
      </c>
      <c r="M86" s="1">
        <v>4222374.0</v>
      </c>
      <c r="N86" s="1">
        <v>245857.0</v>
      </c>
      <c r="O86" s="1">
        <v>56.3716</v>
      </c>
      <c r="P86" s="2">
        <v>1.0242</v>
      </c>
      <c r="Q86" s="3">
        <v>0.17</v>
      </c>
    </row>
    <row r="87">
      <c r="A87" s="1">
        <v>149.0</v>
      </c>
      <c r="B87" s="1" t="s">
        <v>276</v>
      </c>
      <c r="C87" s="1" t="s">
        <v>277</v>
      </c>
      <c r="D87" s="1" t="s">
        <v>278</v>
      </c>
      <c r="E87" s="1" t="s">
        <v>28</v>
      </c>
      <c r="F87" s="1">
        <v>2105566.0</v>
      </c>
      <c r="G87" s="1">
        <v>2015828.0</v>
      </c>
      <c r="H87" s="1">
        <v>1788919.0</v>
      </c>
      <c r="I87" s="1">
        <v>1567220.0</v>
      </c>
      <c r="J87" s="1">
        <v>1230849.0</v>
      </c>
      <c r="K87" s="1">
        <v>973551.0</v>
      </c>
      <c r="L87" s="1">
        <v>831462.0</v>
      </c>
      <c r="M87" s="1">
        <v>591663.0</v>
      </c>
      <c r="N87" s="1">
        <v>36125.0</v>
      </c>
      <c r="O87" s="1">
        <v>58.2856</v>
      </c>
      <c r="P87" s="2">
        <v>1.0218</v>
      </c>
      <c r="Q87" s="3">
        <v>0.03</v>
      </c>
    </row>
    <row r="88">
      <c r="A88" s="1">
        <v>164.0</v>
      </c>
      <c r="B88" s="1" t="s">
        <v>279</v>
      </c>
      <c r="C88" s="1" t="s">
        <v>280</v>
      </c>
      <c r="D88" s="1" t="s">
        <v>281</v>
      </c>
      <c r="E88" s="1" t="s">
        <v>49</v>
      </c>
      <c r="F88" s="1">
        <v>808726.0</v>
      </c>
      <c r="G88" s="1">
        <v>797202.0</v>
      </c>
      <c r="H88" s="1">
        <v>755031.0</v>
      </c>
      <c r="I88" s="1">
        <v>747932.0</v>
      </c>
      <c r="J88" s="1">
        <v>759051.0</v>
      </c>
      <c r="K88" s="1">
        <v>747116.0</v>
      </c>
      <c r="L88" s="1">
        <v>778176.0</v>
      </c>
      <c r="M88" s="1">
        <v>705261.0</v>
      </c>
      <c r="N88" s="1">
        <v>214969.0</v>
      </c>
      <c r="O88" s="1">
        <v>3.7621</v>
      </c>
      <c r="P88" s="2">
        <v>1.0052</v>
      </c>
      <c r="Q88" s="3">
        <v>0.01</v>
      </c>
    </row>
    <row r="89">
      <c r="A89" s="1">
        <v>82.0</v>
      </c>
      <c r="B89" s="1" t="s">
        <v>282</v>
      </c>
      <c r="C89" s="1" t="s">
        <v>283</v>
      </c>
      <c r="D89" s="1" t="s">
        <v>284</v>
      </c>
      <c r="E89" s="1" t="s">
        <v>42</v>
      </c>
      <c r="F89" s="1">
        <v>1.1584996E7</v>
      </c>
      <c r="G89" s="1">
        <v>1.1306801E7</v>
      </c>
      <c r="H89" s="1">
        <v>1.0563757E7</v>
      </c>
      <c r="I89" s="1">
        <v>9842880.0</v>
      </c>
      <c r="J89" s="1">
        <v>8360225.0</v>
      </c>
      <c r="K89" s="1">
        <v>6925331.0</v>
      </c>
      <c r="L89" s="1">
        <v>5646676.0</v>
      </c>
      <c r="M89" s="1">
        <v>4680812.0</v>
      </c>
      <c r="N89" s="1">
        <v>27750.0</v>
      </c>
      <c r="O89" s="1">
        <v>417.4773</v>
      </c>
      <c r="P89" s="2">
        <v>1.012</v>
      </c>
      <c r="Q89" s="3">
        <v>0.15</v>
      </c>
    </row>
    <row r="90">
      <c r="A90" s="1">
        <v>89.0</v>
      </c>
      <c r="B90" s="1" t="s">
        <v>285</v>
      </c>
      <c r="C90" s="1" t="s">
        <v>286</v>
      </c>
      <c r="D90" s="1" t="s">
        <v>287</v>
      </c>
      <c r="E90" s="1" t="s">
        <v>42</v>
      </c>
      <c r="F90" s="1">
        <v>1.043286E7</v>
      </c>
      <c r="G90" s="1">
        <v>1.0121763E7</v>
      </c>
      <c r="H90" s="1">
        <v>9294505.0</v>
      </c>
      <c r="I90" s="1">
        <v>8450933.0</v>
      </c>
      <c r="J90" s="1">
        <v>6656725.0</v>
      </c>
      <c r="K90" s="1">
        <v>5053234.0</v>
      </c>
      <c r="L90" s="1">
        <v>3777990.0</v>
      </c>
      <c r="M90" s="1">
        <v>2782753.0</v>
      </c>
      <c r="N90" s="1">
        <v>112492.0</v>
      </c>
      <c r="O90" s="1">
        <v>92.7431</v>
      </c>
      <c r="P90" s="2">
        <v>1.015</v>
      </c>
      <c r="Q90" s="3">
        <v>0.13</v>
      </c>
    </row>
    <row r="91">
      <c r="A91" s="1">
        <v>104.0</v>
      </c>
      <c r="B91" s="1" t="s">
        <v>288</v>
      </c>
      <c r="C91" s="1" t="s">
        <v>289</v>
      </c>
      <c r="D91" s="1" t="s">
        <v>289</v>
      </c>
      <c r="E91" s="1" t="s">
        <v>20</v>
      </c>
      <c r="F91" s="1">
        <v>7488865.0</v>
      </c>
      <c r="G91" s="1">
        <v>7500958.0</v>
      </c>
      <c r="H91" s="1">
        <v>7399838.0</v>
      </c>
      <c r="I91" s="1">
        <v>7132438.0</v>
      </c>
      <c r="J91" s="1">
        <v>6731195.0</v>
      </c>
      <c r="K91" s="1">
        <v>5838574.0</v>
      </c>
      <c r="L91" s="1">
        <v>4978544.0</v>
      </c>
      <c r="M91" s="1">
        <v>3955072.0</v>
      </c>
      <c r="N91" s="1">
        <v>1104.0</v>
      </c>
      <c r="O91" s="1">
        <v>6783.3922</v>
      </c>
      <c r="P91" s="2">
        <v>0.9992</v>
      </c>
      <c r="Q91" s="3">
        <v>0.09</v>
      </c>
    </row>
    <row r="92">
      <c r="A92" s="1">
        <v>94.0</v>
      </c>
      <c r="B92" s="1" t="s">
        <v>290</v>
      </c>
      <c r="C92" s="1" t="s">
        <v>291</v>
      </c>
      <c r="D92" s="1" t="s">
        <v>292</v>
      </c>
      <c r="E92" s="1" t="s">
        <v>24</v>
      </c>
      <c r="F92" s="1">
        <v>9967308.0</v>
      </c>
      <c r="G92" s="1">
        <v>9750573.0</v>
      </c>
      <c r="H92" s="1">
        <v>9844246.0</v>
      </c>
      <c r="I92" s="1">
        <v>9986825.0</v>
      </c>
      <c r="J92" s="1">
        <v>1.0202055E7</v>
      </c>
      <c r="K92" s="1">
        <v>1.0375989E7</v>
      </c>
      <c r="L92" s="1">
        <v>1.0698679E7</v>
      </c>
      <c r="M92" s="1">
        <v>1.0315366E7</v>
      </c>
      <c r="N92" s="1">
        <v>93028.0</v>
      </c>
      <c r="O92" s="1">
        <v>107.1431</v>
      </c>
      <c r="P92" s="2">
        <v>1.0265</v>
      </c>
      <c r="Q92" s="3">
        <v>0.12</v>
      </c>
    </row>
    <row r="93">
      <c r="A93" s="1">
        <v>179.0</v>
      </c>
      <c r="B93" s="1" t="s">
        <v>293</v>
      </c>
      <c r="C93" s="1" t="s">
        <v>294</v>
      </c>
      <c r="D93" s="1" t="s">
        <v>295</v>
      </c>
      <c r="E93" s="1" t="s">
        <v>24</v>
      </c>
      <c r="F93" s="1">
        <v>372899.0</v>
      </c>
      <c r="G93" s="1">
        <v>366669.0</v>
      </c>
      <c r="H93" s="1">
        <v>331060.0</v>
      </c>
      <c r="I93" s="1">
        <v>318333.0</v>
      </c>
      <c r="J93" s="1">
        <v>281462.0</v>
      </c>
      <c r="K93" s="1">
        <v>255019.0</v>
      </c>
      <c r="L93" s="1">
        <v>228263.0</v>
      </c>
      <c r="M93" s="1">
        <v>204468.0</v>
      </c>
      <c r="N93" s="1">
        <v>103000.0</v>
      </c>
      <c r="O93" s="1">
        <v>3.6204</v>
      </c>
      <c r="P93" s="2">
        <v>1.0069</v>
      </c>
      <c r="Q93" s="3">
        <v>0.0</v>
      </c>
    </row>
    <row r="94">
      <c r="A94" s="1">
        <v>2.0</v>
      </c>
      <c r="B94" s="1" t="s">
        <v>296</v>
      </c>
      <c r="C94" s="1" t="s">
        <v>297</v>
      </c>
      <c r="D94" s="1" t="s">
        <v>298</v>
      </c>
      <c r="E94" s="1" t="s">
        <v>20</v>
      </c>
      <c r="F94" s="1">
        <v>1.417173173E9</v>
      </c>
      <c r="G94" s="1">
        <v>1.396387127E9</v>
      </c>
      <c r="H94" s="1">
        <v>1.322866505E9</v>
      </c>
      <c r="I94" s="1">
        <v>1.24061362E9</v>
      </c>
      <c r="J94" s="1">
        <v>1.059633675E9</v>
      </c>
      <c r="K94" s="1">
        <v>8.70452165E8</v>
      </c>
      <c r="L94" s="1">
        <v>6.96828385E8</v>
      </c>
      <c r="M94" s="1">
        <v>5.57501301E8</v>
      </c>
      <c r="N94" s="1">
        <v>3287590.0</v>
      </c>
      <c r="O94" s="1">
        <v>431.0675</v>
      </c>
      <c r="P94" s="2">
        <v>1.0068</v>
      </c>
      <c r="Q94" s="3">
        <v>17.77</v>
      </c>
    </row>
    <row r="95">
      <c r="A95" s="1">
        <v>4.0</v>
      </c>
      <c r="B95" s="1" t="s">
        <v>299</v>
      </c>
      <c r="C95" s="1" t="s">
        <v>300</v>
      </c>
      <c r="D95" s="1" t="s">
        <v>301</v>
      </c>
      <c r="E95" s="1" t="s">
        <v>20</v>
      </c>
      <c r="F95" s="1">
        <v>2.75501339E8</v>
      </c>
      <c r="G95" s="1">
        <v>2.7185797E8</v>
      </c>
      <c r="H95" s="1">
        <v>2.5909197E8</v>
      </c>
      <c r="I95" s="1">
        <v>2.44016173E8</v>
      </c>
      <c r="J95" s="1">
        <v>2.14072421E8</v>
      </c>
      <c r="K95" s="1">
        <v>1.82159874E8</v>
      </c>
      <c r="L95" s="1">
        <v>1.48177096E8</v>
      </c>
      <c r="M95" s="1">
        <v>1.15228394E8</v>
      </c>
      <c r="N95" s="1">
        <v>1904569.0</v>
      </c>
      <c r="O95" s="1">
        <v>144.6529</v>
      </c>
      <c r="P95" s="2">
        <v>1.0064</v>
      </c>
      <c r="Q95" s="3">
        <v>3.45</v>
      </c>
    </row>
    <row r="96">
      <c r="A96" s="1">
        <v>17.0</v>
      </c>
      <c r="B96" s="1" t="s">
        <v>302</v>
      </c>
      <c r="C96" s="1" t="s">
        <v>303</v>
      </c>
      <c r="D96" s="1" t="s">
        <v>304</v>
      </c>
      <c r="E96" s="1" t="s">
        <v>20</v>
      </c>
      <c r="F96" s="1">
        <v>8.855057E7</v>
      </c>
      <c r="G96" s="1">
        <v>8.7290193E7</v>
      </c>
      <c r="H96" s="1">
        <v>8.1790841E7</v>
      </c>
      <c r="I96" s="1">
        <v>7.5373855E7</v>
      </c>
      <c r="J96" s="1">
        <v>6.5544383E7</v>
      </c>
      <c r="K96" s="1">
        <v>5.5793629E7</v>
      </c>
      <c r="L96" s="1">
        <v>3.8520664E7</v>
      </c>
      <c r="M96" s="1">
        <v>2.8449705E7</v>
      </c>
      <c r="N96" s="1">
        <v>1648195.0</v>
      </c>
      <c r="O96" s="1">
        <v>53.7258</v>
      </c>
      <c r="P96" s="2">
        <v>1.0071</v>
      </c>
      <c r="Q96" s="3">
        <v>1.11</v>
      </c>
    </row>
    <row r="97">
      <c r="A97" s="1">
        <v>35.0</v>
      </c>
      <c r="B97" s="1" t="s">
        <v>305</v>
      </c>
      <c r="C97" s="1" t="s">
        <v>306</v>
      </c>
      <c r="D97" s="1" t="s">
        <v>307</v>
      </c>
      <c r="E97" s="1" t="s">
        <v>20</v>
      </c>
      <c r="F97" s="1">
        <v>4.4496122E7</v>
      </c>
      <c r="G97" s="1">
        <v>4.2556984E7</v>
      </c>
      <c r="H97" s="1">
        <v>3.7757813E7</v>
      </c>
      <c r="I97" s="1">
        <v>3.1264875E7</v>
      </c>
      <c r="J97" s="1">
        <v>2.4628858E7</v>
      </c>
      <c r="K97" s="1">
        <v>1.7658381E7</v>
      </c>
      <c r="L97" s="1">
        <v>1.3653369E7</v>
      </c>
      <c r="M97" s="1">
        <v>9811347.0</v>
      </c>
      <c r="N97" s="1">
        <v>438317.0</v>
      </c>
      <c r="O97" s="1">
        <v>101.5158</v>
      </c>
      <c r="P97" s="2">
        <v>1.0221</v>
      </c>
      <c r="Q97" s="3">
        <v>0.56</v>
      </c>
    </row>
    <row r="98">
      <c r="A98" s="1">
        <v>125.0</v>
      </c>
      <c r="B98" s="1" t="s">
        <v>308</v>
      </c>
      <c r="C98" s="1" t="s">
        <v>309</v>
      </c>
      <c r="D98" s="1" t="s">
        <v>310</v>
      </c>
      <c r="E98" s="1" t="s">
        <v>24</v>
      </c>
      <c r="F98" s="1">
        <v>5023109.0</v>
      </c>
      <c r="G98" s="1">
        <v>4946119.0</v>
      </c>
      <c r="H98" s="1">
        <v>4665760.0</v>
      </c>
      <c r="I98" s="1">
        <v>4524585.0</v>
      </c>
      <c r="J98" s="1">
        <v>3768950.0</v>
      </c>
      <c r="K98" s="1">
        <v>3485374.0</v>
      </c>
      <c r="L98" s="1">
        <v>3391387.0</v>
      </c>
      <c r="M98" s="1">
        <v>2937637.0</v>
      </c>
      <c r="N98" s="1">
        <v>70273.0</v>
      </c>
      <c r="O98" s="1">
        <v>71.4799</v>
      </c>
      <c r="P98" s="2">
        <v>1.0073</v>
      </c>
      <c r="Q98" s="3">
        <v>0.06</v>
      </c>
    </row>
    <row r="99">
      <c r="A99" s="1">
        <v>202.0</v>
      </c>
      <c r="B99" s="1" t="s">
        <v>311</v>
      </c>
      <c r="C99" s="1" t="s">
        <v>312</v>
      </c>
      <c r="D99" s="1" t="s">
        <v>313</v>
      </c>
      <c r="E99" s="1" t="s">
        <v>24</v>
      </c>
      <c r="F99" s="1">
        <v>84519.0</v>
      </c>
      <c r="G99" s="1">
        <v>84046.0</v>
      </c>
      <c r="H99" s="1">
        <v>83593.0</v>
      </c>
      <c r="I99" s="1">
        <v>83828.0</v>
      </c>
      <c r="J99" s="1">
        <v>75562.0</v>
      </c>
      <c r="K99" s="1">
        <v>68865.0</v>
      </c>
      <c r="L99" s="1">
        <v>64022.0</v>
      </c>
      <c r="M99" s="1">
        <v>55298.0</v>
      </c>
      <c r="N99" s="1">
        <v>572.0</v>
      </c>
      <c r="O99" s="1">
        <v>147.7605</v>
      </c>
      <c r="P99" s="2">
        <v>1.003</v>
      </c>
      <c r="Q99" s="3">
        <v>0.0</v>
      </c>
    </row>
    <row r="100">
      <c r="A100" s="1">
        <v>98.0</v>
      </c>
      <c r="B100" s="1" t="s">
        <v>314</v>
      </c>
      <c r="C100" s="1" t="s">
        <v>315</v>
      </c>
      <c r="D100" s="1" t="s">
        <v>316</v>
      </c>
      <c r="E100" s="1" t="s">
        <v>20</v>
      </c>
      <c r="F100" s="1">
        <v>9038309.0</v>
      </c>
      <c r="G100" s="1">
        <v>8757489.0</v>
      </c>
      <c r="H100" s="1">
        <v>8007778.0</v>
      </c>
      <c r="I100" s="1">
        <v>7328445.0</v>
      </c>
      <c r="J100" s="1">
        <v>6116958.0</v>
      </c>
      <c r="K100" s="1">
        <v>4803254.0</v>
      </c>
      <c r="L100" s="1">
        <v>3744608.0</v>
      </c>
      <c r="M100" s="1">
        <v>2907307.0</v>
      </c>
      <c r="N100" s="1">
        <v>20770.0</v>
      </c>
      <c r="O100" s="1">
        <v>435.1617</v>
      </c>
      <c r="P100" s="2">
        <v>1.0155</v>
      </c>
      <c r="Q100" s="3">
        <v>0.11</v>
      </c>
    </row>
    <row r="101">
      <c r="A101" s="1">
        <v>25.0</v>
      </c>
      <c r="B101" s="1" t="s">
        <v>317</v>
      </c>
      <c r="C101" s="1" t="s">
        <v>318</v>
      </c>
      <c r="D101" s="1" t="s">
        <v>319</v>
      </c>
      <c r="E101" s="1" t="s">
        <v>24</v>
      </c>
      <c r="F101" s="1">
        <v>5.9037474E7</v>
      </c>
      <c r="G101" s="1">
        <v>5.9500579E7</v>
      </c>
      <c r="H101" s="1">
        <v>6.0232906E7</v>
      </c>
      <c r="I101" s="1">
        <v>5.982245E7</v>
      </c>
      <c r="J101" s="1">
        <v>5.6966397E7</v>
      </c>
      <c r="K101" s="1">
        <v>5.6756561E7</v>
      </c>
      <c r="L101" s="1">
        <v>5.6329482E7</v>
      </c>
      <c r="M101" s="1">
        <v>5.3324036E7</v>
      </c>
      <c r="N101" s="1">
        <v>301336.0</v>
      </c>
      <c r="O101" s="1">
        <v>195.9191</v>
      </c>
      <c r="P101" s="2">
        <v>0.9966</v>
      </c>
      <c r="Q101" s="3">
        <v>0.74</v>
      </c>
    </row>
    <row r="102">
      <c r="A102" s="1">
        <v>52.0</v>
      </c>
      <c r="B102" s="1" t="s">
        <v>320</v>
      </c>
      <c r="C102" s="1" t="s">
        <v>321</v>
      </c>
      <c r="D102" s="1" t="s">
        <v>322</v>
      </c>
      <c r="E102" s="1" t="s">
        <v>28</v>
      </c>
      <c r="F102" s="1">
        <v>2.8160542E7</v>
      </c>
      <c r="G102" s="1">
        <v>2.681179E7</v>
      </c>
      <c r="H102" s="1">
        <v>2.3596741E7</v>
      </c>
      <c r="I102" s="1">
        <v>2.1120042E7</v>
      </c>
      <c r="J102" s="1">
        <v>1.679967E7</v>
      </c>
      <c r="K102" s="1">
        <v>1.191054E7</v>
      </c>
      <c r="L102" s="1">
        <v>8303809.0</v>
      </c>
      <c r="M102" s="1">
        <v>5477086.0</v>
      </c>
      <c r="N102" s="1">
        <v>322463.0</v>
      </c>
      <c r="O102" s="1">
        <v>87.3295</v>
      </c>
      <c r="P102" s="2">
        <v>1.0248</v>
      </c>
      <c r="Q102" s="3">
        <v>0.35</v>
      </c>
    </row>
    <row r="103">
      <c r="A103" s="1">
        <v>139.0</v>
      </c>
      <c r="B103" s="1" t="s">
        <v>323</v>
      </c>
      <c r="C103" s="1" t="s">
        <v>324</v>
      </c>
      <c r="D103" s="1" t="s">
        <v>325</v>
      </c>
      <c r="E103" s="1" t="s">
        <v>42</v>
      </c>
      <c r="F103" s="1">
        <v>2827377.0</v>
      </c>
      <c r="G103" s="1">
        <v>2820436.0</v>
      </c>
      <c r="H103" s="1">
        <v>2794445.0</v>
      </c>
      <c r="I103" s="1">
        <v>2733896.0</v>
      </c>
      <c r="J103" s="1">
        <v>2612205.0</v>
      </c>
      <c r="K103" s="1">
        <v>2392030.0</v>
      </c>
      <c r="L103" s="1">
        <v>2135546.0</v>
      </c>
      <c r="M103" s="1">
        <v>1859091.0</v>
      </c>
      <c r="N103" s="1">
        <v>10991.0</v>
      </c>
      <c r="O103" s="1">
        <v>257.2447</v>
      </c>
      <c r="P103" s="2">
        <v>0.9999</v>
      </c>
      <c r="Q103" s="3">
        <v>0.04</v>
      </c>
    </row>
    <row r="104">
      <c r="A104" s="1">
        <v>11.0</v>
      </c>
      <c r="B104" s="1" t="s">
        <v>326</v>
      </c>
      <c r="C104" s="1" t="s">
        <v>327</v>
      </c>
      <c r="D104" s="1" t="s">
        <v>328</v>
      </c>
      <c r="E104" s="1" t="s">
        <v>20</v>
      </c>
      <c r="F104" s="1">
        <v>1.23951692E8</v>
      </c>
      <c r="G104" s="1">
        <v>1.25244761E8</v>
      </c>
      <c r="H104" s="1">
        <v>1.27250933E8</v>
      </c>
      <c r="I104" s="1">
        <v>1.28105431E8</v>
      </c>
      <c r="J104" s="1">
        <v>1.26803861E8</v>
      </c>
      <c r="K104" s="1">
        <v>1.23686321E8</v>
      </c>
      <c r="L104" s="1">
        <v>1.17624196E8</v>
      </c>
      <c r="M104" s="1">
        <v>1.05416839E8</v>
      </c>
      <c r="N104" s="1">
        <v>377930.0</v>
      </c>
      <c r="O104" s="1">
        <v>327.9753</v>
      </c>
      <c r="P104" s="2">
        <v>0.9947</v>
      </c>
      <c r="Q104" s="3">
        <v>1.55</v>
      </c>
    </row>
    <row r="105">
      <c r="A105" s="1">
        <v>195.0</v>
      </c>
      <c r="B105" s="1" t="s">
        <v>329</v>
      </c>
      <c r="C105" s="1" t="s">
        <v>330</v>
      </c>
      <c r="D105" s="1" t="s">
        <v>331</v>
      </c>
      <c r="E105" s="1" t="s">
        <v>24</v>
      </c>
      <c r="F105" s="1">
        <v>110778.0</v>
      </c>
      <c r="G105" s="1">
        <v>108319.0</v>
      </c>
      <c r="H105" s="1">
        <v>100561.0</v>
      </c>
      <c r="I105" s="1">
        <v>96151.0</v>
      </c>
      <c r="J105" s="1">
        <v>86192.0</v>
      </c>
      <c r="K105" s="1">
        <v>82874.0</v>
      </c>
      <c r="L105" s="1">
        <v>75124.0</v>
      </c>
      <c r="M105" s="1">
        <v>68347.0</v>
      </c>
      <c r="N105" s="1">
        <v>116.0</v>
      </c>
      <c r="O105" s="1">
        <v>954.9828</v>
      </c>
      <c r="P105" s="2">
        <v>1.0106</v>
      </c>
      <c r="Q105" s="3">
        <v>0.0</v>
      </c>
    </row>
    <row r="106">
      <c r="A106" s="1">
        <v>83.0</v>
      </c>
      <c r="B106" s="1" t="s">
        <v>332</v>
      </c>
      <c r="C106" s="1" t="s">
        <v>333</v>
      </c>
      <c r="D106" s="1" t="s">
        <v>334</v>
      </c>
      <c r="E106" s="1" t="s">
        <v>20</v>
      </c>
      <c r="F106" s="1">
        <v>1.1285869E7</v>
      </c>
      <c r="G106" s="1">
        <v>1.0928721E7</v>
      </c>
      <c r="H106" s="1">
        <v>9494246.0</v>
      </c>
      <c r="I106" s="1">
        <v>6931258.0</v>
      </c>
      <c r="J106" s="1">
        <v>5056174.0</v>
      </c>
      <c r="K106" s="1">
        <v>3480587.0</v>
      </c>
      <c r="L106" s="1">
        <v>2216903.0</v>
      </c>
      <c r="M106" s="1">
        <v>1557374.0</v>
      </c>
      <c r="N106" s="1">
        <v>89342.0</v>
      </c>
      <c r="O106" s="1">
        <v>126.3221</v>
      </c>
      <c r="P106" s="2">
        <v>1.0123</v>
      </c>
      <c r="Q106" s="3">
        <v>0.14</v>
      </c>
    </row>
    <row r="107">
      <c r="A107" s="1">
        <v>66.0</v>
      </c>
      <c r="B107" s="1" t="s">
        <v>335</v>
      </c>
      <c r="C107" s="1" t="s">
        <v>336</v>
      </c>
      <c r="D107" s="1" t="s">
        <v>337</v>
      </c>
      <c r="E107" s="1" t="s">
        <v>20</v>
      </c>
      <c r="F107" s="1">
        <v>1.9397998E7</v>
      </c>
      <c r="G107" s="1">
        <v>1.8979243E7</v>
      </c>
      <c r="H107" s="1">
        <v>1.7835909E7</v>
      </c>
      <c r="I107" s="1">
        <v>1.6627837E7</v>
      </c>
      <c r="J107" s="1">
        <v>1.5236253E7</v>
      </c>
      <c r="K107" s="1">
        <v>1.6866563E7</v>
      </c>
      <c r="L107" s="1">
        <v>1.417271E7</v>
      </c>
      <c r="M107" s="1">
        <v>1.2265305E7</v>
      </c>
      <c r="N107" s="1">
        <v>2724900.0</v>
      </c>
      <c r="O107" s="1">
        <v>7.1188</v>
      </c>
      <c r="P107" s="2">
        <v>1.0105</v>
      </c>
      <c r="Q107" s="3">
        <v>0.24</v>
      </c>
    </row>
    <row r="108">
      <c r="A108" s="1">
        <v>27.0</v>
      </c>
      <c r="B108" s="1" t="s">
        <v>338</v>
      </c>
      <c r="C108" s="1" t="s">
        <v>339</v>
      </c>
      <c r="D108" s="1" t="s">
        <v>340</v>
      </c>
      <c r="E108" s="1" t="s">
        <v>28</v>
      </c>
      <c r="F108" s="1">
        <v>5.4027487E7</v>
      </c>
      <c r="G108" s="1">
        <v>5.198578E7</v>
      </c>
      <c r="H108" s="1">
        <v>4.6851488E7</v>
      </c>
      <c r="I108" s="1">
        <v>4.1517895E7</v>
      </c>
      <c r="J108" s="1">
        <v>3.0851606E7</v>
      </c>
      <c r="K108" s="1">
        <v>2.3162269E7</v>
      </c>
      <c r="L108" s="1">
        <v>1.6187124E7</v>
      </c>
      <c r="M108" s="1">
        <v>1.1473087E7</v>
      </c>
      <c r="N108" s="1">
        <v>580367.0</v>
      </c>
      <c r="O108" s="1">
        <v>93.0919</v>
      </c>
      <c r="P108" s="2">
        <v>1.0193</v>
      </c>
      <c r="Q108" s="3">
        <v>0.68</v>
      </c>
    </row>
    <row r="109">
      <c r="A109" s="1">
        <v>192.0</v>
      </c>
      <c r="B109" s="1" t="s">
        <v>341</v>
      </c>
      <c r="C109" s="1" t="s">
        <v>342</v>
      </c>
      <c r="D109" s="1" t="s">
        <v>343</v>
      </c>
      <c r="E109" s="1" t="s">
        <v>32</v>
      </c>
      <c r="F109" s="1">
        <v>131232.0</v>
      </c>
      <c r="G109" s="1">
        <v>126463.0</v>
      </c>
      <c r="H109" s="1">
        <v>116707.0</v>
      </c>
      <c r="I109" s="1">
        <v>107995.0</v>
      </c>
      <c r="J109" s="1">
        <v>88826.0</v>
      </c>
      <c r="K109" s="1">
        <v>75124.0</v>
      </c>
      <c r="L109" s="1">
        <v>60813.0</v>
      </c>
      <c r="M109" s="1">
        <v>57437.0</v>
      </c>
      <c r="N109" s="1">
        <v>811.0</v>
      </c>
      <c r="O109" s="1">
        <v>161.815</v>
      </c>
      <c r="P109" s="2">
        <v>1.0183</v>
      </c>
      <c r="Q109" s="3">
        <v>0.0</v>
      </c>
    </row>
    <row r="110">
      <c r="A110" s="1">
        <v>129.0</v>
      </c>
      <c r="B110" s="1" t="s">
        <v>344</v>
      </c>
      <c r="C110" s="1" t="s">
        <v>345</v>
      </c>
      <c r="D110" s="1" t="s">
        <v>346</v>
      </c>
      <c r="E110" s="1" t="s">
        <v>20</v>
      </c>
      <c r="F110" s="1">
        <v>4268873.0</v>
      </c>
      <c r="G110" s="1">
        <v>4360444.0</v>
      </c>
      <c r="H110" s="1">
        <v>3908743.0</v>
      </c>
      <c r="I110" s="1">
        <v>2943356.0</v>
      </c>
      <c r="J110" s="1">
        <v>1934901.0</v>
      </c>
      <c r="K110" s="1">
        <v>1674938.0</v>
      </c>
      <c r="L110" s="1">
        <v>1493870.0</v>
      </c>
      <c r="M110" s="1">
        <v>802786.0</v>
      </c>
      <c r="N110" s="1">
        <v>17818.0</v>
      </c>
      <c r="O110" s="1">
        <v>239.5821</v>
      </c>
      <c r="P110" s="2">
        <v>1.0044</v>
      </c>
      <c r="Q110" s="3">
        <v>0.05</v>
      </c>
    </row>
    <row r="111">
      <c r="A111" s="1">
        <v>110.0</v>
      </c>
      <c r="B111" s="1" t="s">
        <v>347</v>
      </c>
      <c r="C111" s="1" t="s">
        <v>348</v>
      </c>
      <c r="D111" s="1" t="s">
        <v>349</v>
      </c>
      <c r="E111" s="1" t="s">
        <v>20</v>
      </c>
      <c r="F111" s="1">
        <v>6630623.0</v>
      </c>
      <c r="G111" s="1">
        <v>6424874.0</v>
      </c>
      <c r="H111" s="1">
        <v>5914980.0</v>
      </c>
      <c r="I111" s="1">
        <v>5483774.0</v>
      </c>
      <c r="J111" s="1">
        <v>4935182.0</v>
      </c>
      <c r="K111" s="1">
        <v>4394734.0</v>
      </c>
      <c r="L111" s="1">
        <v>3691209.0</v>
      </c>
      <c r="M111" s="1">
        <v>3016384.0</v>
      </c>
      <c r="N111" s="1">
        <v>199951.0</v>
      </c>
      <c r="O111" s="1">
        <v>33.1612</v>
      </c>
      <c r="P111" s="2">
        <v>1.0158</v>
      </c>
      <c r="Q111" s="3">
        <v>0.08</v>
      </c>
    </row>
    <row r="112">
      <c r="A112" s="1">
        <v>103.0</v>
      </c>
      <c r="B112" s="1" t="s">
        <v>350</v>
      </c>
      <c r="C112" s="1" t="s">
        <v>351</v>
      </c>
      <c r="D112" s="1" t="s">
        <v>352</v>
      </c>
      <c r="E112" s="1" t="s">
        <v>20</v>
      </c>
      <c r="F112" s="1">
        <v>7529475.0</v>
      </c>
      <c r="G112" s="1">
        <v>7319399.0</v>
      </c>
      <c r="H112" s="1">
        <v>6787419.0</v>
      </c>
      <c r="I112" s="1">
        <v>6323418.0</v>
      </c>
      <c r="J112" s="1">
        <v>5430853.0</v>
      </c>
      <c r="K112" s="1">
        <v>4314443.0</v>
      </c>
      <c r="L112" s="1">
        <v>3297519.0</v>
      </c>
      <c r="M112" s="1">
        <v>2675283.0</v>
      </c>
      <c r="N112" s="1">
        <v>236800.0</v>
      </c>
      <c r="O112" s="1">
        <v>31.7968</v>
      </c>
      <c r="P112" s="2">
        <v>1.0141</v>
      </c>
      <c r="Q112" s="3">
        <v>0.09</v>
      </c>
    </row>
    <row r="113">
      <c r="A113" s="1">
        <v>151.0</v>
      </c>
      <c r="B113" s="1" t="s">
        <v>353</v>
      </c>
      <c r="C113" s="1" t="s">
        <v>354</v>
      </c>
      <c r="D113" s="1" t="s">
        <v>355</v>
      </c>
      <c r="E113" s="1" t="s">
        <v>24</v>
      </c>
      <c r="F113" s="1">
        <v>1850651.0</v>
      </c>
      <c r="G113" s="1">
        <v>1897052.0</v>
      </c>
      <c r="H113" s="1">
        <v>1991955.0</v>
      </c>
      <c r="I113" s="1">
        <v>2101530.0</v>
      </c>
      <c r="J113" s="1">
        <v>2392530.0</v>
      </c>
      <c r="K113" s="1">
        <v>2689391.0</v>
      </c>
      <c r="L113" s="1">
        <v>2572037.0</v>
      </c>
      <c r="M113" s="1">
        <v>2397414.0</v>
      </c>
      <c r="N113" s="1">
        <v>64559.0</v>
      </c>
      <c r="O113" s="1">
        <v>28.666</v>
      </c>
      <c r="P113" s="2">
        <v>0.9876</v>
      </c>
      <c r="Q113" s="3">
        <v>0.02</v>
      </c>
    </row>
    <row r="114">
      <c r="A114" s="1">
        <v>119.0</v>
      </c>
      <c r="B114" s="1" t="s">
        <v>356</v>
      </c>
      <c r="C114" s="1" t="s">
        <v>357</v>
      </c>
      <c r="D114" s="1" t="s">
        <v>358</v>
      </c>
      <c r="E114" s="1" t="s">
        <v>20</v>
      </c>
      <c r="F114" s="1">
        <v>5489739.0</v>
      </c>
      <c r="G114" s="1">
        <v>5662923.0</v>
      </c>
      <c r="H114" s="1">
        <v>6398940.0</v>
      </c>
      <c r="I114" s="1">
        <v>4995800.0</v>
      </c>
      <c r="J114" s="1">
        <v>4320642.0</v>
      </c>
      <c r="K114" s="1">
        <v>3593700.0</v>
      </c>
      <c r="L114" s="1">
        <v>2963702.0</v>
      </c>
      <c r="M114" s="1">
        <v>2381791.0</v>
      </c>
      <c r="N114" s="1">
        <v>10452.0</v>
      </c>
      <c r="O114" s="1">
        <v>525.2334</v>
      </c>
      <c r="P114" s="2">
        <v>0.9816</v>
      </c>
      <c r="Q114" s="3">
        <v>0.07</v>
      </c>
    </row>
    <row r="115">
      <c r="A115" s="1">
        <v>147.0</v>
      </c>
      <c r="B115" s="1" t="s">
        <v>359</v>
      </c>
      <c r="C115" s="1" t="s">
        <v>360</v>
      </c>
      <c r="D115" s="1" t="s">
        <v>361</v>
      </c>
      <c r="E115" s="1" t="s">
        <v>28</v>
      </c>
      <c r="F115" s="1">
        <v>2305825.0</v>
      </c>
      <c r="G115" s="1">
        <v>2254100.0</v>
      </c>
      <c r="H115" s="1">
        <v>2118521.0</v>
      </c>
      <c r="I115" s="1">
        <v>2022747.0</v>
      </c>
      <c r="J115" s="1">
        <v>1998630.0</v>
      </c>
      <c r="K115" s="1">
        <v>1798997.0</v>
      </c>
      <c r="L115" s="1">
        <v>1407672.0</v>
      </c>
      <c r="M115" s="1">
        <v>1023481.0</v>
      </c>
      <c r="N115" s="1">
        <v>30355.0</v>
      </c>
      <c r="O115" s="1">
        <v>75.962</v>
      </c>
      <c r="P115" s="2">
        <v>1.0107</v>
      </c>
      <c r="Q115" s="3">
        <v>0.03</v>
      </c>
    </row>
    <row r="116">
      <c r="A116" s="1">
        <v>121.0</v>
      </c>
      <c r="B116" s="1" t="s">
        <v>362</v>
      </c>
      <c r="C116" s="1" t="s">
        <v>363</v>
      </c>
      <c r="D116" s="1" t="s">
        <v>364</v>
      </c>
      <c r="E116" s="1" t="s">
        <v>28</v>
      </c>
      <c r="F116" s="1">
        <v>5302681.0</v>
      </c>
      <c r="G116" s="1">
        <v>5087584.0</v>
      </c>
      <c r="H116" s="1">
        <v>4612329.0</v>
      </c>
      <c r="I116" s="1">
        <v>4019956.0</v>
      </c>
      <c r="J116" s="1">
        <v>2895224.0</v>
      </c>
      <c r="K116" s="1">
        <v>2209731.0</v>
      </c>
      <c r="L116" s="1">
        <v>1932169.0</v>
      </c>
      <c r="M116" s="1">
        <v>1463563.0</v>
      </c>
      <c r="N116" s="1">
        <v>111369.0</v>
      </c>
      <c r="O116" s="1">
        <v>47.6136</v>
      </c>
      <c r="P116" s="2">
        <v>1.021</v>
      </c>
      <c r="Q116" s="3">
        <v>0.07</v>
      </c>
    </row>
    <row r="117">
      <c r="A117" s="1">
        <v>107.0</v>
      </c>
      <c r="B117" s="1" t="s">
        <v>365</v>
      </c>
      <c r="C117" s="1" t="s">
        <v>366</v>
      </c>
      <c r="D117" s="1" t="s">
        <v>367</v>
      </c>
      <c r="E117" s="1" t="s">
        <v>28</v>
      </c>
      <c r="F117" s="1">
        <v>6812341.0</v>
      </c>
      <c r="G117" s="1">
        <v>6653942.0</v>
      </c>
      <c r="H117" s="1">
        <v>6192235.0</v>
      </c>
      <c r="I117" s="1">
        <v>6491988.0</v>
      </c>
      <c r="J117" s="1">
        <v>5154790.0</v>
      </c>
      <c r="K117" s="1">
        <v>4236983.0</v>
      </c>
      <c r="L117" s="1">
        <v>2962720.0</v>
      </c>
      <c r="M117" s="1">
        <v>1909177.0</v>
      </c>
      <c r="N117" s="1">
        <v>1759540.0</v>
      </c>
      <c r="O117" s="1">
        <v>3.8717</v>
      </c>
      <c r="P117" s="2">
        <v>1.0114</v>
      </c>
      <c r="Q117" s="3">
        <v>0.09</v>
      </c>
    </row>
    <row r="118">
      <c r="A118" s="1">
        <v>216.0</v>
      </c>
      <c r="B118" s="1" t="s">
        <v>368</v>
      </c>
      <c r="C118" s="1" t="s">
        <v>369</v>
      </c>
      <c r="D118" s="1" t="s">
        <v>370</v>
      </c>
      <c r="E118" s="1" t="s">
        <v>24</v>
      </c>
      <c r="F118" s="1">
        <v>39327.0</v>
      </c>
      <c r="G118" s="1">
        <v>38756.0</v>
      </c>
      <c r="H118" s="1">
        <v>37355.0</v>
      </c>
      <c r="I118" s="1">
        <v>35926.0</v>
      </c>
      <c r="J118" s="1">
        <v>33026.0</v>
      </c>
      <c r="K118" s="1">
        <v>28765.0</v>
      </c>
      <c r="L118" s="1">
        <v>25003.0</v>
      </c>
      <c r="M118" s="1">
        <v>21089.0</v>
      </c>
      <c r="N118" s="1">
        <v>160.0</v>
      </c>
      <c r="O118" s="1">
        <v>245.7937</v>
      </c>
      <c r="P118" s="2">
        <v>1.0074</v>
      </c>
      <c r="Q118" s="3">
        <v>0.0</v>
      </c>
    </row>
    <row r="119">
      <c r="A119" s="1">
        <v>141.0</v>
      </c>
      <c r="B119" s="1" t="s">
        <v>371</v>
      </c>
      <c r="C119" s="1" t="s">
        <v>372</v>
      </c>
      <c r="D119" s="1" t="s">
        <v>373</v>
      </c>
      <c r="E119" s="1" t="s">
        <v>24</v>
      </c>
      <c r="F119" s="1">
        <v>2750055.0</v>
      </c>
      <c r="G119" s="1">
        <v>2820267.0</v>
      </c>
      <c r="H119" s="1">
        <v>2963765.0</v>
      </c>
      <c r="I119" s="1">
        <v>3139019.0</v>
      </c>
      <c r="J119" s="1">
        <v>3599637.0</v>
      </c>
      <c r="K119" s="1">
        <v>3785847.0</v>
      </c>
      <c r="L119" s="1">
        <v>3521206.0</v>
      </c>
      <c r="M119" s="1">
        <v>3210147.0</v>
      </c>
      <c r="N119" s="1">
        <v>65300.0</v>
      </c>
      <c r="O119" s="1">
        <v>42.1142</v>
      </c>
      <c r="P119" s="2">
        <v>0.9869</v>
      </c>
      <c r="Q119" s="3">
        <v>0.03</v>
      </c>
    </row>
    <row r="120">
      <c r="A120" s="1">
        <v>168.0</v>
      </c>
      <c r="B120" s="1" t="s">
        <v>374</v>
      </c>
      <c r="C120" s="1" t="s">
        <v>375</v>
      </c>
      <c r="D120" s="1" t="s">
        <v>375</v>
      </c>
      <c r="E120" s="1" t="s">
        <v>24</v>
      </c>
      <c r="F120" s="1">
        <v>647599.0</v>
      </c>
      <c r="G120" s="1">
        <v>630399.0</v>
      </c>
      <c r="H120" s="1">
        <v>569408.0</v>
      </c>
      <c r="I120" s="1">
        <v>507070.0</v>
      </c>
      <c r="J120" s="1">
        <v>435628.0</v>
      </c>
      <c r="K120" s="1">
        <v>381267.0</v>
      </c>
      <c r="L120" s="1">
        <v>363741.0</v>
      </c>
      <c r="M120" s="1">
        <v>339342.0</v>
      </c>
      <c r="N120" s="1">
        <v>2586.0</v>
      </c>
      <c r="O120" s="1">
        <v>250.425</v>
      </c>
      <c r="P120" s="2">
        <v>1.0129</v>
      </c>
      <c r="Q120" s="3">
        <v>0.01</v>
      </c>
    </row>
    <row r="121">
      <c r="A121" s="1">
        <v>167.0</v>
      </c>
      <c r="B121" s="1" t="s">
        <v>376</v>
      </c>
      <c r="C121" s="1" t="s">
        <v>377</v>
      </c>
      <c r="D121" s="1" t="s">
        <v>378</v>
      </c>
      <c r="E121" s="1" t="s">
        <v>20</v>
      </c>
      <c r="F121" s="1">
        <v>695168.0</v>
      </c>
      <c r="G121" s="1">
        <v>676283.0</v>
      </c>
      <c r="H121" s="1">
        <v>615239.0</v>
      </c>
      <c r="I121" s="1">
        <v>557297.0</v>
      </c>
      <c r="J121" s="1">
        <v>431896.0</v>
      </c>
      <c r="K121" s="1">
        <v>350227.0</v>
      </c>
      <c r="L121" s="1">
        <v>245332.0</v>
      </c>
      <c r="M121" s="1">
        <v>247284.0</v>
      </c>
      <c r="N121" s="1">
        <v>30.0</v>
      </c>
      <c r="O121" s="1">
        <v>23172.2667</v>
      </c>
      <c r="P121" s="2">
        <v>1.0125</v>
      </c>
      <c r="Q121" s="3">
        <v>0.01</v>
      </c>
    </row>
    <row r="122">
      <c r="A122" s="1">
        <v>50.0</v>
      </c>
      <c r="B122" s="1" t="s">
        <v>379</v>
      </c>
      <c r="C122" s="1" t="s">
        <v>380</v>
      </c>
      <c r="D122" s="1" t="s">
        <v>381</v>
      </c>
      <c r="E122" s="1" t="s">
        <v>28</v>
      </c>
      <c r="F122" s="1">
        <v>2.9611714E7</v>
      </c>
      <c r="G122" s="1">
        <v>2.8225177E7</v>
      </c>
      <c r="H122" s="1">
        <v>2.4850912E7</v>
      </c>
      <c r="I122" s="1">
        <v>2.1731053E7</v>
      </c>
      <c r="J122" s="1">
        <v>1.6216431E7</v>
      </c>
      <c r="K122" s="1">
        <v>1.1882762E7</v>
      </c>
      <c r="L122" s="1">
        <v>8948162.0</v>
      </c>
      <c r="M122" s="1">
        <v>6639751.0</v>
      </c>
      <c r="N122" s="1">
        <v>587041.0</v>
      </c>
      <c r="O122" s="1">
        <v>50.4423</v>
      </c>
      <c r="P122" s="2">
        <v>1.0241</v>
      </c>
      <c r="Q122" s="3">
        <v>0.37</v>
      </c>
    </row>
    <row r="123">
      <c r="A123" s="1">
        <v>62.0</v>
      </c>
      <c r="B123" s="1" t="s">
        <v>382</v>
      </c>
      <c r="C123" s="1" t="s">
        <v>383</v>
      </c>
      <c r="D123" s="1" t="s">
        <v>384</v>
      </c>
      <c r="E123" s="1" t="s">
        <v>28</v>
      </c>
      <c r="F123" s="1">
        <v>2.0405317E7</v>
      </c>
      <c r="G123" s="1">
        <v>1.9377061E7</v>
      </c>
      <c r="H123" s="1">
        <v>1.6938942E7</v>
      </c>
      <c r="I123" s="1">
        <v>1.4718422E7</v>
      </c>
      <c r="J123" s="1">
        <v>1.1229387E7</v>
      </c>
      <c r="K123" s="1">
        <v>9539665.0</v>
      </c>
      <c r="L123" s="1">
        <v>6267369.0</v>
      </c>
      <c r="M123" s="1">
        <v>4625141.0</v>
      </c>
      <c r="N123" s="1">
        <v>118484.0</v>
      </c>
      <c r="O123" s="1">
        <v>172.22</v>
      </c>
      <c r="P123" s="2">
        <v>1.0259</v>
      </c>
      <c r="Q123" s="3">
        <v>0.26</v>
      </c>
    </row>
    <row r="124">
      <c r="A124" s="1">
        <v>45.0</v>
      </c>
      <c r="B124" s="1" t="s">
        <v>385</v>
      </c>
      <c r="C124" s="1" t="s">
        <v>386</v>
      </c>
      <c r="D124" s="1" t="s">
        <v>387</v>
      </c>
      <c r="E124" s="1" t="s">
        <v>20</v>
      </c>
      <c r="F124" s="1">
        <v>3.3938221E7</v>
      </c>
      <c r="G124" s="1">
        <v>3.3199993E7</v>
      </c>
      <c r="H124" s="1">
        <v>3.1068833E7</v>
      </c>
      <c r="I124" s="1">
        <v>2.8717731E7</v>
      </c>
      <c r="J124" s="1">
        <v>2.294515E7</v>
      </c>
      <c r="K124" s="1">
        <v>1.7517054E7</v>
      </c>
      <c r="L124" s="1">
        <v>1.3215707E7</v>
      </c>
      <c r="M124" s="1">
        <v>1.0306508E7</v>
      </c>
      <c r="N124" s="1">
        <v>330803.0</v>
      </c>
      <c r="O124" s="1">
        <v>102.5934</v>
      </c>
      <c r="P124" s="2">
        <v>1.0109</v>
      </c>
      <c r="Q124" s="3">
        <v>0.43</v>
      </c>
    </row>
    <row r="125">
      <c r="A125" s="1">
        <v>174.0</v>
      </c>
      <c r="B125" s="1" t="s">
        <v>388</v>
      </c>
      <c r="C125" s="1" t="s">
        <v>389</v>
      </c>
      <c r="D125" s="1" t="s">
        <v>390</v>
      </c>
      <c r="E125" s="1" t="s">
        <v>20</v>
      </c>
      <c r="F125" s="1">
        <v>523787.0</v>
      </c>
      <c r="G125" s="1">
        <v>514438.0</v>
      </c>
      <c r="H125" s="1">
        <v>435582.0</v>
      </c>
      <c r="I125" s="1">
        <v>361575.0</v>
      </c>
      <c r="J125" s="1">
        <v>282507.0</v>
      </c>
      <c r="K125" s="1">
        <v>224957.0</v>
      </c>
      <c r="L125" s="1">
        <v>164887.0</v>
      </c>
      <c r="M125" s="1">
        <v>123243.0</v>
      </c>
      <c r="N125" s="1">
        <v>300.0</v>
      </c>
      <c r="O125" s="1">
        <v>1745.9567</v>
      </c>
      <c r="P125" s="2">
        <v>1.0045</v>
      </c>
      <c r="Q125" s="3">
        <v>0.01</v>
      </c>
    </row>
    <row r="126">
      <c r="A126" s="1">
        <v>59.0</v>
      </c>
      <c r="B126" s="1" t="s">
        <v>391</v>
      </c>
      <c r="C126" s="1" t="s">
        <v>392</v>
      </c>
      <c r="D126" s="1" t="s">
        <v>393</v>
      </c>
      <c r="E126" s="1" t="s">
        <v>28</v>
      </c>
      <c r="F126" s="1">
        <v>2.259359E7</v>
      </c>
      <c r="G126" s="1">
        <v>2.122404E7</v>
      </c>
      <c r="H126" s="1">
        <v>1.8112907E7</v>
      </c>
      <c r="I126" s="1">
        <v>1.5529181E7</v>
      </c>
      <c r="J126" s="1">
        <v>1.1239101E7</v>
      </c>
      <c r="K126" s="1">
        <v>8945026.0</v>
      </c>
      <c r="L126" s="1">
        <v>7372581.0</v>
      </c>
      <c r="M126" s="1">
        <v>6153587.0</v>
      </c>
      <c r="N126" s="1">
        <v>1240192.0</v>
      </c>
      <c r="O126" s="1">
        <v>18.2178</v>
      </c>
      <c r="P126" s="2">
        <v>1.0314</v>
      </c>
      <c r="Q126" s="3">
        <v>0.28</v>
      </c>
    </row>
    <row r="127">
      <c r="A127" s="1">
        <v>173.0</v>
      </c>
      <c r="B127" s="1" t="s">
        <v>394</v>
      </c>
      <c r="C127" s="1" t="s">
        <v>395</v>
      </c>
      <c r="D127" s="1" t="s">
        <v>396</v>
      </c>
      <c r="E127" s="1" t="s">
        <v>24</v>
      </c>
      <c r="F127" s="1">
        <v>533286.0</v>
      </c>
      <c r="G127" s="1">
        <v>515357.0</v>
      </c>
      <c r="H127" s="1">
        <v>456579.0</v>
      </c>
      <c r="I127" s="1">
        <v>418755.0</v>
      </c>
      <c r="J127" s="1">
        <v>399212.0</v>
      </c>
      <c r="K127" s="1">
        <v>365392.0</v>
      </c>
      <c r="L127" s="1">
        <v>333587.0</v>
      </c>
      <c r="M127" s="1">
        <v>315414.0</v>
      </c>
      <c r="N127" s="1">
        <v>316.0</v>
      </c>
      <c r="O127" s="1">
        <v>1687.6139</v>
      </c>
      <c r="P127" s="2">
        <v>1.0124</v>
      </c>
      <c r="Q127" s="3">
        <v>0.01</v>
      </c>
    </row>
    <row r="128">
      <c r="A128" s="1">
        <v>215.0</v>
      </c>
      <c r="B128" s="1" t="s">
        <v>397</v>
      </c>
      <c r="C128" s="1" t="s">
        <v>398</v>
      </c>
      <c r="D128" s="1" t="s">
        <v>399</v>
      </c>
      <c r="E128" s="1" t="s">
        <v>32</v>
      </c>
      <c r="F128" s="1">
        <v>41569.0</v>
      </c>
      <c r="G128" s="1">
        <v>43413.0</v>
      </c>
      <c r="H128" s="1">
        <v>49410.0</v>
      </c>
      <c r="I128" s="1">
        <v>53416.0</v>
      </c>
      <c r="J128" s="1">
        <v>54224.0</v>
      </c>
      <c r="K128" s="1">
        <v>46047.0</v>
      </c>
      <c r="L128" s="1">
        <v>31988.0</v>
      </c>
      <c r="M128" s="1">
        <v>23969.0</v>
      </c>
      <c r="N128" s="1">
        <v>181.0</v>
      </c>
      <c r="O128" s="1">
        <v>229.663</v>
      </c>
      <c r="P128" s="2">
        <v>0.9886</v>
      </c>
      <c r="Q128" s="3">
        <v>0.0</v>
      </c>
    </row>
    <row r="129">
      <c r="A129" s="1">
        <v>180.0</v>
      </c>
      <c r="B129" s="1" t="s">
        <v>400</v>
      </c>
      <c r="C129" s="1" t="s">
        <v>401</v>
      </c>
      <c r="D129" s="1" t="s">
        <v>402</v>
      </c>
      <c r="E129" s="1" t="s">
        <v>42</v>
      </c>
      <c r="F129" s="1">
        <v>367507.0</v>
      </c>
      <c r="G129" s="1">
        <v>370391.0</v>
      </c>
      <c r="H129" s="1">
        <v>383515.0</v>
      </c>
      <c r="I129" s="1">
        <v>392181.0</v>
      </c>
      <c r="J129" s="1">
        <v>432543.0</v>
      </c>
      <c r="K129" s="1">
        <v>374271.0</v>
      </c>
      <c r="L129" s="1">
        <v>333786.0</v>
      </c>
      <c r="M129" s="1">
        <v>326428.0</v>
      </c>
      <c r="N129" s="1">
        <v>1128.0</v>
      </c>
      <c r="O129" s="1">
        <v>325.8041</v>
      </c>
      <c r="P129" s="2">
        <v>0.9965</v>
      </c>
      <c r="Q129" s="3">
        <v>0.0</v>
      </c>
    </row>
    <row r="130">
      <c r="A130" s="1">
        <v>126.0</v>
      </c>
      <c r="B130" s="1" t="s">
        <v>403</v>
      </c>
      <c r="C130" s="1" t="s">
        <v>404</v>
      </c>
      <c r="D130" s="1" t="s">
        <v>405</v>
      </c>
      <c r="E130" s="1" t="s">
        <v>28</v>
      </c>
      <c r="F130" s="1">
        <v>4736139.0</v>
      </c>
      <c r="G130" s="1">
        <v>4498604.0</v>
      </c>
      <c r="H130" s="1">
        <v>3946220.0</v>
      </c>
      <c r="I130" s="1">
        <v>3419461.0</v>
      </c>
      <c r="J130" s="1">
        <v>2695003.0</v>
      </c>
      <c r="K130" s="1">
        <v>2006027.0</v>
      </c>
      <c r="L130" s="1">
        <v>1506694.0</v>
      </c>
      <c r="M130" s="1">
        <v>1122198.0</v>
      </c>
      <c r="N130" s="1">
        <v>1030700.0</v>
      </c>
      <c r="O130" s="1">
        <v>4.5951</v>
      </c>
      <c r="P130" s="2">
        <v>1.0263</v>
      </c>
      <c r="Q130" s="3">
        <v>0.06</v>
      </c>
    </row>
    <row r="131">
      <c r="A131" s="1">
        <v>157.0</v>
      </c>
      <c r="B131" s="1" t="s">
        <v>406</v>
      </c>
      <c r="C131" s="1" t="s">
        <v>407</v>
      </c>
      <c r="D131" s="1" t="s">
        <v>408</v>
      </c>
      <c r="E131" s="1" t="s">
        <v>28</v>
      </c>
      <c r="F131" s="1">
        <v>1299469.0</v>
      </c>
      <c r="G131" s="1">
        <v>1297828.0</v>
      </c>
      <c r="H131" s="1">
        <v>1293153.0</v>
      </c>
      <c r="I131" s="1">
        <v>1283330.0</v>
      </c>
      <c r="J131" s="1">
        <v>1215930.0</v>
      </c>
      <c r="K131" s="1">
        <v>1090290.0</v>
      </c>
      <c r="L131" s="1">
        <v>954865.0</v>
      </c>
      <c r="M131" s="1">
        <v>830115.0</v>
      </c>
      <c r="N131" s="1">
        <v>2040.0</v>
      </c>
      <c r="O131" s="1">
        <v>636.9946</v>
      </c>
      <c r="P131" s="2">
        <v>1.0004</v>
      </c>
      <c r="Q131" s="3">
        <v>0.02</v>
      </c>
    </row>
    <row r="132">
      <c r="A132" s="1">
        <v>182.0</v>
      </c>
      <c r="B132" s="1" t="s">
        <v>409</v>
      </c>
      <c r="C132" s="1" t="s">
        <v>410</v>
      </c>
      <c r="D132" s="1" t="s">
        <v>411</v>
      </c>
      <c r="E132" s="1" t="s">
        <v>28</v>
      </c>
      <c r="F132" s="1">
        <v>326101.0</v>
      </c>
      <c r="G132" s="1">
        <v>305587.0</v>
      </c>
      <c r="H132" s="1">
        <v>249545.0</v>
      </c>
      <c r="I132" s="1">
        <v>211786.0</v>
      </c>
      <c r="J132" s="1">
        <v>159215.0</v>
      </c>
      <c r="K132" s="1">
        <v>92659.0</v>
      </c>
      <c r="L132" s="1">
        <v>52233.0</v>
      </c>
      <c r="M132" s="1">
        <v>35383.0</v>
      </c>
      <c r="N132" s="1">
        <v>374.0</v>
      </c>
      <c r="O132" s="1">
        <v>871.9278</v>
      </c>
      <c r="P132" s="2">
        <v>1.0319</v>
      </c>
      <c r="Q132" s="3">
        <v>0.0</v>
      </c>
    </row>
    <row r="133">
      <c r="A133" s="1">
        <v>10.0</v>
      </c>
      <c r="B133" s="1" t="s">
        <v>412</v>
      </c>
      <c r="C133" s="1" t="s">
        <v>413</v>
      </c>
      <c r="D133" s="1" t="s">
        <v>414</v>
      </c>
      <c r="E133" s="1" t="s">
        <v>42</v>
      </c>
      <c r="F133" s="1">
        <v>1.27504125E8</v>
      </c>
      <c r="G133" s="1">
        <v>1.25998302E8</v>
      </c>
      <c r="H133" s="1">
        <v>1.20149897E8</v>
      </c>
      <c r="I133" s="1">
        <v>1.12532401E8</v>
      </c>
      <c r="J133" s="1">
        <v>9.7873442E7</v>
      </c>
      <c r="K133" s="1">
        <v>8.1720428E7</v>
      </c>
      <c r="L133" s="1">
        <v>6.7705186E7</v>
      </c>
      <c r="M133" s="1">
        <v>5.0289306E7</v>
      </c>
      <c r="N133" s="1">
        <v>1964375.0</v>
      </c>
      <c r="O133" s="1">
        <v>64.9082</v>
      </c>
      <c r="P133" s="2">
        <v>1.0063</v>
      </c>
      <c r="Q133" s="3">
        <v>1.6</v>
      </c>
    </row>
    <row r="134">
      <c r="A134" s="1">
        <v>194.0</v>
      </c>
      <c r="B134" s="1" t="s">
        <v>415</v>
      </c>
      <c r="C134" s="1" t="s">
        <v>416</v>
      </c>
      <c r="D134" s="1" t="s">
        <v>417</v>
      </c>
      <c r="E134" s="1" t="s">
        <v>32</v>
      </c>
      <c r="F134" s="1">
        <v>114164.0</v>
      </c>
      <c r="G134" s="1">
        <v>112106.0</v>
      </c>
      <c r="H134" s="1">
        <v>109462.0</v>
      </c>
      <c r="I134" s="1">
        <v>107588.0</v>
      </c>
      <c r="J134" s="1">
        <v>111709.0</v>
      </c>
      <c r="K134" s="1">
        <v>98603.0</v>
      </c>
      <c r="L134" s="1">
        <v>76299.0</v>
      </c>
      <c r="M134" s="1">
        <v>58989.0</v>
      </c>
      <c r="N134" s="1">
        <v>702.0</v>
      </c>
      <c r="O134" s="1">
        <v>162.6268</v>
      </c>
      <c r="P134" s="2">
        <v>1.0091</v>
      </c>
      <c r="Q134" s="3">
        <v>0.0</v>
      </c>
    </row>
    <row r="135">
      <c r="A135" s="1">
        <v>135.0</v>
      </c>
      <c r="B135" s="1" t="s">
        <v>418</v>
      </c>
      <c r="C135" s="1" t="s">
        <v>419</v>
      </c>
      <c r="D135" s="1" t="s">
        <v>420</v>
      </c>
      <c r="E135" s="1" t="s">
        <v>24</v>
      </c>
      <c r="F135" s="1">
        <v>3272996.0</v>
      </c>
      <c r="G135" s="1">
        <v>3084847.0</v>
      </c>
      <c r="H135" s="1">
        <v>3277388.0</v>
      </c>
      <c r="I135" s="1">
        <v>3678186.0</v>
      </c>
      <c r="J135" s="1">
        <v>4251573.0</v>
      </c>
      <c r="K135" s="1">
        <v>4480199.0</v>
      </c>
      <c r="L135" s="1">
        <v>4103240.0</v>
      </c>
      <c r="M135" s="1">
        <v>3711140.0</v>
      </c>
      <c r="N135" s="1">
        <v>33846.0</v>
      </c>
      <c r="O135" s="1">
        <v>96.7026</v>
      </c>
      <c r="P135" s="2">
        <v>1.0691</v>
      </c>
      <c r="Q135" s="3">
        <v>0.04</v>
      </c>
    </row>
    <row r="136">
      <c r="A136" s="1">
        <v>217.0</v>
      </c>
      <c r="B136" s="1" t="s">
        <v>421</v>
      </c>
      <c r="C136" s="1" t="s">
        <v>422</v>
      </c>
      <c r="D136" s="1" t="s">
        <v>422</v>
      </c>
      <c r="E136" s="1" t="s">
        <v>24</v>
      </c>
      <c r="F136" s="1">
        <v>36469.0</v>
      </c>
      <c r="G136" s="1">
        <v>36922.0</v>
      </c>
      <c r="H136" s="1">
        <v>36760.0</v>
      </c>
      <c r="I136" s="1">
        <v>33178.0</v>
      </c>
      <c r="J136" s="1">
        <v>32465.0</v>
      </c>
      <c r="K136" s="1">
        <v>30329.0</v>
      </c>
      <c r="L136" s="1">
        <v>27076.0</v>
      </c>
      <c r="M136" s="1">
        <v>24270.0</v>
      </c>
      <c r="N136" s="1">
        <v>2.0</v>
      </c>
      <c r="O136" s="1">
        <v>18234.5</v>
      </c>
      <c r="P136" s="2">
        <v>0.9941</v>
      </c>
      <c r="Q136" s="3">
        <v>0.0</v>
      </c>
    </row>
    <row r="137">
      <c r="A137" s="1">
        <v>134.0</v>
      </c>
      <c r="B137" s="1" t="s">
        <v>423</v>
      </c>
      <c r="C137" s="1" t="s">
        <v>424</v>
      </c>
      <c r="D137" s="1" t="s">
        <v>425</v>
      </c>
      <c r="E137" s="1" t="s">
        <v>20</v>
      </c>
      <c r="F137" s="1">
        <v>3398366.0</v>
      </c>
      <c r="G137" s="1">
        <v>3294335.0</v>
      </c>
      <c r="H137" s="1">
        <v>2964749.0</v>
      </c>
      <c r="I137" s="1">
        <v>2702520.0</v>
      </c>
      <c r="J137" s="1">
        <v>2450979.0</v>
      </c>
      <c r="K137" s="1">
        <v>2161433.0</v>
      </c>
      <c r="L137" s="1">
        <v>1697780.0</v>
      </c>
      <c r="M137" s="1">
        <v>1293880.0</v>
      </c>
      <c r="N137" s="1">
        <v>1564110.0</v>
      </c>
      <c r="O137" s="1">
        <v>2.1727</v>
      </c>
      <c r="P137" s="2">
        <v>1.0151</v>
      </c>
      <c r="Q137" s="3">
        <v>0.04</v>
      </c>
    </row>
    <row r="138">
      <c r="A138" s="1">
        <v>169.0</v>
      </c>
      <c r="B138" s="1" t="s">
        <v>426</v>
      </c>
      <c r="C138" s="1" t="s">
        <v>427</v>
      </c>
      <c r="D138" s="1" t="s">
        <v>428</v>
      </c>
      <c r="E138" s="1" t="s">
        <v>24</v>
      </c>
      <c r="F138" s="1">
        <v>627082.0</v>
      </c>
      <c r="G138" s="1">
        <v>629048.0</v>
      </c>
      <c r="H138" s="1">
        <v>633966.0</v>
      </c>
      <c r="I138" s="1">
        <v>631044.0</v>
      </c>
      <c r="J138" s="1">
        <v>633324.0</v>
      </c>
      <c r="K138" s="1">
        <v>621442.0</v>
      </c>
      <c r="L138" s="1">
        <v>589324.0</v>
      </c>
      <c r="M138" s="1">
        <v>530268.0</v>
      </c>
      <c r="N138" s="1">
        <v>13812.0</v>
      </c>
      <c r="O138" s="1">
        <v>45.4012</v>
      </c>
      <c r="P138" s="2">
        <v>0.9988</v>
      </c>
      <c r="Q138" s="3">
        <v>0.01</v>
      </c>
    </row>
    <row r="139">
      <c r="A139" s="1">
        <v>230.0</v>
      </c>
      <c r="B139" s="1" t="s">
        <v>429</v>
      </c>
      <c r="C139" s="1" t="s">
        <v>430</v>
      </c>
      <c r="D139" s="1" t="s">
        <v>431</v>
      </c>
      <c r="E139" s="1" t="s">
        <v>42</v>
      </c>
      <c r="F139" s="1">
        <v>4390.0</v>
      </c>
      <c r="G139" s="1">
        <v>4500.0</v>
      </c>
      <c r="H139" s="1">
        <v>5059.0</v>
      </c>
      <c r="I139" s="1">
        <v>4938.0</v>
      </c>
      <c r="J139" s="1">
        <v>5138.0</v>
      </c>
      <c r="K139" s="1">
        <v>10805.0</v>
      </c>
      <c r="L139" s="1">
        <v>11452.0</v>
      </c>
      <c r="M139" s="1">
        <v>11402.0</v>
      </c>
      <c r="N139" s="1">
        <v>102.0</v>
      </c>
      <c r="O139" s="1">
        <v>43.0392</v>
      </c>
      <c r="P139" s="2">
        <v>0.9939</v>
      </c>
      <c r="Q139" s="3">
        <v>0.0</v>
      </c>
    </row>
    <row r="140">
      <c r="A140" s="1">
        <v>40.0</v>
      </c>
      <c r="B140" s="1" t="s">
        <v>432</v>
      </c>
      <c r="C140" s="1" t="s">
        <v>433</v>
      </c>
      <c r="D140" s="1" t="s">
        <v>434</v>
      </c>
      <c r="E140" s="1" t="s">
        <v>28</v>
      </c>
      <c r="F140" s="1">
        <v>3.7457971E7</v>
      </c>
      <c r="G140" s="1">
        <v>3.6688772E7</v>
      </c>
      <c r="H140" s="1">
        <v>3.4680458E7</v>
      </c>
      <c r="I140" s="1">
        <v>3.2464865E7</v>
      </c>
      <c r="J140" s="1">
        <v>2.8554415E7</v>
      </c>
      <c r="K140" s="1">
        <v>2.4570814E7</v>
      </c>
      <c r="L140" s="1">
        <v>1.9678444E7</v>
      </c>
      <c r="M140" s="1">
        <v>1.5274351E7</v>
      </c>
      <c r="N140" s="1">
        <v>446550.0</v>
      </c>
      <c r="O140" s="1">
        <v>83.883</v>
      </c>
      <c r="P140" s="2">
        <v>1.0103</v>
      </c>
      <c r="Q140" s="3">
        <v>0.47</v>
      </c>
    </row>
    <row r="141">
      <c r="A141" s="1">
        <v>48.0</v>
      </c>
      <c r="B141" s="1" t="s">
        <v>435</v>
      </c>
      <c r="C141" s="1" t="s">
        <v>436</v>
      </c>
      <c r="D141" s="1" t="s">
        <v>437</v>
      </c>
      <c r="E141" s="1" t="s">
        <v>28</v>
      </c>
      <c r="F141" s="1">
        <v>3.2969517E7</v>
      </c>
      <c r="G141" s="1">
        <v>3.1178239E7</v>
      </c>
      <c r="H141" s="1">
        <v>2.6843246E7</v>
      </c>
      <c r="I141" s="1">
        <v>2.3073723E7</v>
      </c>
      <c r="J141" s="1">
        <v>1.7768505E7</v>
      </c>
      <c r="K141" s="1">
        <v>1.3303459E7</v>
      </c>
      <c r="L141" s="1">
        <v>1.1413587E7</v>
      </c>
      <c r="M141" s="1">
        <v>8411676.0</v>
      </c>
      <c r="N141" s="1">
        <v>801590.0</v>
      </c>
      <c r="O141" s="1">
        <v>41.1302</v>
      </c>
      <c r="P141" s="2">
        <v>1.0278</v>
      </c>
      <c r="Q141" s="3">
        <v>0.41</v>
      </c>
    </row>
    <row r="142">
      <c r="A142" s="1">
        <v>26.0</v>
      </c>
      <c r="B142" s="1" t="s">
        <v>438</v>
      </c>
      <c r="C142" s="1" t="s">
        <v>439</v>
      </c>
      <c r="D142" s="1" t="s">
        <v>440</v>
      </c>
      <c r="E142" s="1" t="s">
        <v>20</v>
      </c>
      <c r="F142" s="1">
        <v>5.4179306E7</v>
      </c>
      <c r="G142" s="1">
        <v>5.3423198E7</v>
      </c>
      <c r="H142" s="1">
        <v>5.1483949E7</v>
      </c>
      <c r="I142" s="1">
        <v>4.9390988E7</v>
      </c>
      <c r="J142" s="1">
        <v>4.5538332E7</v>
      </c>
      <c r="K142" s="1">
        <v>4.0099553E7</v>
      </c>
      <c r="L142" s="1">
        <v>3.3465781E7</v>
      </c>
      <c r="M142" s="1">
        <v>2.7284112E7</v>
      </c>
      <c r="N142" s="1">
        <v>676578.0</v>
      </c>
      <c r="O142" s="1">
        <v>80.0784</v>
      </c>
      <c r="P142" s="2">
        <v>1.0071</v>
      </c>
      <c r="Q142" s="3">
        <v>0.68</v>
      </c>
    </row>
    <row r="143">
      <c r="A143" s="1">
        <v>145.0</v>
      </c>
      <c r="B143" s="1" t="s">
        <v>441</v>
      </c>
      <c r="C143" s="1" t="s">
        <v>442</v>
      </c>
      <c r="D143" s="1" t="s">
        <v>443</v>
      </c>
      <c r="E143" s="1" t="s">
        <v>28</v>
      </c>
      <c r="F143" s="1">
        <v>2567012.0</v>
      </c>
      <c r="G143" s="1">
        <v>2489098.0</v>
      </c>
      <c r="H143" s="1">
        <v>2282704.0</v>
      </c>
      <c r="I143" s="1">
        <v>2099271.0</v>
      </c>
      <c r="J143" s="1">
        <v>1819141.0</v>
      </c>
      <c r="K143" s="1">
        <v>1369011.0</v>
      </c>
      <c r="L143" s="1">
        <v>975994.0</v>
      </c>
      <c r="M143" s="1">
        <v>754467.0</v>
      </c>
      <c r="N143" s="1">
        <v>825615.0</v>
      </c>
      <c r="O143" s="1">
        <v>3.1092</v>
      </c>
      <c r="P143" s="2">
        <v>1.0146</v>
      </c>
      <c r="Q143" s="3">
        <v>0.03</v>
      </c>
    </row>
    <row r="144">
      <c r="A144" s="1">
        <v>225.0</v>
      </c>
      <c r="B144" s="1" t="s">
        <v>444</v>
      </c>
      <c r="C144" s="1" t="s">
        <v>445</v>
      </c>
      <c r="D144" s="1" t="s">
        <v>446</v>
      </c>
      <c r="E144" s="1" t="s">
        <v>32</v>
      </c>
      <c r="F144" s="1">
        <v>12668.0</v>
      </c>
      <c r="G144" s="1">
        <v>12315.0</v>
      </c>
      <c r="H144" s="1">
        <v>11185.0</v>
      </c>
      <c r="I144" s="1">
        <v>10241.0</v>
      </c>
      <c r="J144" s="1">
        <v>10377.0</v>
      </c>
      <c r="K144" s="1">
        <v>9598.0</v>
      </c>
      <c r="L144" s="1">
        <v>7635.0</v>
      </c>
      <c r="M144" s="1">
        <v>6663.0</v>
      </c>
      <c r="N144" s="1">
        <v>21.0</v>
      </c>
      <c r="O144" s="1">
        <v>603.2381</v>
      </c>
      <c r="P144" s="2">
        <v>1.0125</v>
      </c>
      <c r="Q144" s="3">
        <v>0.0</v>
      </c>
    </row>
    <row r="145">
      <c r="A145" s="1">
        <v>49.0</v>
      </c>
      <c r="B145" s="1" t="s">
        <v>447</v>
      </c>
      <c r="C145" s="1" t="s">
        <v>448</v>
      </c>
      <c r="D145" s="1" t="s">
        <v>449</v>
      </c>
      <c r="E145" s="1" t="s">
        <v>20</v>
      </c>
      <c r="F145" s="1">
        <v>3.054758E7</v>
      </c>
      <c r="G145" s="1">
        <v>2.9348627E7</v>
      </c>
      <c r="H145" s="1">
        <v>2.7610325E7</v>
      </c>
      <c r="I145" s="1">
        <v>2.7161567E7</v>
      </c>
      <c r="J145" s="1">
        <v>2.45595E7</v>
      </c>
      <c r="K145" s="1">
        <v>1.961653E7</v>
      </c>
      <c r="L145" s="1">
        <v>1.5600442E7</v>
      </c>
      <c r="M145" s="1">
        <v>1.2501285E7</v>
      </c>
      <c r="N145" s="1">
        <v>147181.0</v>
      </c>
      <c r="O145" s="1">
        <v>207.5511</v>
      </c>
      <c r="P145" s="2">
        <v>1.0171</v>
      </c>
      <c r="Q145" s="3">
        <v>0.38</v>
      </c>
    </row>
    <row r="146">
      <c r="A146" s="1">
        <v>71.0</v>
      </c>
      <c r="B146" s="1" t="s">
        <v>450</v>
      </c>
      <c r="C146" s="1" t="s">
        <v>451</v>
      </c>
      <c r="D146" s="1" t="s">
        <v>452</v>
      </c>
      <c r="E146" s="1" t="s">
        <v>24</v>
      </c>
      <c r="F146" s="1">
        <v>1.7564014E7</v>
      </c>
      <c r="G146" s="1">
        <v>1.7434557E7</v>
      </c>
      <c r="H146" s="1">
        <v>1.7041107E7</v>
      </c>
      <c r="I146" s="1">
        <v>1.6617116E7</v>
      </c>
      <c r="J146" s="1">
        <v>1.5899135E7</v>
      </c>
      <c r="K146" s="1">
        <v>1.4944548E7</v>
      </c>
      <c r="L146" s="1">
        <v>1.4130387E7</v>
      </c>
      <c r="M146" s="1">
        <v>1.3037686E7</v>
      </c>
      <c r="N146" s="1">
        <v>41850.0</v>
      </c>
      <c r="O146" s="1">
        <v>419.6897</v>
      </c>
      <c r="P146" s="2">
        <v>1.0036</v>
      </c>
      <c r="Q146" s="3">
        <v>0.22</v>
      </c>
    </row>
    <row r="147">
      <c r="A147" s="1">
        <v>185.0</v>
      </c>
      <c r="B147" s="1" t="s">
        <v>453</v>
      </c>
      <c r="C147" s="1" t="s">
        <v>454</v>
      </c>
      <c r="D147" s="1" t="s">
        <v>455</v>
      </c>
      <c r="E147" s="1" t="s">
        <v>32</v>
      </c>
      <c r="F147" s="1">
        <v>289950.0</v>
      </c>
      <c r="G147" s="1">
        <v>286403.0</v>
      </c>
      <c r="H147" s="1">
        <v>283032.0</v>
      </c>
      <c r="I147" s="1">
        <v>261426.0</v>
      </c>
      <c r="J147" s="1">
        <v>221537.0</v>
      </c>
      <c r="K147" s="1">
        <v>177264.0</v>
      </c>
      <c r="L147" s="1">
        <v>148599.0</v>
      </c>
      <c r="M147" s="1">
        <v>110982.0</v>
      </c>
      <c r="N147" s="1">
        <v>18575.0</v>
      </c>
      <c r="O147" s="1">
        <v>15.6097</v>
      </c>
      <c r="P147" s="2">
        <v>1.0075</v>
      </c>
      <c r="Q147" s="3">
        <v>0.0</v>
      </c>
    </row>
    <row r="148">
      <c r="A148" s="1">
        <v>123.0</v>
      </c>
      <c r="B148" s="1" t="s">
        <v>456</v>
      </c>
      <c r="C148" s="1" t="s">
        <v>457</v>
      </c>
      <c r="D148" s="1" t="s">
        <v>458</v>
      </c>
      <c r="E148" s="1" t="s">
        <v>32</v>
      </c>
      <c r="F148" s="1">
        <v>5185288.0</v>
      </c>
      <c r="G148" s="1">
        <v>5061133.0</v>
      </c>
      <c r="H148" s="1">
        <v>4590590.0</v>
      </c>
      <c r="I148" s="1">
        <v>4346338.0</v>
      </c>
      <c r="J148" s="1">
        <v>3855266.0</v>
      </c>
      <c r="K148" s="1">
        <v>3397389.0</v>
      </c>
      <c r="L148" s="1">
        <v>3147168.0</v>
      </c>
      <c r="M148" s="1">
        <v>2824061.0</v>
      </c>
      <c r="N148" s="1">
        <v>270467.0</v>
      </c>
      <c r="O148" s="1">
        <v>19.1716</v>
      </c>
      <c r="P148" s="2">
        <v>1.0108</v>
      </c>
      <c r="Q148" s="3">
        <v>0.07</v>
      </c>
    </row>
    <row r="149">
      <c r="A149" s="1">
        <v>106.0</v>
      </c>
      <c r="B149" s="1" t="s">
        <v>459</v>
      </c>
      <c r="C149" s="1" t="s">
        <v>460</v>
      </c>
      <c r="D149" s="1" t="s">
        <v>461</v>
      </c>
      <c r="E149" s="1" t="s">
        <v>42</v>
      </c>
      <c r="F149" s="1">
        <v>6948392.0</v>
      </c>
      <c r="G149" s="1">
        <v>6755895.0</v>
      </c>
      <c r="H149" s="1">
        <v>6298598.0</v>
      </c>
      <c r="I149" s="1">
        <v>5855734.0</v>
      </c>
      <c r="J149" s="1">
        <v>5123222.0</v>
      </c>
      <c r="K149" s="1">
        <v>4227820.0</v>
      </c>
      <c r="L149" s="1">
        <v>3303309.0</v>
      </c>
      <c r="M149" s="1">
        <v>2444767.0</v>
      </c>
      <c r="N149" s="1">
        <v>130373.0</v>
      </c>
      <c r="O149" s="1">
        <v>53.2962</v>
      </c>
      <c r="P149" s="2">
        <v>1.0143</v>
      </c>
      <c r="Q149" s="3">
        <v>0.09</v>
      </c>
    </row>
    <row r="150">
      <c r="A150" s="1">
        <v>54.0</v>
      </c>
      <c r="B150" s="1" t="s">
        <v>462</v>
      </c>
      <c r="C150" s="1" t="s">
        <v>463</v>
      </c>
      <c r="D150" s="1" t="s">
        <v>464</v>
      </c>
      <c r="E150" s="1" t="s">
        <v>28</v>
      </c>
      <c r="F150" s="1">
        <v>2.6207977E7</v>
      </c>
      <c r="G150" s="1">
        <v>2.4333639E7</v>
      </c>
      <c r="H150" s="1">
        <v>2.0128124E7</v>
      </c>
      <c r="I150" s="1">
        <v>1.6647543E7</v>
      </c>
      <c r="J150" s="1">
        <v>1.1622665E7</v>
      </c>
      <c r="K150" s="1">
        <v>8370647.0</v>
      </c>
      <c r="L150" s="1">
        <v>6173177.0</v>
      </c>
      <c r="M150" s="1">
        <v>4669708.0</v>
      </c>
      <c r="N150" s="1">
        <v>1267000.0</v>
      </c>
      <c r="O150" s="1">
        <v>20.6851</v>
      </c>
      <c r="P150" s="2">
        <v>1.0378</v>
      </c>
      <c r="Q150" s="3">
        <v>0.33</v>
      </c>
    </row>
    <row r="151">
      <c r="A151" s="1">
        <v>6.0</v>
      </c>
      <c r="B151" s="1" t="s">
        <v>465</v>
      </c>
      <c r="C151" s="1" t="s">
        <v>466</v>
      </c>
      <c r="D151" s="1" t="s">
        <v>467</v>
      </c>
      <c r="E151" s="1" t="s">
        <v>28</v>
      </c>
      <c r="F151" s="1">
        <v>2.18541212E8</v>
      </c>
      <c r="G151" s="1">
        <v>2.08327405E8</v>
      </c>
      <c r="H151" s="1">
        <v>1.83995785E8</v>
      </c>
      <c r="I151" s="1">
        <v>1.60952853E8</v>
      </c>
      <c r="J151" s="1">
        <v>1.22851984E8</v>
      </c>
      <c r="K151" s="1">
        <v>9.5214257E7</v>
      </c>
      <c r="L151" s="1">
        <v>7.2951439E7</v>
      </c>
      <c r="M151" s="1">
        <v>5.5569264E7</v>
      </c>
      <c r="N151" s="1">
        <v>923768.0</v>
      </c>
      <c r="O151" s="1">
        <v>236.5759</v>
      </c>
      <c r="P151" s="2">
        <v>1.0241</v>
      </c>
      <c r="Q151" s="3">
        <v>2.74</v>
      </c>
    </row>
    <row r="152">
      <c r="A152" s="1">
        <v>232.0</v>
      </c>
      <c r="B152" s="1" t="s">
        <v>468</v>
      </c>
      <c r="C152" s="1" t="s">
        <v>469</v>
      </c>
      <c r="D152" s="1" t="s">
        <v>470</v>
      </c>
      <c r="E152" s="1" t="s">
        <v>32</v>
      </c>
      <c r="F152" s="1">
        <v>1934.0</v>
      </c>
      <c r="G152" s="1">
        <v>1942.0</v>
      </c>
      <c r="H152" s="1">
        <v>1847.0</v>
      </c>
      <c r="I152" s="1">
        <v>1812.0</v>
      </c>
      <c r="J152" s="1">
        <v>2074.0</v>
      </c>
      <c r="K152" s="1">
        <v>2533.0</v>
      </c>
      <c r="L152" s="1">
        <v>3637.0</v>
      </c>
      <c r="M152" s="1">
        <v>5185.0</v>
      </c>
      <c r="N152" s="1">
        <v>260.0</v>
      </c>
      <c r="O152" s="1">
        <v>7.4385</v>
      </c>
      <c r="P152" s="2">
        <v>0.9985</v>
      </c>
      <c r="Q152" s="3">
        <v>0.0</v>
      </c>
    </row>
    <row r="153">
      <c r="A153" s="1">
        <v>56.0</v>
      </c>
      <c r="B153" s="1" t="s">
        <v>471</v>
      </c>
      <c r="C153" s="1" t="s">
        <v>472</v>
      </c>
      <c r="D153" s="1" t="s">
        <v>473</v>
      </c>
      <c r="E153" s="1" t="s">
        <v>20</v>
      </c>
      <c r="F153" s="1">
        <v>2.6069416E7</v>
      </c>
      <c r="G153" s="1">
        <v>2.5867467E7</v>
      </c>
      <c r="H153" s="1">
        <v>2.5258015E7</v>
      </c>
      <c r="I153" s="1">
        <v>2.4686435E7</v>
      </c>
      <c r="J153" s="1">
        <v>2.3367059E7</v>
      </c>
      <c r="K153" s="1">
        <v>2.0799523E7</v>
      </c>
      <c r="L153" s="1">
        <v>1.797365E7</v>
      </c>
      <c r="M153" s="1">
        <v>1.4996879E7</v>
      </c>
      <c r="N153" s="1">
        <v>120538.0</v>
      </c>
      <c r="O153" s="1">
        <v>216.2755</v>
      </c>
      <c r="P153" s="2">
        <v>1.0038</v>
      </c>
      <c r="Q153" s="3">
        <v>0.33</v>
      </c>
    </row>
    <row r="154">
      <c r="A154" s="1">
        <v>150.0</v>
      </c>
      <c r="B154" s="1" t="s">
        <v>474</v>
      </c>
      <c r="C154" s="1" t="s">
        <v>475</v>
      </c>
      <c r="D154" s="1" t="s">
        <v>476</v>
      </c>
      <c r="E154" s="1" t="s">
        <v>24</v>
      </c>
      <c r="F154" s="1">
        <v>2093599.0</v>
      </c>
      <c r="G154" s="1">
        <v>2111072.0</v>
      </c>
      <c r="H154" s="1">
        <v>2107962.0</v>
      </c>
      <c r="I154" s="1">
        <v>2093828.0</v>
      </c>
      <c r="J154" s="1">
        <v>2037936.0</v>
      </c>
      <c r="K154" s="1">
        <v>2044174.0</v>
      </c>
      <c r="L154" s="1">
        <v>1907023.0</v>
      </c>
      <c r="M154" s="1">
        <v>1656783.0</v>
      </c>
      <c r="N154" s="1">
        <v>25713.0</v>
      </c>
      <c r="O154" s="1">
        <v>81.4218</v>
      </c>
      <c r="P154" s="2">
        <v>0.9954</v>
      </c>
      <c r="Q154" s="3">
        <v>0.03</v>
      </c>
    </row>
    <row r="155">
      <c r="A155" s="1">
        <v>210.0</v>
      </c>
      <c r="B155" s="1" t="s">
        <v>477</v>
      </c>
      <c r="C155" s="1" t="s">
        <v>478</v>
      </c>
      <c r="D155" s="1" t="s">
        <v>479</v>
      </c>
      <c r="E155" s="1" t="s">
        <v>32</v>
      </c>
      <c r="F155" s="1">
        <v>49551.0</v>
      </c>
      <c r="G155" s="1">
        <v>49587.0</v>
      </c>
      <c r="H155" s="1">
        <v>51514.0</v>
      </c>
      <c r="I155" s="1">
        <v>54087.0</v>
      </c>
      <c r="J155" s="1">
        <v>80338.0</v>
      </c>
      <c r="K155" s="1">
        <v>48002.0</v>
      </c>
      <c r="L155" s="1">
        <v>17613.0</v>
      </c>
      <c r="M155" s="1">
        <v>10143.0</v>
      </c>
      <c r="N155" s="1">
        <v>464.0</v>
      </c>
      <c r="O155" s="1">
        <v>106.7909</v>
      </c>
      <c r="P155" s="2">
        <v>1.0014</v>
      </c>
      <c r="Q155" s="3">
        <v>0.0</v>
      </c>
    </row>
    <row r="156">
      <c r="A156" s="1">
        <v>120.0</v>
      </c>
      <c r="B156" s="1" t="s">
        <v>480</v>
      </c>
      <c r="C156" s="1" t="s">
        <v>481</v>
      </c>
      <c r="D156" s="1" t="s">
        <v>482</v>
      </c>
      <c r="E156" s="1" t="s">
        <v>24</v>
      </c>
      <c r="F156" s="1">
        <v>5434319.0</v>
      </c>
      <c r="G156" s="1">
        <v>5379839.0</v>
      </c>
      <c r="H156" s="1">
        <v>5190356.0</v>
      </c>
      <c r="I156" s="1">
        <v>4889741.0</v>
      </c>
      <c r="J156" s="1">
        <v>4491202.0</v>
      </c>
      <c r="K156" s="1">
        <v>4241636.0</v>
      </c>
      <c r="L156" s="1">
        <v>4085776.0</v>
      </c>
      <c r="M156" s="1">
        <v>3875546.0</v>
      </c>
      <c r="N156" s="1">
        <v>323802.0</v>
      </c>
      <c r="O156" s="1">
        <v>16.7828</v>
      </c>
      <c r="P156" s="2">
        <v>1.0058</v>
      </c>
      <c r="Q156" s="3">
        <v>0.07</v>
      </c>
    </row>
    <row r="157">
      <c r="A157" s="1">
        <v>127.0</v>
      </c>
      <c r="B157" s="1" t="s">
        <v>483</v>
      </c>
      <c r="C157" s="1" t="s">
        <v>484</v>
      </c>
      <c r="D157" s="1" t="s">
        <v>485</v>
      </c>
      <c r="E157" s="1" t="s">
        <v>20</v>
      </c>
      <c r="F157" s="1">
        <v>4576298.0</v>
      </c>
      <c r="G157" s="1">
        <v>4543399.0</v>
      </c>
      <c r="H157" s="1">
        <v>4191776.0</v>
      </c>
      <c r="I157" s="1">
        <v>2881914.0</v>
      </c>
      <c r="J157" s="1">
        <v>2344253.0</v>
      </c>
      <c r="K157" s="1">
        <v>1804524.0</v>
      </c>
      <c r="L157" s="1">
        <v>1017462.0</v>
      </c>
      <c r="M157" s="1">
        <v>670693.0</v>
      </c>
      <c r="N157" s="1">
        <v>309500.0</v>
      </c>
      <c r="O157" s="1">
        <v>14.7861</v>
      </c>
      <c r="P157" s="2">
        <v>1.0123</v>
      </c>
      <c r="Q157" s="3">
        <v>0.06</v>
      </c>
    </row>
    <row r="158">
      <c r="A158" s="1">
        <v>5.0</v>
      </c>
      <c r="B158" s="1" t="s">
        <v>486</v>
      </c>
      <c r="C158" s="1" t="s">
        <v>487</v>
      </c>
      <c r="D158" s="1" t="s">
        <v>488</v>
      </c>
      <c r="E158" s="1" t="s">
        <v>20</v>
      </c>
      <c r="F158" s="1">
        <v>2.35824862E8</v>
      </c>
      <c r="G158" s="1">
        <v>2.27196741E8</v>
      </c>
      <c r="H158" s="1">
        <v>2.10969298E8</v>
      </c>
      <c r="I158" s="1">
        <v>1.94454498E8</v>
      </c>
      <c r="J158" s="1">
        <v>1.54369924E8</v>
      </c>
      <c r="K158" s="1">
        <v>1.15414069E8</v>
      </c>
      <c r="L158" s="1">
        <v>8.0624057E7</v>
      </c>
      <c r="M158" s="1">
        <v>5.9290872E7</v>
      </c>
      <c r="N158" s="1">
        <v>881912.0</v>
      </c>
      <c r="O158" s="1">
        <v>267.4018</v>
      </c>
      <c r="P158" s="2">
        <v>1.0191</v>
      </c>
      <c r="Q158" s="3">
        <v>2.96</v>
      </c>
    </row>
    <row r="159">
      <c r="A159" s="1">
        <v>222.0</v>
      </c>
      <c r="B159" s="1" t="s">
        <v>489</v>
      </c>
      <c r="C159" s="1" t="s">
        <v>490</v>
      </c>
      <c r="D159" s="1" t="s">
        <v>491</v>
      </c>
      <c r="E159" s="1" t="s">
        <v>32</v>
      </c>
      <c r="F159" s="1">
        <v>18055.0</v>
      </c>
      <c r="G159" s="1">
        <v>17972.0</v>
      </c>
      <c r="H159" s="1">
        <v>17794.0</v>
      </c>
      <c r="I159" s="1">
        <v>18540.0</v>
      </c>
      <c r="J159" s="1">
        <v>19726.0</v>
      </c>
      <c r="K159" s="1">
        <v>15293.0</v>
      </c>
      <c r="L159" s="1">
        <v>12252.0</v>
      </c>
      <c r="M159" s="1">
        <v>11366.0</v>
      </c>
      <c r="N159" s="1">
        <v>459.0</v>
      </c>
      <c r="O159" s="1">
        <v>39.3355</v>
      </c>
      <c r="P159" s="2">
        <v>1.0017</v>
      </c>
      <c r="Q159" s="3">
        <v>0.0</v>
      </c>
    </row>
    <row r="160">
      <c r="A160" s="1">
        <v>122.0</v>
      </c>
      <c r="B160" s="1" t="s">
        <v>492</v>
      </c>
      <c r="C160" s="1" t="s">
        <v>493</v>
      </c>
      <c r="D160" s="1" t="s">
        <v>494</v>
      </c>
      <c r="E160" s="1" t="s">
        <v>20</v>
      </c>
      <c r="F160" s="1">
        <v>5250072.0</v>
      </c>
      <c r="G160" s="1">
        <v>5019401.0</v>
      </c>
      <c r="H160" s="1">
        <v>4484614.0</v>
      </c>
      <c r="I160" s="1">
        <v>3992278.0</v>
      </c>
      <c r="J160" s="1">
        <v>3139954.0</v>
      </c>
      <c r="K160" s="1">
        <v>2124609.0</v>
      </c>
      <c r="L160" s="1">
        <v>1453620.0</v>
      </c>
      <c r="M160" s="1">
        <v>1118241.0</v>
      </c>
      <c r="N160" s="1">
        <v>6220.0</v>
      </c>
      <c r="O160" s="1">
        <v>844.063</v>
      </c>
      <c r="P160" s="2">
        <v>1.0227</v>
      </c>
      <c r="Q160" s="3">
        <v>0.07</v>
      </c>
    </row>
    <row r="161">
      <c r="A161" s="1">
        <v>128.0</v>
      </c>
      <c r="B161" s="1" t="s">
        <v>495</v>
      </c>
      <c r="C161" s="1" t="s">
        <v>496</v>
      </c>
      <c r="D161" s="1" t="s">
        <v>497</v>
      </c>
      <c r="E161" s="1" t="s">
        <v>42</v>
      </c>
      <c r="F161" s="1">
        <v>4408581.0</v>
      </c>
      <c r="G161" s="1">
        <v>4294396.0</v>
      </c>
      <c r="H161" s="1">
        <v>3957099.0</v>
      </c>
      <c r="I161" s="1">
        <v>3623617.0</v>
      </c>
      <c r="J161" s="1">
        <v>3001731.0</v>
      </c>
      <c r="K161" s="1">
        <v>2449968.0</v>
      </c>
      <c r="L161" s="1">
        <v>1956987.0</v>
      </c>
      <c r="M161" s="1">
        <v>1516188.0</v>
      </c>
      <c r="N161" s="1">
        <v>75417.0</v>
      </c>
      <c r="O161" s="1">
        <v>58.4561</v>
      </c>
      <c r="P161" s="2">
        <v>1.0132</v>
      </c>
      <c r="Q161" s="3">
        <v>0.06</v>
      </c>
    </row>
    <row r="162">
      <c r="A162" s="1">
        <v>93.0</v>
      </c>
      <c r="B162" s="1" t="s">
        <v>498</v>
      </c>
      <c r="C162" s="1" t="s">
        <v>499</v>
      </c>
      <c r="D162" s="1" t="s">
        <v>500</v>
      </c>
      <c r="E162" s="1" t="s">
        <v>32</v>
      </c>
      <c r="F162" s="1">
        <v>1.0142619E7</v>
      </c>
      <c r="G162" s="1">
        <v>9749640.0</v>
      </c>
      <c r="H162" s="1">
        <v>8682174.0</v>
      </c>
      <c r="I162" s="1">
        <v>7583269.0</v>
      </c>
      <c r="J162" s="1">
        <v>5508297.0</v>
      </c>
      <c r="K162" s="1">
        <v>3864972.0</v>
      </c>
      <c r="L162" s="1">
        <v>3104788.0</v>
      </c>
      <c r="M162" s="1">
        <v>2489059.0</v>
      </c>
      <c r="N162" s="1">
        <v>462840.0</v>
      </c>
      <c r="O162" s="1">
        <v>21.9139</v>
      </c>
      <c r="P162" s="2">
        <v>1.0194</v>
      </c>
      <c r="Q162" s="3">
        <v>0.13</v>
      </c>
    </row>
    <row r="163">
      <c r="A163" s="1">
        <v>109.0</v>
      </c>
      <c r="B163" s="1" t="s">
        <v>501</v>
      </c>
      <c r="C163" s="1" t="s">
        <v>502</v>
      </c>
      <c r="D163" s="1" t="s">
        <v>503</v>
      </c>
      <c r="E163" s="1" t="s">
        <v>49</v>
      </c>
      <c r="F163" s="1">
        <v>6780744.0</v>
      </c>
      <c r="G163" s="1">
        <v>6618695.0</v>
      </c>
      <c r="H163" s="1">
        <v>6177950.0</v>
      </c>
      <c r="I163" s="1">
        <v>5768613.0</v>
      </c>
      <c r="J163" s="1">
        <v>5123819.0</v>
      </c>
      <c r="K163" s="1">
        <v>4059195.0</v>
      </c>
      <c r="L163" s="1">
        <v>3078912.0</v>
      </c>
      <c r="M163" s="1">
        <v>2408787.0</v>
      </c>
      <c r="N163" s="1">
        <v>406752.0</v>
      </c>
      <c r="O163" s="1">
        <v>16.6705</v>
      </c>
      <c r="P163" s="2">
        <v>1.0115</v>
      </c>
      <c r="Q163" s="3">
        <v>0.09</v>
      </c>
    </row>
    <row r="164">
      <c r="A164" s="1">
        <v>44.0</v>
      </c>
      <c r="B164" s="1" t="s">
        <v>504</v>
      </c>
      <c r="C164" s="1" t="s">
        <v>505</v>
      </c>
      <c r="D164" s="1" t="s">
        <v>506</v>
      </c>
      <c r="E164" s="1" t="s">
        <v>49</v>
      </c>
      <c r="F164" s="1">
        <v>3.4049588E7</v>
      </c>
      <c r="G164" s="1">
        <v>3.3304756E7</v>
      </c>
      <c r="H164" s="1">
        <v>3.0711863E7</v>
      </c>
      <c r="I164" s="1">
        <v>2.9229572E7</v>
      </c>
      <c r="J164" s="1">
        <v>2.6654439E7</v>
      </c>
      <c r="K164" s="1">
        <v>2.2109099E7</v>
      </c>
      <c r="L164" s="1">
        <v>1.7492406E7</v>
      </c>
      <c r="M164" s="1">
        <v>1.3562371E7</v>
      </c>
      <c r="N164" s="1">
        <v>1285216.0</v>
      </c>
      <c r="O164" s="1">
        <v>26.4933</v>
      </c>
      <c r="P164" s="2">
        <v>1.0099</v>
      </c>
      <c r="Q164" s="3">
        <v>0.43</v>
      </c>
    </row>
    <row r="165">
      <c r="A165" s="1">
        <v>13.0</v>
      </c>
      <c r="B165" s="1" t="s">
        <v>507</v>
      </c>
      <c r="C165" s="1" t="s">
        <v>508</v>
      </c>
      <c r="D165" s="1" t="s">
        <v>509</v>
      </c>
      <c r="E165" s="1" t="s">
        <v>20</v>
      </c>
      <c r="F165" s="1">
        <v>1.15559009E8</v>
      </c>
      <c r="G165" s="1">
        <v>1.12190977E8</v>
      </c>
      <c r="H165" s="1">
        <v>1.03031365E8</v>
      </c>
      <c r="I165" s="1">
        <v>9.46367E7</v>
      </c>
      <c r="J165" s="1">
        <v>7.7958223E7</v>
      </c>
      <c r="K165" s="1">
        <v>6.1558898E7</v>
      </c>
      <c r="L165" s="1">
        <v>4.8419546E7</v>
      </c>
      <c r="M165" s="1">
        <v>3.7435586E7</v>
      </c>
      <c r="N165" s="1">
        <v>342353.0</v>
      </c>
      <c r="O165" s="1">
        <v>337.5434</v>
      </c>
      <c r="P165" s="2">
        <v>1.0147</v>
      </c>
      <c r="Q165" s="3">
        <v>1.45</v>
      </c>
    </row>
    <row r="166">
      <c r="A166" s="1">
        <v>37.0</v>
      </c>
      <c r="B166" s="1" t="s">
        <v>510</v>
      </c>
      <c r="C166" s="1" t="s">
        <v>511</v>
      </c>
      <c r="D166" s="1" t="s">
        <v>512</v>
      </c>
      <c r="E166" s="1" t="s">
        <v>24</v>
      </c>
      <c r="F166" s="1">
        <v>3.9857145E7</v>
      </c>
      <c r="G166" s="1">
        <v>3.8428366E7</v>
      </c>
      <c r="H166" s="1">
        <v>3.8553146E7</v>
      </c>
      <c r="I166" s="1">
        <v>3.8597353E7</v>
      </c>
      <c r="J166" s="1">
        <v>3.8504431E7</v>
      </c>
      <c r="K166" s="1">
        <v>3.8064255E7</v>
      </c>
      <c r="L166" s="1">
        <v>3.5521429E7</v>
      </c>
      <c r="M166" s="1">
        <v>3.2482943E7</v>
      </c>
      <c r="N166" s="1">
        <v>312679.0</v>
      </c>
      <c r="O166" s="1">
        <v>127.4698</v>
      </c>
      <c r="P166" s="2">
        <v>1.0404</v>
      </c>
      <c r="Q166" s="3">
        <v>0.5</v>
      </c>
    </row>
    <row r="167">
      <c r="A167" s="1">
        <v>92.0</v>
      </c>
      <c r="B167" s="1" t="s">
        <v>513</v>
      </c>
      <c r="C167" s="1" t="s">
        <v>514</v>
      </c>
      <c r="D167" s="1" t="s">
        <v>515</v>
      </c>
      <c r="E167" s="1" t="s">
        <v>24</v>
      </c>
      <c r="F167" s="1">
        <v>1.0270865E7</v>
      </c>
      <c r="G167" s="1">
        <v>1.0298192E7</v>
      </c>
      <c r="H167" s="1">
        <v>1.0365435E7</v>
      </c>
      <c r="I167" s="1">
        <v>1.0588401E7</v>
      </c>
      <c r="J167" s="1">
        <v>1.0300626E7</v>
      </c>
      <c r="K167" s="1">
        <v>1.0007346E7</v>
      </c>
      <c r="L167" s="1">
        <v>9785252.0</v>
      </c>
      <c r="M167" s="1">
        <v>8683631.0</v>
      </c>
      <c r="N167" s="1">
        <v>92090.0</v>
      </c>
      <c r="O167" s="1">
        <v>111.5307</v>
      </c>
      <c r="P167" s="2">
        <v>0.9981</v>
      </c>
      <c r="Q167" s="3">
        <v>0.13</v>
      </c>
    </row>
    <row r="168">
      <c r="A168" s="1">
        <v>136.0</v>
      </c>
      <c r="B168" s="1" t="s">
        <v>516</v>
      </c>
      <c r="C168" s="1" t="s">
        <v>517</v>
      </c>
      <c r="D168" s="1" t="s">
        <v>518</v>
      </c>
      <c r="E168" s="1" t="s">
        <v>42</v>
      </c>
      <c r="F168" s="1">
        <v>3252407.0</v>
      </c>
      <c r="G168" s="1">
        <v>3271564.0</v>
      </c>
      <c r="H168" s="1">
        <v>3497335.0</v>
      </c>
      <c r="I168" s="1">
        <v>3717922.0</v>
      </c>
      <c r="J168" s="1">
        <v>3827108.0</v>
      </c>
      <c r="K168" s="1">
        <v>3543776.0</v>
      </c>
      <c r="L168" s="1">
        <v>3214568.0</v>
      </c>
      <c r="M168" s="1">
        <v>2737619.0</v>
      </c>
      <c r="N168" s="1">
        <v>8870.0</v>
      </c>
      <c r="O168" s="1">
        <v>366.675</v>
      </c>
      <c r="P168" s="2">
        <v>0.9989</v>
      </c>
      <c r="Q168" s="3">
        <v>0.04</v>
      </c>
    </row>
    <row r="169">
      <c r="A169" s="1">
        <v>143.0</v>
      </c>
      <c r="B169" s="1" t="s">
        <v>519</v>
      </c>
      <c r="C169" s="1" t="s">
        <v>520</v>
      </c>
      <c r="D169" s="1" t="s">
        <v>521</v>
      </c>
      <c r="E169" s="1" t="s">
        <v>20</v>
      </c>
      <c r="F169" s="1">
        <v>2695122.0</v>
      </c>
      <c r="G169" s="1">
        <v>2760385.0</v>
      </c>
      <c r="H169" s="1">
        <v>2414573.0</v>
      </c>
      <c r="I169" s="1">
        <v>1713504.0</v>
      </c>
      <c r="J169" s="1">
        <v>645937.0</v>
      </c>
      <c r="K169" s="1">
        <v>441675.0</v>
      </c>
      <c r="L169" s="1">
        <v>277450.0</v>
      </c>
      <c r="M169" s="1">
        <v>118007.0</v>
      </c>
      <c r="N169" s="1">
        <v>11586.0</v>
      </c>
      <c r="O169" s="1">
        <v>232.6189</v>
      </c>
      <c r="P169" s="2">
        <v>1.0026</v>
      </c>
      <c r="Q169" s="3">
        <v>0.03</v>
      </c>
    </row>
    <row r="170">
      <c r="A170" s="1">
        <v>114.0</v>
      </c>
      <c r="B170" s="1" t="s">
        <v>522</v>
      </c>
      <c r="C170" s="1" t="s">
        <v>523</v>
      </c>
      <c r="D170" s="1" t="s">
        <v>524</v>
      </c>
      <c r="E170" s="1" t="s">
        <v>28</v>
      </c>
      <c r="F170" s="1">
        <v>5970424.0</v>
      </c>
      <c r="G170" s="1">
        <v>5702174.0</v>
      </c>
      <c r="H170" s="1">
        <v>5064386.0</v>
      </c>
      <c r="I170" s="1">
        <v>4437884.0</v>
      </c>
      <c r="J170" s="1">
        <v>3134030.0</v>
      </c>
      <c r="K170" s="1">
        <v>2385435.0</v>
      </c>
      <c r="L170" s="1">
        <v>1829256.0</v>
      </c>
      <c r="M170" s="1">
        <v>1396989.0</v>
      </c>
      <c r="N170" s="1">
        <v>342000.0</v>
      </c>
      <c r="O170" s="1">
        <v>17.4574</v>
      </c>
      <c r="P170" s="2">
        <v>1.0231</v>
      </c>
      <c r="Q170" s="3">
        <v>0.07</v>
      </c>
    </row>
    <row r="171">
      <c r="A171" s="1">
        <v>161.0</v>
      </c>
      <c r="B171" s="1" t="s">
        <v>525</v>
      </c>
      <c r="C171" s="1" t="s">
        <v>526</v>
      </c>
      <c r="D171" s="1" t="s">
        <v>527</v>
      </c>
      <c r="E171" s="1" t="s">
        <v>28</v>
      </c>
      <c r="F171" s="1">
        <v>974052.0</v>
      </c>
      <c r="G171" s="1">
        <v>957822.0</v>
      </c>
      <c r="H171" s="1">
        <v>922495.0</v>
      </c>
      <c r="I171" s="1">
        <v>890130.0</v>
      </c>
      <c r="J171" s="1">
        <v>785424.0</v>
      </c>
      <c r="K171" s="1">
        <v>658992.0</v>
      </c>
      <c r="L171" s="1">
        <v>551674.0</v>
      </c>
      <c r="M171" s="1">
        <v>473925.0</v>
      </c>
      <c r="N171" s="1">
        <v>2511.0</v>
      </c>
      <c r="O171" s="1">
        <v>387.914</v>
      </c>
      <c r="P171" s="2">
        <v>1.0082</v>
      </c>
      <c r="Q171" s="3">
        <v>0.01</v>
      </c>
    </row>
    <row r="172">
      <c r="A172" s="1">
        <v>64.0</v>
      </c>
      <c r="B172" s="1" t="s">
        <v>528</v>
      </c>
      <c r="C172" s="1" t="s">
        <v>529</v>
      </c>
      <c r="D172" s="1" t="s">
        <v>530</v>
      </c>
      <c r="E172" s="1" t="s">
        <v>24</v>
      </c>
      <c r="F172" s="1">
        <v>1.9659267E7</v>
      </c>
      <c r="G172" s="1">
        <v>1.9442038E7</v>
      </c>
      <c r="H172" s="1">
        <v>1.9906079E7</v>
      </c>
      <c r="I172" s="1">
        <v>2.0335211E7</v>
      </c>
      <c r="J172" s="1">
        <v>2.1919876E7</v>
      </c>
      <c r="K172" s="1">
        <v>2.2836234E7</v>
      </c>
      <c r="L172" s="1">
        <v>2.2125224E7</v>
      </c>
      <c r="M172" s="1">
        <v>1.9922618E7</v>
      </c>
      <c r="N172" s="1">
        <v>238391.0</v>
      </c>
      <c r="O172" s="1">
        <v>82.4665</v>
      </c>
      <c r="P172" s="2">
        <v>1.0171</v>
      </c>
      <c r="Q172" s="3">
        <v>0.25</v>
      </c>
    </row>
    <row r="173">
      <c r="A173" s="1">
        <v>9.0</v>
      </c>
      <c r="B173" s="1" t="s">
        <v>531</v>
      </c>
      <c r="C173" s="1" t="s">
        <v>532</v>
      </c>
      <c r="D173" s="1" t="s">
        <v>533</v>
      </c>
      <c r="E173" s="1" t="s">
        <v>24</v>
      </c>
      <c r="F173" s="1">
        <v>1.44713314E8</v>
      </c>
      <c r="G173" s="1">
        <v>1.45617329E8</v>
      </c>
      <c r="H173" s="1">
        <v>1.44668389E8</v>
      </c>
      <c r="I173" s="1">
        <v>1.43242599E8</v>
      </c>
      <c r="J173" s="1">
        <v>1.46844839E8</v>
      </c>
      <c r="K173" s="1">
        <v>1.48005704E8</v>
      </c>
      <c r="L173" s="1">
        <v>1.3825742E8</v>
      </c>
      <c r="M173" s="1">
        <v>1.3009301E8</v>
      </c>
      <c r="N173" s="1">
        <v>1.7098242E7</v>
      </c>
      <c r="O173" s="1">
        <v>8.4636</v>
      </c>
      <c r="P173" s="2">
        <v>0.9973</v>
      </c>
      <c r="Q173" s="3">
        <v>1.81</v>
      </c>
    </row>
    <row r="174">
      <c r="A174" s="1">
        <v>76.0</v>
      </c>
      <c r="B174" s="1" t="s">
        <v>534</v>
      </c>
      <c r="C174" s="1" t="s">
        <v>535</v>
      </c>
      <c r="D174" s="1" t="s">
        <v>536</v>
      </c>
      <c r="E174" s="1" t="s">
        <v>28</v>
      </c>
      <c r="F174" s="1">
        <v>1.3776698E7</v>
      </c>
      <c r="G174" s="1">
        <v>1.3146362E7</v>
      </c>
      <c r="H174" s="1">
        <v>1.1642959E7</v>
      </c>
      <c r="I174" s="1">
        <v>1.0309031E7</v>
      </c>
      <c r="J174" s="1">
        <v>8109989.0</v>
      </c>
      <c r="K174" s="1">
        <v>7319962.0</v>
      </c>
      <c r="L174" s="1">
        <v>5247532.0</v>
      </c>
      <c r="M174" s="1">
        <v>3896367.0</v>
      </c>
      <c r="N174" s="1">
        <v>26338.0</v>
      </c>
      <c r="O174" s="1">
        <v>523.0731</v>
      </c>
      <c r="P174" s="2">
        <v>1.0234</v>
      </c>
      <c r="Q174" s="3">
        <v>0.17</v>
      </c>
    </row>
    <row r="175">
      <c r="A175" s="1">
        <v>228.0</v>
      </c>
      <c r="B175" s="1" t="s">
        <v>537</v>
      </c>
      <c r="C175" s="1" t="s">
        <v>538</v>
      </c>
      <c r="D175" s="1" t="s">
        <v>539</v>
      </c>
      <c r="E175" s="1" t="s">
        <v>42</v>
      </c>
      <c r="F175" s="1">
        <v>10967.0</v>
      </c>
      <c r="G175" s="1">
        <v>10681.0</v>
      </c>
      <c r="H175" s="1">
        <v>9643.0</v>
      </c>
      <c r="I175" s="1">
        <v>8988.0</v>
      </c>
      <c r="J175" s="1">
        <v>7082.0</v>
      </c>
      <c r="K175" s="1">
        <v>5168.0</v>
      </c>
      <c r="L175" s="1">
        <v>2983.0</v>
      </c>
      <c r="M175" s="1">
        <v>2417.0</v>
      </c>
      <c r="N175" s="1">
        <v>21.0</v>
      </c>
      <c r="O175" s="1">
        <v>522.2381</v>
      </c>
      <c r="P175" s="2">
        <v>1.0098</v>
      </c>
      <c r="Q175" s="3">
        <v>0.0</v>
      </c>
    </row>
    <row r="176">
      <c r="A176" s="1">
        <v>211.0</v>
      </c>
      <c r="B176" s="1" t="s">
        <v>540</v>
      </c>
      <c r="C176" s="1" t="s">
        <v>541</v>
      </c>
      <c r="D176" s="1" t="s">
        <v>542</v>
      </c>
      <c r="E176" s="1" t="s">
        <v>42</v>
      </c>
      <c r="F176" s="1">
        <v>47657.0</v>
      </c>
      <c r="G176" s="1">
        <v>47642.0</v>
      </c>
      <c r="H176" s="1">
        <v>47790.0</v>
      </c>
      <c r="I176" s="1">
        <v>47403.0</v>
      </c>
      <c r="J176" s="1">
        <v>45461.0</v>
      </c>
      <c r="K176" s="1">
        <v>40636.0</v>
      </c>
      <c r="L176" s="1">
        <v>43097.0</v>
      </c>
      <c r="M176" s="1">
        <v>44968.0</v>
      </c>
      <c r="N176" s="1">
        <v>261.0</v>
      </c>
      <c r="O176" s="1">
        <v>182.5939</v>
      </c>
      <c r="P176" s="2">
        <v>1.0011</v>
      </c>
      <c r="Q176" s="3">
        <v>0.0</v>
      </c>
    </row>
    <row r="177">
      <c r="A177" s="1">
        <v>190.0</v>
      </c>
      <c r="B177" s="1" t="s">
        <v>543</v>
      </c>
      <c r="C177" s="1" t="s">
        <v>544</v>
      </c>
      <c r="D177" s="1" t="s">
        <v>545</v>
      </c>
      <c r="E177" s="1" t="s">
        <v>42</v>
      </c>
      <c r="F177" s="1">
        <v>179857.0</v>
      </c>
      <c r="G177" s="1">
        <v>179237.0</v>
      </c>
      <c r="H177" s="1">
        <v>175623.0</v>
      </c>
      <c r="I177" s="1">
        <v>170935.0</v>
      </c>
      <c r="J177" s="1">
        <v>159500.0</v>
      </c>
      <c r="K177" s="1">
        <v>142301.0</v>
      </c>
      <c r="L177" s="1">
        <v>121633.0</v>
      </c>
      <c r="M177" s="1">
        <v>103090.0</v>
      </c>
      <c r="N177" s="1">
        <v>616.0</v>
      </c>
      <c r="O177" s="1">
        <v>291.9756</v>
      </c>
      <c r="P177" s="2">
        <v>1.0011</v>
      </c>
      <c r="Q177" s="3">
        <v>0.0</v>
      </c>
    </row>
    <row r="178">
      <c r="A178" s="1">
        <v>220.0</v>
      </c>
      <c r="B178" s="1" t="s">
        <v>546</v>
      </c>
      <c r="C178" s="1" t="s">
        <v>547</v>
      </c>
      <c r="D178" s="1" t="s">
        <v>548</v>
      </c>
      <c r="E178" s="1" t="s">
        <v>42</v>
      </c>
      <c r="F178" s="1">
        <v>31791.0</v>
      </c>
      <c r="G178" s="1">
        <v>32552.0</v>
      </c>
      <c r="H178" s="1">
        <v>35020.0</v>
      </c>
      <c r="I178" s="1">
        <v>36458.0</v>
      </c>
      <c r="J178" s="1">
        <v>29610.0</v>
      </c>
      <c r="K178" s="1">
        <v>28127.0</v>
      </c>
      <c r="L178" s="1">
        <v>7776.0</v>
      </c>
      <c r="M178" s="1">
        <v>5802.0</v>
      </c>
      <c r="N178" s="1">
        <v>53.0</v>
      </c>
      <c r="O178" s="1">
        <v>599.8302</v>
      </c>
      <c r="P178" s="2">
        <v>0.9951</v>
      </c>
      <c r="Q178" s="3">
        <v>0.0</v>
      </c>
    </row>
    <row r="179">
      <c r="A179" s="1">
        <v>229.0</v>
      </c>
      <c r="B179" s="1" t="s">
        <v>549</v>
      </c>
      <c r="C179" s="1" t="s">
        <v>550</v>
      </c>
      <c r="D179" s="1" t="s">
        <v>551</v>
      </c>
      <c r="E179" s="1" t="s">
        <v>42</v>
      </c>
      <c r="F179" s="1">
        <v>5862.0</v>
      </c>
      <c r="G179" s="1">
        <v>5906.0</v>
      </c>
      <c r="H179" s="1">
        <v>5978.0</v>
      </c>
      <c r="I179" s="1">
        <v>6052.0</v>
      </c>
      <c r="J179" s="1">
        <v>6274.0</v>
      </c>
      <c r="K179" s="1">
        <v>6324.0</v>
      </c>
      <c r="L179" s="1">
        <v>6106.0</v>
      </c>
      <c r="M179" s="1">
        <v>5537.0</v>
      </c>
      <c r="N179" s="1">
        <v>242.0</v>
      </c>
      <c r="O179" s="1">
        <v>24.2231</v>
      </c>
      <c r="P179" s="2">
        <v>0.9964</v>
      </c>
      <c r="Q179" s="3">
        <v>0.0</v>
      </c>
    </row>
    <row r="180">
      <c r="A180" s="1">
        <v>199.0</v>
      </c>
      <c r="B180" s="1" t="s">
        <v>552</v>
      </c>
      <c r="C180" s="1" t="s">
        <v>553</v>
      </c>
      <c r="D180" s="1" t="s">
        <v>554</v>
      </c>
      <c r="E180" s="1" t="s">
        <v>42</v>
      </c>
      <c r="F180" s="1">
        <v>103948.0</v>
      </c>
      <c r="G180" s="1">
        <v>104632.0</v>
      </c>
      <c r="H180" s="1">
        <v>106482.0</v>
      </c>
      <c r="I180" s="1">
        <v>109308.0</v>
      </c>
      <c r="J180" s="1">
        <v>113813.0</v>
      </c>
      <c r="K180" s="1">
        <v>112487.0</v>
      </c>
      <c r="L180" s="1">
        <v>107480.0</v>
      </c>
      <c r="M180" s="1">
        <v>98459.0</v>
      </c>
      <c r="N180" s="1">
        <v>389.0</v>
      </c>
      <c r="O180" s="1">
        <v>267.2185</v>
      </c>
      <c r="P180" s="2">
        <v>0.9963</v>
      </c>
      <c r="Q180" s="3">
        <v>0.0</v>
      </c>
    </row>
    <row r="181">
      <c r="A181" s="1">
        <v>188.0</v>
      </c>
      <c r="B181" s="1" t="s">
        <v>555</v>
      </c>
      <c r="C181" s="1" t="s">
        <v>556</v>
      </c>
      <c r="D181" s="1" t="s">
        <v>557</v>
      </c>
      <c r="E181" s="1" t="s">
        <v>32</v>
      </c>
      <c r="F181" s="1">
        <v>222382.0</v>
      </c>
      <c r="G181" s="1">
        <v>214929.0</v>
      </c>
      <c r="H181" s="1">
        <v>203571.0</v>
      </c>
      <c r="I181" s="1">
        <v>194672.0</v>
      </c>
      <c r="J181" s="1">
        <v>184008.0</v>
      </c>
      <c r="K181" s="1">
        <v>168186.0</v>
      </c>
      <c r="L181" s="1">
        <v>164905.0</v>
      </c>
      <c r="M181" s="1">
        <v>142771.0</v>
      </c>
      <c r="N181" s="1">
        <v>2842.0</v>
      </c>
      <c r="O181" s="1">
        <v>78.2484</v>
      </c>
      <c r="P181" s="2">
        <v>1.0165</v>
      </c>
      <c r="Q181" s="3">
        <v>0.0</v>
      </c>
    </row>
    <row r="182">
      <c r="A182" s="1">
        <v>218.0</v>
      </c>
      <c r="B182" s="1" t="s">
        <v>558</v>
      </c>
      <c r="C182" s="1" t="s">
        <v>559</v>
      </c>
      <c r="D182" s="1" t="s">
        <v>559</v>
      </c>
      <c r="E182" s="1" t="s">
        <v>24</v>
      </c>
      <c r="F182" s="1">
        <v>33660.0</v>
      </c>
      <c r="G182" s="1">
        <v>34007.0</v>
      </c>
      <c r="H182" s="1">
        <v>33570.0</v>
      </c>
      <c r="I182" s="1">
        <v>31608.0</v>
      </c>
      <c r="J182" s="1">
        <v>26823.0</v>
      </c>
      <c r="K182" s="1">
        <v>23132.0</v>
      </c>
      <c r="L182" s="1">
        <v>21346.0</v>
      </c>
      <c r="M182" s="1">
        <v>18169.0</v>
      </c>
      <c r="N182" s="1">
        <v>61.0</v>
      </c>
      <c r="O182" s="1">
        <v>551.8033</v>
      </c>
      <c r="P182" s="2">
        <v>0.9975</v>
      </c>
      <c r="Q182" s="3">
        <v>0.0</v>
      </c>
    </row>
    <row r="183">
      <c r="A183" s="1">
        <v>187.0</v>
      </c>
      <c r="B183" s="1" t="s">
        <v>560</v>
      </c>
      <c r="C183" s="1" t="s">
        <v>561</v>
      </c>
      <c r="D183" s="1" t="s">
        <v>562</v>
      </c>
      <c r="E183" s="1" t="s">
        <v>28</v>
      </c>
      <c r="F183" s="1">
        <v>227380.0</v>
      </c>
      <c r="G183" s="1">
        <v>218641.0</v>
      </c>
      <c r="H183" s="1">
        <v>201124.0</v>
      </c>
      <c r="I183" s="1">
        <v>182138.0</v>
      </c>
      <c r="J183" s="1">
        <v>143714.0</v>
      </c>
      <c r="K183" s="1">
        <v>120343.0</v>
      </c>
      <c r="L183" s="1">
        <v>97210.0</v>
      </c>
      <c r="M183" s="1">
        <v>77583.0</v>
      </c>
      <c r="N183" s="1">
        <v>964.0</v>
      </c>
      <c r="O183" s="1">
        <v>235.8714</v>
      </c>
      <c r="P183" s="2">
        <v>1.0192</v>
      </c>
      <c r="Q183" s="3">
        <v>0.0</v>
      </c>
    </row>
    <row r="184">
      <c r="A184" s="1">
        <v>41.0</v>
      </c>
      <c r="B184" s="1" t="s">
        <v>563</v>
      </c>
      <c r="C184" s="1" t="s">
        <v>564</v>
      </c>
      <c r="D184" s="1" t="s">
        <v>565</v>
      </c>
      <c r="E184" s="1" t="s">
        <v>20</v>
      </c>
      <c r="F184" s="1">
        <v>3.640882E7</v>
      </c>
      <c r="G184" s="1">
        <v>3.5997107E7</v>
      </c>
      <c r="H184" s="1">
        <v>3.2749848E7</v>
      </c>
      <c r="I184" s="1">
        <v>2.9411929E7</v>
      </c>
      <c r="J184" s="1">
        <v>2.154739E7</v>
      </c>
      <c r="K184" s="1">
        <v>1.6004763E7</v>
      </c>
      <c r="L184" s="1">
        <v>1.017171E7</v>
      </c>
      <c r="M184" s="1">
        <v>6106191.0</v>
      </c>
      <c r="N184" s="1">
        <v>2149690.0</v>
      </c>
      <c r="O184" s="1">
        <v>16.9368</v>
      </c>
      <c r="P184" s="2">
        <v>1.0128</v>
      </c>
      <c r="Q184" s="3">
        <v>0.46</v>
      </c>
    </row>
    <row r="185">
      <c r="A185" s="1">
        <v>72.0</v>
      </c>
      <c r="B185" s="1" t="s">
        <v>566</v>
      </c>
      <c r="C185" s="1" t="s">
        <v>567</v>
      </c>
      <c r="D185" s="1" t="s">
        <v>568</v>
      </c>
      <c r="E185" s="1" t="s">
        <v>28</v>
      </c>
      <c r="F185" s="1">
        <v>1.7316449E7</v>
      </c>
      <c r="G185" s="1">
        <v>1.6436119E7</v>
      </c>
      <c r="H185" s="1">
        <v>1.4356181E7</v>
      </c>
      <c r="I185" s="1">
        <v>1.2530121E7</v>
      </c>
      <c r="J185" s="1">
        <v>9704287.0</v>
      </c>
      <c r="K185" s="1">
        <v>7536001.0</v>
      </c>
      <c r="L185" s="1">
        <v>5703869.0</v>
      </c>
      <c r="M185" s="1">
        <v>4367744.0</v>
      </c>
      <c r="N185" s="1">
        <v>196722.0</v>
      </c>
      <c r="O185" s="1">
        <v>88.025</v>
      </c>
      <c r="P185" s="2">
        <v>1.0261</v>
      </c>
      <c r="Q185" s="3">
        <v>0.22</v>
      </c>
    </row>
    <row r="186">
      <c r="A186" s="1">
        <v>105.0</v>
      </c>
      <c r="B186" s="1" t="s">
        <v>569</v>
      </c>
      <c r="C186" s="1" t="s">
        <v>570</v>
      </c>
      <c r="D186" s="1" t="s">
        <v>571</v>
      </c>
      <c r="E186" s="1" t="s">
        <v>24</v>
      </c>
      <c r="F186" s="1">
        <v>7221365.0</v>
      </c>
      <c r="G186" s="1">
        <v>7358005.0</v>
      </c>
      <c r="H186" s="1">
        <v>7519496.0</v>
      </c>
      <c r="I186" s="1">
        <v>7653748.0</v>
      </c>
      <c r="J186" s="1">
        <v>7935022.0</v>
      </c>
      <c r="K186" s="1">
        <v>7987529.0</v>
      </c>
      <c r="L186" s="1">
        <v>7777010.0</v>
      </c>
      <c r="M186" s="1">
        <v>7193533.0</v>
      </c>
      <c r="N186" s="1">
        <v>88361.0</v>
      </c>
      <c r="O186" s="1">
        <v>81.7257</v>
      </c>
      <c r="P186" s="2">
        <v>0.9897</v>
      </c>
      <c r="Q186" s="3">
        <v>0.09</v>
      </c>
    </row>
    <row r="187">
      <c r="A187" s="1">
        <v>196.0</v>
      </c>
      <c r="B187" s="1" t="s">
        <v>572</v>
      </c>
      <c r="C187" s="1" t="s">
        <v>573</v>
      </c>
      <c r="D187" s="1" t="s">
        <v>574</v>
      </c>
      <c r="E187" s="1" t="s">
        <v>28</v>
      </c>
      <c r="F187" s="1">
        <v>107118.0</v>
      </c>
      <c r="G187" s="1">
        <v>105530.0</v>
      </c>
      <c r="H187" s="1">
        <v>99240.0</v>
      </c>
      <c r="I187" s="1">
        <v>92409.0</v>
      </c>
      <c r="J187" s="1">
        <v>80060.0</v>
      </c>
      <c r="K187" s="1">
        <v>71057.0</v>
      </c>
      <c r="L187" s="1">
        <v>65290.0</v>
      </c>
      <c r="M187" s="1">
        <v>54379.0</v>
      </c>
      <c r="N187" s="1">
        <v>452.0</v>
      </c>
      <c r="O187" s="1">
        <v>236.9867</v>
      </c>
      <c r="P187" s="2">
        <v>1.0061</v>
      </c>
      <c r="Q187" s="3">
        <v>0.0</v>
      </c>
    </row>
    <row r="188">
      <c r="A188" s="1">
        <v>102.0</v>
      </c>
      <c r="B188" s="1" t="s">
        <v>575</v>
      </c>
      <c r="C188" s="1" t="s">
        <v>576</v>
      </c>
      <c r="D188" s="1" t="s">
        <v>577</v>
      </c>
      <c r="E188" s="1" t="s">
        <v>28</v>
      </c>
      <c r="F188" s="1">
        <v>8605718.0</v>
      </c>
      <c r="G188" s="1">
        <v>8233969.0</v>
      </c>
      <c r="H188" s="1">
        <v>7314773.0</v>
      </c>
      <c r="I188" s="1">
        <v>6436698.0</v>
      </c>
      <c r="J188" s="1">
        <v>4584067.0</v>
      </c>
      <c r="K188" s="1">
        <v>4325388.0</v>
      </c>
      <c r="L188" s="1">
        <v>3367477.0</v>
      </c>
      <c r="M188" s="1">
        <v>2778557.0</v>
      </c>
      <c r="N188" s="1">
        <v>71740.0</v>
      </c>
      <c r="O188" s="1">
        <v>119.957</v>
      </c>
      <c r="P188" s="2">
        <v>1.022</v>
      </c>
      <c r="Q188" s="3">
        <v>0.11</v>
      </c>
    </row>
    <row r="189">
      <c r="A189" s="1">
        <v>113.0</v>
      </c>
      <c r="B189" s="1" t="s">
        <v>578</v>
      </c>
      <c r="C189" s="1" t="s">
        <v>579</v>
      </c>
      <c r="D189" s="1" t="s">
        <v>579</v>
      </c>
      <c r="E189" s="1" t="s">
        <v>20</v>
      </c>
      <c r="F189" s="1">
        <v>5975689.0</v>
      </c>
      <c r="G189" s="1">
        <v>5909869.0</v>
      </c>
      <c r="H189" s="1">
        <v>5650018.0</v>
      </c>
      <c r="I189" s="1">
        <v>5163590.0</v>
      </c>
      <c r="J189" s="1">
        <v>4053602.0</v>
      </c>
      <c r="K189" s="1">
        <v>3022209.0</v>
      </c>
      <c r="L189" s="1">
        <v>2400729.0</v>
      </c>
      <c r="M189" s="1">
        <v>2061831.0</v>
      </c>
      <c r="N189" s="1">
        <v>710.0</v>
      </c>
      <c r="O189" s="1">
        <v>8416.4634</v>
      </c>
      <c r="P189" s="2">
        <v>1.0058</v>
      </c>
      <c r="Q189" s="3">
        <v>0.07</v>
      </c>
    </row>
    <row r="190">
      <c r="A190" s="1">
        <v>214.0</v>
      </c>
      <c r="B190" s="1" t="s">
        <v>580</v>
      </c>
      <c r="C190" s="1" t="s">
        <v>581</v>
      </c>
      <c r="D190" s="1" t="s">
        <v>582</v>
      </c>
      <c r="E190" s="1" t="s">
        <v>42</v>
      </c>
      <c r="F190" s="1">
        <v>44175.0</v>
      </c>
      <c r="G190" s="1">
        <v>43621.0</v>
      </c>
      <c r="H190" s="1">
        <v>40205.0</v>
      </c>
      <c r="I190" s="1">
        <v>33034.0</v>
      </c>
      <c r="J190" s="1">
        <v>30489.0</v>
      </c>
      <c r="K190" s="1">
        <v>27845.0</v>
      </c>
      <c r="L190" s="1">
        <v>12243.0</v>
      </c>
      <c r="M190" s="1">
        <v>6260.0</v>
      </c>
      <c r="N190" s="1">
        <v>34.0</v>
      </c>
      <c r="O190" s="1">
        <v>1299.2647</v>
      </c>
      <c r="P190" s="2">
        <v>1.003</v>
      </c>
      <c r="Q190" s="3">
        <v>0.0</v>
      </c>
    </row>
    <row r="191">
      <c r="A191" s="1">
        <v>116.0</v>
      </c>
      <c r="B191" s="1" t="s">
        <v>583</v>
      </c>
      <c r="C191" s="1" t="s">
        <v>584</v>
      </c>
      <c r="D191" s="1" t="s">
        <v>585</v>
      </c>
      <c r="E191" s="1" t="s">
        <v>24</v>
      </c>
      <c r="F191" s="1">
        <v>5643453.0</v>
      </c>
      <c r="G191" s="1">
        <v>5456681.0</v>
      </c>
      <c r="H191" s="1">
        <v>5424444.0</v>
      </c>
      <c r="I191" s="1">
        <v>5396424.0</v>
      </c>
      <c r="J191" s="1">
        <v>5376690.0</v>
      </c>
      <c r="K191" s="1">
        <v>5261305.0</v>
      </c>
      <c r="L191" s="1">
        <v>4973883.0</v>
      </c>
      <c r="M191" s="1">
        <v>4522867.0</v>
      </c>
      <c r="N191" s="1">
        <v>49037.0</v>
      </c>
      <c r="O191" s="1">
        <v>115.0856</v>
      </c>
      <c r="P191" s="2">
        <v>1.0359</v>
      </c>
      <c r="Q191" s="3">
        <v>0.07</v>
      </c>
    </row>
    <row r="192">
      <c r="A192" s="1">
        <v>148.0</v>
      </c>
      <c r="B192" s="1" t="s">
        <v>586</v>
      </c>
      <c r="C192" s="1" t="s">
        <v>587</v>
      </c>
      <c r="D192" s="1" t="s">
        <v>588</v>
      </c>
      <c r="E192" s="1" t="s">
        <v>24</v>
      </c>
      <c r="F192" s="1">
        <v>2119844.0</v>
      </c>
      <c r="G192" s="1">
        <v>2117641.0</v>
      </c>
      <c r="H192" s="1">
        <v>2080862.0</v>
      </c>
      <c r="I192" s="1">
        <v>2057286.0</v>
      </c>
      <c r="J192" s="1">
        <v>1984339.0</v>
      </c>
      <c r="K192" s="1">
        <v>1986024.0</v>
      </c>
      <c r="L192" s="1">
        <v>1901570.0</v>
      </c>
      <c r="M192" s="1">
        <v>1741286.0</v>
      </c>
      <c r="N192" s="1">
        <v>20273.0</v>
      </c>
      <c r="O192" s="1">
        <v>104.5649</v>
      </c>
      <c r="P192" s="2">
        <v>1.0002</v>
      </c>
      <c r="Q192" s="3">
        <v>0.03</v>
      </c>
    </row>
    <row r="193">
      <c r="A193" s="1">
        <v>166.0</v>
      </c>
      <c r="B193" s="1" t="s">
        <v>589</v>
      </c>
      <c r="C193" s="1" t="s">
        <v>590</v>
      </c>
      <c r="D193" s="1" t="s">
        <v>591</v>
      </c>
      <c r="E193" s="1" t="s">
        <v>32</v>
      </c>
      <c r="F193" s="1">
        <v>724273.0</v>
      </c>
      <c r="G193" s="1">
        <v>691191.0</v>
      </c>
      <c r="H193" s="1">
        <v>612660.0</v>
      </c>
      <c r="I193" s="1">
        <v>540394.0</v>
      </c>
      <c r="J193" s="1">
        <v>429978.0</v>
      </c>
      <c r="K193" s="1">
        <v>324171.0</v>
      </c>
      <c r="L193" s="1">
        <v>233668.0</v>
      </c>
      <c r="M193" s="1">
        <v>172833.0</v>
      </c>
      <c r="N193" s="1">
        <v>28896.0</v>
      </c>
      <c r="O193" s="1">
        <v>25.0648</v>
      </c>
      <c r="P193" s="2">
        <v>1.0232</v>
      </c>
      <c r="Q193" s="3">
        <v>0.01</v>
      </c>
    </row>
    <row r="194">
      <c r="A194" s="1">
        <v>70.0</v>
      </c>
      <c r="B194" s="1" t="s">
        <v>592</v>
      </c>
      <c r="C194" s="1" t="s">
        <v>593</v>
      </c>
      <c r="D194" s="1" t="s">
        <v>594</v>
      </c>
      <c r="E194" s="1" t="s">
        <v>28</v>
      </c>
      <c r="F194" s="1">
        <v>1.7597511E7</v>
      </c>
      <c r="G194" s="1">
        <v>1.6537016E7</v>
      </c>
      <c r="H194" s="1">
        <v>1.3763906E7</v>
      </c>
      <c r="I194" s="1">
        <v>1.2026649E7</v>
      </c>
      <c r="J194" s="1">
        <v>8721465.0</v>
      </c>
      <c r="K194" s="1">
        <v>6999096.0</v>
      </c>
      <c r="L194" s="1">
        <v>5892224.0</v>
      </c>
      <c r="M194" s="1">
        <v>3720977.0</v>
      </c>
      <c r="N194" s="1">
        <v>637657.0</v>
      </c>
      <c r="O194" s="1">
        <v>27.5971</v>
      </c>
      <c r="P194" s="2">
        <v>1.0312</v>
      </c>
      <c r="Q194" s="3">
        <v>0.22</v>
      </c>
    </row>
    <row r="195">
      <c r="A195" s="1">
        <v>24.0</v>
      </c>
      <c r="B195" s="1" t="s">
        <v>595</v>
      </c>
      <c r="C195" s="1" t="s">
        <v>596</v>
      </c>
      <c r="D195" s="1" t="s">
        <v>597</v>
      </c>
      <c r="E195" s="1" t="s">
        <v>28</v>
      </c>
      <c r="F195" s="1">
        <v>5.9893885E7</v>
      </c>
      <c r="G195" s="1">
        <v>5.8801927E7</v>
      </c>
      <c r="H195" s="1">
        <v>5.5876504E7</v>
      </c>
      <c r="I195" s="1">
        <v>5.1784921E7</v>
      </c>
      <c r="J195" s="1">
        <v>4.6813266E7</v>
      </c>
      <c r="K195" s="1">
        <v>3.987757E7</v>
      </c>
      <c r="L195" s="1">
        <v>2.9463549E7</v>
      </c>
      <c r="M195" s="1">
        <v>2.2368306E7</v>
      </c>
      <c r="N195" s="1">
        <v>1221037.0</v>
      </c>
      <c r="O195" s="1">
        <v>49.0517</v>
      </c>
      <c r="P195" s="2">
        <v>1.0084</v>
      </c>
      <c r="Q195" s="3">
        <v>0.75</v>
      </c>
    </row>
    <row r="196">
      <c r="A196" s="1">
        <v>29.0</v>
      </c>
      <c r="B196" s="1" t="s">
        <v>598</v>
      </c>
      <c r="C196" s="1" t="s">
        <v>599</v>
      </c>
      <c r="D196" s="1" t="s">
        <v>600</v>
      </c>
      <c r="E196" s="1" t="s">
        <v>20</v>
      </c>
      <c r="F196" s="1">
        <v>5.181581E7</v>
      </c>
      <c r="G196" s="1">
        <v>5.184469E7</v>
      </c>
      <c r="H196" s="1">
        <v>5.0994401E7</v>
      </c>
      <c r="I196" s="1">
        <v>4.8813042E7</v>
      </c>
      <c r="J196" s="1">
        <v>4.6788591E7</v>
      </c>
      <c r="K196" s="1">
        <v>4.4120039E7</v>
      </c>
      <c r="L196" s="1">
        <v>3.8170501E7</v>
      </c>
      <c r="M196" s="1">
        <v>3.2601143E7</v>
      </c>
      <c r="N196" s="1">
        <v>100210.0</v>
      </c>
      <c r="O196" s="1">
        <v>517.0722</v>
      </c>
      <c r="P196" s="2">
        <v>0.9997</v>
      </c>
      <c r="Q196" s="3">
        <v>0.65</v>
      </c>
    </row>
    <row r="197">
      <c r="A197" s="1">
        <v>86.0</v>
      </c>
      <c r="B197" s="1" t="s">
        <v>601</v>
      </c>
      <c r="C197" s="1" t="s">
        <v>602</v>
      </c>
      <c r="D197" s="1" t="s">
        <v>603</v>
      </c>
      <c r="E197" s="1" t="s">
        <v>28</v>
      </c>
      <c r="F197" s="1">
        <v>1.0913164E7</v>
      </c>
      <c r="G197" s="1">
        <v>1.0606227E7</v>
      </c>
      <c r="H197" s="1">
        <v>1.1194299E7</v>
      </c>
      <c r="I197" s="1">
        <v>9714419.0</v>
      </c>
      <c r="J197" s="1">
        <v>6114440.0</v>
      </c>
      <c r="K197" s="1">
        <v>4750817.0</v>
      </c>
      <c r="L197" s="1">
        <v>4192011.0</v>
      </c>
      <c r="M197" s="1">
        <v>3342410.0</v>
      </c>
      <c r="N197" s="1">
        <v>619745.0</v>
      </c>
      <c r="O197" s="1">
        <v>17.6091</v>
      </c>
      <c r="P197" s="2">
        <v>1.0153</v>
      </c>
      <c r="Q197" s="3">
        <v>0.14</v>
      </c>
    </row>
    <row r="198">
      <c r="A198" s="1">
        <v>30.0</v>
      </c>
      <c r="B198" s="1" t="s">
        <v>604</v>
      </c>
      <c r="C198" s="1" t="s">
        <v>605</v>
      </c>
      <c r="D198" s="1" t="s">
        <v>606</v>
      </c>
      <c r="E198" s="1" t="s">
        <v>24</v>
      </c>
      <c r="F198" s="1">
        <v>4.755863E7</v>
      </c>
      <c r="G198" s="1">
        <v>4.7363807E7</v>
      </c>
      <c r="H198" s="1">
        <v>4.6431342E7</v>
      </c>
      <c r="I198" s="1">
        <v>4.6572772E7</v>
      </c>
      <c r="J198" s="1">
        <v>4.0741651E7</v>
      </c>
      <c r="K198" s="1">
        <v>3.8889889E7</v>
      </c>
      <c r="L198" s="1">
        <v>3.7491666E7</v>
      </c>
      <c r="M198" s="1">
        <v>3.3792617E7</v>
      </c>
      <c r="N198" s="1">
        <v>505992.0</v>
      </c>
      <c r="O198" s="1">
        <v>93.9909</v>
      </c>
      <c r="P198" s="2">
        <v>1.0015</v>
      </c>
      <c r="Q198" s="3">
        <v>0.6</v>
      </c>
    </row>
    <row r="199">
      <c r="A199" s="1">
        <v>61.0</v>
      </c>
      <c r="B199" s="1" t="s">
        <v>607</v>
      </c>
      <c r="C199" s="1" t="s">
        <v>608</v>
      </c>
      <c r="D199" s="1" t="s">
        <v>609</v>
      </c>
      <c r="E199" s="1" t="s">
        <v>20</v>
      </c>
      <c r="F199" s="1">
        <v>2.1832143E7</v>
      </c>
      <c r="G199" s="1">
        <v>2.1715079E7</v>
      </c>
      <c r="H199" s="1">
        <v>2.1336697E7</v>
      </c>
      <c r="I199" s="1">
        <v>2.0668557E7</v>
      </c>
      <c r="J199" s="1">
        <v>1.8776371E7</v>
      </c>
      <c r="K199" s="1">
        <v>1.7204094E7</v>
      </c>
      <c r="L199" s="1">
        <v>1.4943645E7</v>
      </c>
      <c r="M199" s="1">
        <v>1.2388769E7</v>
      </c>
      <c r="N199" s="1">
        <v>65610.0</v>
      </c>
      <c r="O199" s="1">
        <v>332.7563</v>
      </c>
      <c r="P199" s="2">
        <v>1.0027</v>
      </c>
      <c r="Q199" s="3">
        <v>0.27</v>
      </c>
    </row>
    <row r="200">
      <c r="A200" s="1">
        <v>32.0</v>
      </c>
      <c r="B200" s="1" t="s">
        <v>610</v>
      </c>
      <c r="C200" s="1" t="s">
        <v>611</v>
      </c>
      <c r="D200" s="1" t="s">
        <v>612</v>
      </c>
      <c r="E200" s="1" t="s">
        <v>28</v>
      </c>
      <c r="F200" s="1">
        <v>4.6874204E7</v>
      </c>
      <c r="G200" s="1">
        <v>4.4440486E7</v>
      </c>
      <c r="H200" s="1">
        <v>3.8171178E7</v>
      </c>
      <c r="I200" s="1">
        <v>3.3739933E7</v>
      </c>
      <c r="J200" s="1">
        <v>2.6298773E7</v>
      </c>
      <c r="K200" s="1">
        <v>2.1090886E7</v>
      </c>
      <c r="L200" s="1">
        <v>1.6673586E7</v>
      </c>
      <c r="M200" s="1">
        <v>1.1305206E7</v>
      </c>
      <c r="N200" s="1">
        <v>1886068.0</v>
      </c>
      <c r="O200" s="1">
        <v>24.8529</v>
      </c>
      <c r="P200" s="2">
        <v>1.0267</v>
      </c>
      <c r="Q200" s="3">
        <v>0.59</v>
      </c>
    </row>
    <row r="201">
      <c r="A201" s="1">
        <v>170.0</v>
      </c>
      <c r="B201" s="1" t="s">
        <v>613</v>
      </c>
      <c r="C201" s="1" t="s">
        <v>614</v>
      </c>
      <c r="D201" s="1" t="s">
        <v>615</v>
      </c>
      <c r="E201" s="1" t="s">
        <v>49</v>
      </c>
      <c r="F201" s="1">
        <v>618040.0</v>
      </c>
      <c r="G201" s="1">
        <v>607065.0</v>
      </c>
      <c r="H201" s="1">
        <v>575475.0</v>
      </c>
      <c r="I201" s="1">
        <v>546080.0</v>
      </c>
      <c r="J201" s="1">
        <v>478998.0</v>
      </c>
      <c r="K201" s="1">
        <v>412756.0</v>
      </c>
      <c r="L201" s="1">
        <v>375112.0</v>
      </c>
      <c r="M201" s="1">
        <v>379918.0</v>
      </c>
      <c r="N201" s="1">
        <v>163820.0</v>
      </c>
      <c r="O201" s="1">
        <v>3.7727</v>
      </c>
      <c r="P201" s="2">
        <v>1.0082</v>
      </c>
      <c r="Q201" s="3">
        <v>0.01</v>
      </c>
    </row>
    <row r="202">
      <c r="A202" s="1">
        <v>87.0</v>
      </c>
      <c r="B202" s="1" t="s">
        <v>616</v>
      </c>
      <c r="C202" s="1" t="s">
        <v>617</v>
      </c>
      <c r="D202" s="1" t="s">
        <v>618</v>
      </c>
      <c r="E202" s="1" t="s">
        <v>24</v>
      </c>
      <c r="F202" s="1">
        <v>1.0549347E7</v>
      </c>
      <c r="G202" s="1">
        <v>1.0368969E7</v>
      </c>
      <c r="H202" s="1">
        <v>9849349.0</v>
      </c>
      <c r="I202" s="1">
        <v>9381729.0</v>
      </c>
      <c r="J202" s="1">
        <v>8871043.0</v>
      </c>
      <c r="K202" s="1">
        <v>8548406.0</v>
      </c>
      <c r="L202" s="1">
        <v>8311763.0</v>
      </c>
      <c r="M202" s="1">
        <v>8027702.0</v>
      </c>
      <c r="N202" s="1">
        <v>450295.0</v>
      </c>
      <c r="O202" s="1">
        <v>23.4276</v>
      </c>
      <c r="P202" s="2">
        <v>1.0079</v>
      </c>
      <c r="Q202" s="3">
        <v>0.13</v>
      </c>
    </row>
    <row r="203">
      <c r="A203" s="1">
        <v>101.0</v>
      </c>
      <c r="B203" s="1" t="s">
        <v>619</v>
      </c>
      <c r="C203" s="1" t="s">
        <v>620</v>
      </c>
      <c r="D203" s="1" t="s">
        <v>621</v>
      </c>
      <c r="E203" s="1" t="s">
        <v>24</v>
      </c>
      <c r="F203" s="1">
        <v>8740472.0</v>
      </c>
      <c r="G203" s="1">
        <v>8638613.0</v>
      </c>
      <c r="H203" s="1">
        <v>8281732.0</v>
      </c>
      <c r="I203" s="1">
        <v>7822435.0</v>
      </c>
      <c r="J203" s="1">
        <v>7182059.0</v>
      </c>
      <c r="K203" s="1">
        <v>6711693.0</v>
      </c>
      <c r="L203" s="1">
        <v>6319113.0</v>
      </c>
      <c r="M203" s="1">
        <v>6181227.0</v>
      </c>
      <c r="N203" s="1">
        <v>41284.0</v>
      </c>
      <c r="O203" s="1">
        <v>211.7157</v>
      </c>
      <c r="P203" s="2">
        <v>1.0056</v>
      </c>
      <c r="Q203" s="3">
        <v>0.11</v>
      </c>
    </row>
    <row r="204">
      <c r="A204" s="1">
        <v>60.0</v>
      </c>
      <c r="B204" s="1" t="s">
        <v>622</v>
      </c>
      <c r="C204" s="1" t="s">
        <v>623</v>
      </c>
      <c r="D204" s="1" t="s">
        <v>624</v>
      </c>
      <c r="E204" s="1" t="s">
        <v>20</v>
      </c>
      <c r="F204" s="1">
        <v>2.2125249E7</v>
      </c>
      <c r="G204" s="1">
        <v>2.0772595E7</v>
      </c>
      <c r="H204" s="1">
        <v>1.9205178E7</v>
      </c>
      <c r="I204" s="1">
        <v>2.2337563E7</v>
      </c>
      <c r="J204" s="1">
        <v>1.6307654E7</v>
      </c>
      <c r="K204" s="1">
        <v>1.2408996E7</v>
      </c>
      <c r="L204" s="1">
        <v>8898954.0</v>
      </c>
      <c r="M204" s="1">
        <v>6319199.0</v>
      </c>
      <c r="N204" s="1">
        <v>185180.0</v>
      </c>
      <c r="O204" s="1">
        <v>119.4797</v>
      </c>
      <c r="P204" s="2">
        <v>1.0376</v>
      </c>
      <c r="Q204" s="3">
        <v>0.28</v>
      </c>
    </row>
    <row r="205">
      <c r="A205" s="1">
        <v>57.0</v>
      </c>
      <c r="B205" s="1" t="s">
        <v>625</v>
      </c>
      <c r="C205" s="1" t="s">
        <v>626</v>
      </c>
      <c r="D205" s="1" t="s">
        <v>627</v>
      </c>
      <c r="E205" s="1" t="s">
        <v>20</v>
      </c>
      <c r="F205" s="1">
        <v>2.3893394E7</v>
      </c>
      <c r="G205" s="1">
        <v>2.3821464E7</v>
      </c>
      <c r="H205" s="1">
        <v>2.3512136E7</v>
      </c>
      <c r="I205" s="1">
        <v>2.3083083E7</v>
      </c>
      <c r="J205" s="1">
        <v>2.2194731E7</v>
      </c>
      <c r="K205" s="1">
        <v>2.0586174E7</v>
      </c>
      <c r="L205" s="1">
        <v>1.8100281E7</v>
      </c>
      <c r="M205" s="1">
        <v>1.495787E7</v>
      </c>
      <c r="N205" s="1">
        <v>36193.0</v>
      </c>
      <c r="O205" s="1">
        <v>660.1662</v>
      </c>
      <c r="P205" s="2">
        <v>1.0014</v>
      </c>
      <c r="Q205" s="3">
        <v>0.3</v>
      </c>
    </row>
    <row r="206">
      <c r="A206" s="1">
        <v>95.0</v>
      </c>
      <c r="B206" s="1" t="s">
        <v>628</v>
      </c>
      <c r="C206" s="1" t="s">
        <v>629</v>
      </c>
      <c r="D206" s="1" t="s">
        <v>630</v>
      </c>
      <c r="E206" s="1" t="s">
        <v>20</v>
      </c>
      <c r="F206" s="1">
        <v>9952787.0</v>
      </c>
      <c r="G206" s="1">
        <v>9543207.0</v>
      </c>
      <c r="H206" s="1">
        <v>8524063.0</v>
      </c>
      <c r="I206" s="1">
        <v>7621779.0</v>
      </c>
      <c r="J206" s="1">
        <v>6272998.0</v>
      </c>
      <c r="K206" s="1">
        <v>5417860.0</v>
      </c>
      <c r="L206" s="1">
        <v>4045965.0</v>
      </c>
      <c r="M206" s="1">
        <v>2993019.0</v>
      </c>
      <c r="N206" s="1">
        <v>143100.0</v>
      </c>
      <c r="O206" s="1">
        <v>69.5513</v>
      </c>
      <c r="P206" s="2">
        <v>1.0208</v>
      </c>
      <c r="Q206" s="3">
        <v>0.12</v>
      </c>
    </row>
    <row r="207">
      <c r="A207" s="1">
        <v>22.0</v>
      </c>
      <c r="B207" s="1" t="s">
        <v>631</v>
      </c>
      <c r="C207" s="1" t="s">
        <v>632</v>
      </c>
      <c r="D207" s="1" t="s">
        <v>633</v>
      </c>
      <c r="E207" s="1" t="s">
        <v>28</v>
      </c>
      <c r="F207" s="1">
        <v>6.5497748E7</v>
      </c>
      <c r="G207" s="1">
        <v>6.1704518E7</v>
      </c>
      <c r="H207" s="1">
        <v>5.2542823E7</v>
      </c>
      <c r="I207" s="1">
        <v>4.5110527E7</v>
      </c>
      <c r="J207" s="1">
        <v>3.4463704E7</v>
      </c>
      <c r="K207" s="1">
        <v>2.6206012E7</v>
      </c>
      <c r="L207" s="1">
        <v>1.9297659E7</v>
      </c>
      <c r="M207" s="1">
        <v>1.3618192E7</v>
      </c>
      <c r="N207" s="1">
        <v>945087.0</v>
      </c>
      <c r="O207" s="1">
        <v>69.3034</v>
      </c>
      <c r="P207" s="2">
        <v>1.03</v>
      </c>
      <c r="Q207" s="3">
        <v>0.82</v>
      </c>
    </row>
    <row r="208">
      <c r="A208" s="1">
        <v>20.0</v>
      </c>
      <c r="B208" s="1" t="s">
        <v>634</v>
      </c>
      <c r="C208" s="1" t="s">
        <v>635</v>
      </c>
      <c r="D208" s="1" t="s">
        <v>636</v>
      </c>
      <c r="E208" s="1" t="s">
        <v>20</v>
      </c>
      <c r="F208" s="1">
        <v>7.169703E7</v>
      </c>
      <c r="G208" s="1">
        <v>7.1475664E7</v>
      </c>
      <c r="H208" s="1">
        <v>7.0294397E7</v>
      </c>
      <c r="I208" s="1">
        <v>6.8270489E7</v>
      </c>
      <c r="J208" s="1">
        <v>6.3066603E7</v>
      </c>
      <c r="K208" s="1">
        <v>5.522841E7</v>
      </c>
      <c r="L208" s="1">
        <v>4.5737753E7</v>
      </c>
      <c r="M208" s="1">
        <v>3.5791728E7</v>
      </c>
      <c r="N208" s="1">
        <v>513120.0</v>
      </c>
      <c r="O208" s="1">
        <v>139.7276</v>
      </c>
      <c r="P208" s="2">
        <v>1.0013</v>
      </c>
      <c r="Q208" s="3">
        <v>0.9</v>
      </c>
    </row>
    <row r="209">
      <c r="A209" s="1">
        <v>155.0</v>
      </c>
      <c r="B209" s="1" t="s">
        <v>637</v>
      </c>
      <c r="C209" s="1" t="s">
        <v>638</v>
      </c>
      <c r="D209" s="1" t="s">
        <v>639</v>
      </c>
      <c r="E209" s="1" t="s">
        <v>20</v>
      </c>
      <c r="F209" s="1">
        <v>1341296.0</v>
      </c>
      <c r="G209" s="1">
        <v>1299995.0</v>
      </c>
      <c r="H209" s="1">
        <v>1205813.0</v>
      </c>
      <c r="I209" s="1">
        <v>1088486.0</v>
      </c>
      <c r="J209" s="1">
        <v>878360.0</v>
      </c>
      <c r="K209" s="1">
        <v>758106.0</v>
      </c>
      <c r="L209" s="1">
        <v>642224.0</v>
      </c>
      <c r="M209" s="1">
        <v>554021.0</v>
      </c>
      <c r="N209" s="1">
        <v>14874.0</v>
      </c>
      <c r="O209" s="1">
        <v>90.1772</v>
      </c>
      <c r="P209" s="2">
        <v>1.0154</v>
      </c>
      <c r="Q209" s="3">
        <v>0.02</v>
      </c>
    </row>
    <row r="210">
      <c r="A210" s="1">
        <v>100.0</v>
      </c>
      <c r="B210" s="1" t="s">
        <v>640</v>
      </c>
      <c r="C210" s="1" t="s">
        <v>641</v>
      </c>
      <c r="D210" s="1" t="s">
        <v>642</v>
      </c>
      <c r="E210" s="1" t="s">
        <v>28</v>
      </c>
      <c r="F210" s="1">
        <v>8848699.0</v>
      </c>
      <c r="G210" s="1">
        <v>8442580.0</v>
      </c>
      <c r="H210" s="1">
        <v>7473229.0</v>
      </c>
      <c r="I210" s="1">
        <v>6571855.0</v>
      </c>
      <c r="J210" s="1">
        <v>5008035.0</v>
      </c>
      <c r="K210" s="1">
        <v>3875947.0</v>
      </c>
      <c r="L210" s="1">
        <v>2838110.0</v>
      </c>
      <c r="M210" s="1">
        <v>2197383.0</v>
      </c>
      <c r="N210" s="1">
        <v>56785.0</v>
      </c>
      <c r="O210" s="1">
        <v>155.8281</v>
      </c>
      <c r="P210" s="2">
        <v>1.0236</v>
      </c>
      <c r="Q210" s="3">
        <v>0.11</v>
      </c>
    </row>
    <row r="211">
      <c r="A211" s="1">
        <v>233.0</v>
      </c>
      <c r="B211" s="1" t="s">
        <v>643</v>
      </c>
      <c r="C211" s="1" t="s">
        <v>644</v>
      </c>
      <c r="D211" s="1" t="s">
        <v>645</v>
      </c>
      <c r="E211" s="1" t="s">
        <v>32</v>
      </c>
      <c r="F211" s="1">
        <v>1871.0</v>
      </c>
      <c r="G211" s="1">
        <v>1827.0</v>
      </c>
      <c r="H211" s="1">
        <v>1454.0</v>
      </c>
      <c r="I211" s="1">
        <v>1367.0</v>
      </c>
      <c r="J211" s="1">
        <v>1666.0</v>
      </c>
      <c r="K211" s="1">
        <v>1669.0</v>
      </c>
      <c r="L211" s="1">
        <v>1647.0</v>
      </c>
      <c r="M211" s="1">
        <v>1714.0</v>
      </c>
      <c r="N211" s="1">
        <v>12.0</v>
      </c>
      <c r="O211" s="1">
        <v>155.9167</v>
      </c>
      <c r="P211" s="2">
        <v>1.0119</v>
      </c>
      <c r="Q211" s="3">
        <v>0.0</v>
      </c>
    </row>
    <row r="212">
      <c r="A212" s="1">
        <v>197.0</v>
      </c>
      <c r="B212" s="1" t="s">
        <v>646</v>
      </c>
      <c r="C212" s="1" t="s">
        <v>647</v>
      </c>
      <c r="D212" s="1" t="s">
        <v>648</v>
      </c>
      <c r="E212" s="1" t="s">
        <v>32</v>
      </c>
      <c r="F212" s="1">
        <v>106858.0</v>
      </c>
      <c r="G212" s="1">
        <v>105254.0</v>
      </c>
      <c r="H212" s="1">
        <v>106122.0</v>
      </c>
      <c r="I212" s="1">
        <v>107383.0</v>
      </c>
      <c r="J212" s="1">
        <v>102603.0</v>
      </c>
      <c r="K212" s="1">
        <v>98727.0</v>
      </c>
      <c r="L212" s="1">
        <v>96708.0</v>
      </c>
      <c r="M212" s="1">
        <v>86484.0</v>
      </c>
      <c r="N212" s="1">
        <v>747.0</v>
      </c>
      <c r="O212" s="1">
        <v>143.0495</v>
      </c>
      <c r="P212" s="2">
        <v>1.0079</v>
      </c>
      <c r="Q212" s="3">
        <v>0.0</v>
      </c>
    </row>
    <row r="213">
      <c r="A213" s="1">
        <v>153.0</v>
      </c>
      <c r="B213" s="1" t="s">
        <v>649</v>
      </c>
      <c r="C213" s="1" t="s">
        <v>650</v>
      </c>
      <c r="D213" s="1" t="s">
        <v>651</v>
      </c>
      <c r="E213" s="1" t="s">
        <v>42</v>
      </c>
      <c r="F213" s="1">
        <v>1531044.0</v>
      </c>
      <c r="G213" s="1">
        <v>1518147.0</v>
      </c>
      <c r="H213" s="1">
        <v>1460177.0</v>
      </c>
      <c r="I213" s="1">
        <v>1410296.0</v>
      </c>
      <c r="J213" s="1">
        <v>1332203.0</v>
      </c>
      <c r="K213" s="1">
        <v>1266518.0</v>
      </c>
      <c r="L213" s="1">
        <v>1127852.0</v>
      </c>
      <c r="M213" s="1">
        <v>988890.0</v>
      </c>
      <c r="N213" s="1">
        <v>5130.0</v>
      </c>
      <c r="O213" s="1">
        <v>298.4491</v>
      </c>
      <c r="P213" s="2">
        <v>1.0035</v>
      </c>
      <c r="Q213" s="3">
        <v>0.02</v>
      </c>
    </row>
    <row r="214">
      <c r="A214" s="1">
        <v>79.0</v>
      </c>
      <c r="B214" s="1" t="s">
        <v>652</v>
      </c>
      <c r="C214" s="1" t="s">
        <v>653</v>
      </c>
      <c r="D214" s="1" t="s">
        <v>654</v>
      </c>
      <c r="E214" s="1" t="s">
        <v>28</v>
      </c>
      <c r="F214" s="1">
        <v>1.2356117E7</v>
      </c>
      <c r="G214" s="1">
        <v>1.2161723E7</v>
      </c>
      <c r="H214" s="1">
        <v>1.1557779E7</v>
      </c>
      <c r="I214" s="1">
        <v>1.0895063E7</v>
      </c>
      <c r="J214" s="1">
        <v>9893316.0</v>
      </c>
      <c r="K214" s="1">
        <v>8440023.0</v>
      </c>
      <c r="L214" s="1">
        <v>6578156.0</v>
      </c>
      <c r="M214" s="1">
        <v>5047404.0</v>
      </c>
      <c r="N214" s="1">
        <v>163610.0</v>
      </c>
      <c r="O214" s="1">
        <v>75.5218</v>
      </c>
      <c r="P214" s="2">
        <v>1.0076</v>
      </c>
      <c r="Q214" s="3">
        <v>0.15</v>
      </c>
    </row>
    <row r="215">
      <c r="A215" s="1">
        <v>18.0</v>
      </c>
      <c r="B215" s="1" t="s">
        <v>655</v>
      </c>
      <c r="C215" s="1" t="s">
        <v>656</v>
      </c>
      <c r="D215" s="1" t="s">
        <v>657</v>
      </c>
      <c r="E215" s="1" t="s">
        <v>20</v>
      </c>
      <c r="F215" s="1">
        <v>8.5341241E7</v>
      </c>
      <c r="G215" s="1">
        <v>8.4135428E7</v>
      </c>
      <c r="H215" s="1">
        <v>7.9646178E7</v>
      </c>
      <c r="I215" s="1">
        <v>7.3195345E7</v>
      </c>
      <c r="J215" s="1">
        <v>6.4113547E7</v>
      </c>
      <c r="K215" s="1">
        <v>5.4324142E7</v>
      </c>
      <c r="L215" s="1">
        <v>4.4089069E7</v>
      </c>
      <c r="M215" s="1">
        <v>3.554099E7</v>
      </c>
      <c r="N215" s="1">
        <v>783562.0</v>
      </c>
      <c r="O215" s="1">
        <v>108.9145</v>
      </c>
      <c r="P215" s="2">
        <v>1.0067</v>
      </c>
      <c r="Q215" s="3">
        <v>1.07</v>
      </c>
    </row>
    <row r="216">
      <c r="A216" s="1">
        <v>111.0</v>
      </c>
      <c r="B216" s="1" t="s">
        <v>658</v>
      </c>
      <c r="C216" s="1" t="s">
        <v>659</v>
      </c>
      <c r="D216" s="1" t="s">
        <v>660</v>
      </c>
      <c r="E216" s="1" t="s">
        <v>20</v>
      </c>
      <c r="F216" s="1">
        <v>6430770.0</v>
      </c>
      <c r="G216" s="1">
        <v>6250438.0</v>
      </c>
      <c r="H216" s="1">
        <v>5766431.0</v>
      </c>
      <c r="I216" s="1">
        <v>5267970.0</v>
      </c>
      <c r="J216" s="1">
        <v>4569132.0</v>
      </c>
      <c r="K216" s="1">
        <v>3720278.0</v>
      </c>
      <c r="L216" s="1">
        <v>2862903.0</v>
      </c>
      <c r="M216" s="1">
        <v>2201432.0</v>
      </c>
      <c r="N216" s="1">
        <v>488100.0</v>
      </c>
      <c r="O216" s="1">
        <v>13.1751</v>
      </c>
      <c r="P216" s="2">
        <v>1.014</v>
      </c>
      <c r="Q216" s="3">
        <v>0.08</v>
      </c>
    </row>
    <row r="217">
      <c r="A217" s="1">
        <v>212.0</v>
      </c>
      <c r="B217" s="1" t="s">
        <v>661</v>
      </c>
      <c r="C217" s="1" t="s">
        <v>662</v>
      </c>
      <c r="D217" s="1" t="s">
        <v>663</v>
      </c>
      <c r="E217" s="1" t="s">
        <v>42</v>
      </c>
      <c r="F217" s="1">
        <v>45703.0</v>
      </c>
      <c r="G217" s="1">
        <v>44276.0</v>
      </c>
      <c r="H217" s="1">
        <v>36538.0</v>
      </c>
      <c r="I217" s="1">
        <v>29726.0</v>
      </c>
      <c r="J217" s="1">
        <v>18744.0</v>
      </c>
      <c r="K217" s="1">
        <v>11709.0</v>
      </c>
      <c r="L217" s="1">
        <v>7598.0</v>
      </c>
      <c r="M217" s="1">
        <v>5665.0</v>
      </c>
      <c r="N217" s="1">
        <v>948.0</v>
      </c>
      <c r="O217" s="1">
        <v>48.2099</v>
      </c>
      <c r="P217" s="2">
        <v>1.0131</v>
      </c>
      <c r="Q217" s="3">
        <v>0.0</v>
      </c>
    </row>
    <row r="218">
      <c r="A218" s="1">
        <v>227.0</v>
      </c>
      <c r="B218" s="1" t="s">
        <v>664</v>
      </c>
      <c r="C218" s="1" t="s">
        <v>665</v>
      </c>
      <c r="D218" s="1" t="s">
        <v>666</v>
      </c>
      <c r="E218" s="1" t="s">
        <v>32</v>
      </c>
      <c r="F218" s="1">
        <v>11312.0</v>
      </c>
      <c r="G218" s="1">
        <v>11069.0</v>
      </c>
      <c r="H218" s="1">
        <v>10877.0</v>
      </c>
      <c r="I218" s="1">
        <v>10550.0</v>
      </c>
      <c r="J218" s="1">
        <v>9638.0</v>
      </c>
      <c r="K218" s="1">
        <v>9182.0</v>
      </c>
      <c r="L218" s="1">
        <v>7731.0</v>
      </c>
      <c r="M218" s="1">
        <v>5814.0</v>
      </c>
      <c r="N218" s="1">
        <v>26.0</v>
      </c>
      <c r="O218" s="1">
        <v>435.0769</v>
      </c>
      <c r="P218" s="2">
        <v>1.0096</v>
      </c>
      <c r="Q218" s="3">
        <v>0.0</v>
      </c>
    </row>
    <row r="219">
      <c r="A219" s="1">
        <v>31.0</v>
      </c>
      <c r="B219" s="1" t="s">
        <v>667</v>
      </c>
      <c r="C219" s="1" t="s">
        <v>668</v>
      </c>
      <c r="D219" s="1" t="s">
        <v>669</v>
      </c>
      <c r="E219" s="1" t="s">
        <v>28</v>
      </c>
      <c r="F219" s="1">
        <v>4.7249585E7</v>
      </c>
      <c r="G219" s="1">
        <v>4.4404611E7</v>
      </c>
      <c r="H219" s="1">
        <v>3.7477356E7</v>
      </c>
      <c r="I219" s="1">
        <v>3.2341728E7</v>
      </c>
      <c r="J219" s="1">
        <v>2.4020697E7</v>
      </c>
      <c r="K219" s="1">
        <v>1.758663E7</v>
      </c>
      <c r="L219" s="1">
        <v>1.3284026E7</v>
      </c>
      <c r="M219" s="1">
        <v>1.0317212E7</v>
      </c>
      <c r="N219" s="1">
        <v>241550.0</v>
      </c>
      <c r="O219" s="1">
        <v>195.61</v>
      </c>
      <c r="P219" s="2">
        <v>1.0304</v>
      </c>
      <c r="Q219" s="3">
        <v>0.59</v>
      </c>
    </row>
    <row r="220">
      <c r="A220" s="1">
        <v>38.0</v>
      </c>
      <c r="B220" s="1" t="s">
        <v>670</v>
      </c>
      <c r="C220" s="1" t="s">
        <v>671</v>
      </c>
      <c r="D220" s="1" t="s">
        <v>672</v>
      </c>
      <c r="E220" s="1" t="s">
        <v>24</v>
      </c>
      <c r="F220" s="1">
        <v>3.9701739E7</v>
      </c>
      <c r="G220" s="1">
        <v>4.3909666E7</v>
      </c>
      <c r="H220" s="1">
        <v>4.4982564E7</v>
      </c>
      <c r="I220" s="1">
        <v>4.568302E7</v>
      </c>
      <c r="J220" s="1">
        <v>4.8879755E7</v>
      </c>
      <c r="K220" s="1">
        <v>5.1589817E7</v>
      </c>
      <c r="L220" s="1">
        <v>4.997392E7</v>
      </c>
      <c r="M220" s="1">
        <v>4.7279086E7</v>
      </c>
      <c r="N220" s="1">
        <v>603500.0</v>
      </c>
      <c r="O220" s="1">
        <v>65.7858</v>
      </c>
      <c r="P220" s="2">
        <v>0.912</v>
      </c>
      <c r="Q220" s="3">
        <v>0.5</v>
      </c>
    </row>
    <row r="221">
      <c r="A221" s="1">
        <v>97.0</v>
      </c>
      <c r="B221" s="1" t="s">
        <v>673</v>
      </c>
      <c r="C221" s="1" t="s">
        <v>674</v>
      </c>
      <c r="D221" s="1" t="s">
        <v>675</v>
      </c>
      <c r="E221" s="1" t="s">
        <v>20</v>
      </c>
      <c r="F221" s="1">
        <v>9441129.0</v>
      </c>
      <c r="G221" s="1">
        <v>9287289.0</v>
      </c>
      <c r="H221" s="1">
        <v>8916899.0</v>
      </c>
      <c r="I221" s="1">
        <v>8481771.0</v>
      </c>
      <c r="J221" s="1">
        <v>3275333.0</v>
      </c>
      <c r="K221" s="1">
        <v>1900151.0</v>
      </c>
      <c r="L221" s="1">
        <v>1014048.0</v>
      </c>
      <c r="M221" s="1">
        <v>298084.0</v>
      </c>
      <c r="N221" s="1">
        <v>83600.0</v>
      </c>
      <c r="O221" s="1">
        <v>112.9322</v>
      </c>
      <c r="P221" s="2">
        <v>1.0081</v>
      </c>
      <c r="Q221" s="3">
        <v>0.12</v>
      </c>
    </row>
    <row r="222">
      <c r="A222" s="1">
        <v>21.0</v>
      </c>
      <c r="B222" s="1" t="s">
        <v>676</v>
      </c>
      <c r="C222" s="1" t="s">
        <v>677</v>
      </c>
      <c r="D222" s="1" t="s">
        <v>678</v>
      </c>
      <c r="E222" s="1" t="s">
        <v>24</v>
      </c>
      <c r="F222" s="1">
        <v>6.7508936E7</v>
      </c>
      <c r="G222" s="1">
        <v>6.7059474E7</v>
      </c>
      <c r="H222" s="1">
        <v>6.5224364E7</v>
      </c>
      <c r="I222" s="1">
        <v>6.2760039E7</v>
      </c>
      <c r="J222" s="1">
        <v>5.8850043E7</v>
      </c>
      <c r="K222" s="1">
        <v>5.7210442E7</v>
      </c>
      <c r="L222" s="1">
        <v>5.6326328E7</v>
      </c>
      <c r="M222" s="1">
        <v>5.5650166E7</v>
      </c>
      <c r="N222" s="1">
        <v>242900.0</v>
      </c>
      <c r="O222" s="1">
        <v>277.9289</v>
      </c>
      <c r="P222" s="2">
        <v>1.0034</v>
      </c>
      <c r="Q222" s="3">
        <v>0.85</v>
      </c>
    </row>
    <row r="223">
      <c r="A223" s="1">
        <v>3.0</v>
      </c>
      <c r="B223" s="1" t="s">
        <v>679</v>
      </c>
      <c r="C223" s="1" t="s">
        <v>680</v>
      </c>
      <c r="D223" s="1" t="s">
        <v>681</v>
      </c>
      <c r="E223" s="1" t="s">
        <v>42</v>
      </c>
      <c r="F223" s="1">
        <v>3.38289857E8</v>
      </c>
      <c r="G223" s="1">
        <v>3.35942003E8</v>
      </c>
      <c r="H223" s="1">
        <v>3.24607776E8</v>
      </c>
      <c r="I223" s="1">
        <v>3.11182845E8</v>
      </c>
      <c r="J223" s="1">
        <v>2.82398554E8</v>
      </c>
      <c r="K223" s="1">
        <v>2.48083732E8</v>
      </c>
      <c r="L223" s="1">
        <v>2.23140018E8</v>
      </c>
      <c r="M223" s="1">
        <v>2.0032834E8</v>
      </c>
      <c r="N223" s="1">
        <v>9372610.0</v>
      </c>
      <c r="O223" s="1">
        <v>36.0935</v>
      </c>
      <c r="P223" s="2">
        <v>1.0038</v>
      </c>
      <c r="Q223" s="3">
        <v>4.24</v>
      </c>
    </row>
    <row r="224">
      <c r="A224" s="1">
        <v>200.0</v>
      </c>
      <c r="B224" s="1" t="s">
        <v>682</v>
      </c>
      <c r="C224" s="1" t="s">
        <v>683</v>
      </c>
      <c r="D224" s="1" t="s">
        <v>684</v>
      </c>
      <c r="E224" s="1" t="s">
        <v>42</v>
      </c>
      <c r="F224" s="1">
        <v>99465.0</v>
      </c>
      <c r="G224" s="1">
        <v>100442.0</v>
      </c>
      <c r="H224" s="1">
        <v>102803.0</v>
      </c>
      <c r="I224" s="1">
        <v>106142.0</v>
      </c>
      <c r="J224" s="1">
        <v>108185.0</v>
      </c>
      <c r="K224" s="1">
        <v>100685.0</v>
      </c>
      <c r="L224" s="1">
        <v>96640.0</v>
      </c>
      <c r="M224" s="1">
        <v>63446.0</v>
      </c>
      <c r="N224" s="1">
        <v>347.0</v>
      </c>
      <c r="O224" s="1">
        <v>286.6427</v>
      </c>
      <c r="P224" s="2">
        <v>0.9937</v>
      </c>
      <c r="Q224" s="3">
        <v>0.0</v>
      </c>
    </row>
    <row r="225">
      <c r="A225" s="1">
        <v>133.0</v>
      </c>
      <c r="B225" s="1" t="s">
        <v>685</v>
      </c>
      <c r="C225" s="1" t="s">
        <v>686</v>
      </c>
      <c r="D225" s="1" t="s">
        <v>687</v>
      </c>
      <c r="E225" s="1" t="s">
        <v>49</v>
      </c>
      <c r="F225" s="1">
        <v>3422794.0</v>
      </c>
      <c r="G225" s="1">
        <v>3429086.0</v>
      </c>
      <c r="H225" s="1">
        <v>3402818.0</v>
      </c>
      <c r="I225" s="1">
        <v>3352651.0</v>
      </c>
      <c r="J225" s="1">
        <v>3292224.0</v>
      </c>
      <c r="K225" s="1">
        <v>3117012.0</v>
      </c>
      <c r="L225" s="1">
        <v>2953750.0</v>
      </c>
      <c r="M225" s="1">
        <v>2790265.0</v>
      </c>
      <c r="N225" s="1">
        <v>181034.0</v>
      </c>
      <c r="O225" s="1">
        <v>18.9069</v>
      </c>
      <c r="P225" s="2">
        <v>0.999</v>
      </c>
      <c r="Q225" s="3">
        <v>0.04</v>
      </c>
    </row>
    <row r="226">
      <c r="A226" s="1">
        <v>43.0</v>
      </c>
      <c r="B226" s="1" t="s">
        <v>688</v>
      </c>
      <c r="C226" s="1" t="s">
        <v>689</v>
      </c>
      <c r="D226" s="1" t="s">
        <v>690</v>
      </c>
      <c r="E226" s="1" t="s">
        <v>20</v>
      </c>
      <c r="F226" s="1">
        <v>3.4627652E7</v>
      </c>
      <c r="G226" s="1">
        <v>3.3526656E7</v>
      </c>
      <c r="H226" s="1">
        <v>3.0949417E7</v>
      </c>
      <c r="I226" s="1">
        <v>2.8614227E7</v>
      </c>
      <c r="J226" s="1">
        <v>2.4925554E7</v>
      </c>
      <c r="K226" s="1">
        <v>2.05791E7</v>
      </c>
      <c r="L226" s="1">
        <v>1.5947129E7</v>
      </c>
      <c r="M226" s="1">
        <v>1.2011361E7</v>
      </c>
      <c r="N226" s="1">
        <v>447400.0</v>
      </c>
      <c r="O226" s="1">
        <v>77.3975</v>
      </c>
      <c r="P226" s="2">
        <v>1.016</v>
      </c>
      <c r="Q226" s="3">
        <v>0.43</v>
      </c>
    </row>
    <row r="227">
      <c r="A227" s="1">
        <v>181.0</v>
      </c>
      <c r="B227" s="1" t="s">
        <v>691</v>
      </c>
      <c r="C227" s="1" t="s">
        <v>692</v>
      </c>
      <c r="D227" s="1" t="s">
        <v>693</v>
      </c>
      <c r="E227" s="1" t="s">
        <v>32</v>
      </c>
      <c r="F227" s="1">
        <v>326740.0</v>
      </c>
      <c r="G227" s="1">
        <v>311685.0</v>
      </c>
      <c r="H227" s="1">
        <v>276438.0</v>
      </c>
      <c r="I227" s="1">
        <v>245453.0</v>
      </c>
      <c r="J227" s="1">
        <v>192074.0</v>
      </c>
      <c r="K227" s="1">
        <v>150882.0</v>
      </c>
      <c r="L227" s="1">
        <v>118156.0</v>
      </c>
      <c r="M227" s="1">
        <v>87019.0</v>
      </c>
      <c r="N227" s="1">
        <v>12189.0</v>
      </c>
      <c r="O227" s="1">
        <v>26.8061</v>
      </c>
      <c r="P227" s="2">
        <v>1.0238</v>
      </c>
      <c r="Q227" s="3">
        <v>0.0</v>
      </c>
    </row>
    <row r="228">
      <c r="A228" s="1">
        <v>234.0</v>
      </c>
      <c r="B228" s="1" t="s">
        <v>694</v>
      </c>
      <c r="C228" s="1" t="s">
        <v>695</v>
      </c>
      <c r="D228" s="1" t="s">
        <v>695</v>
      </c>
      <c r="E228" s="1" t="s">
        <v>24</v>
      </c>
      <c r="F228" s="1">
        <v>510.0</v>
      </c>
      <c r="G228" s="1">
        <v>520.0</v>
      </c>
      <c r="H228" s="1">
        <v>564.0</v>
      </c>
      <c r="I228" s="1">
        <v>596.0</v>
      </c>
      <c r="J228" s="1">
        <v>651.0</v>
      </c>
      <c r="K228" s="1">
        <v>700.0</v>
      </c>
      <c r="L228" s="1">
        <v>733.0</v>
      </c>
      <c r="M228" s="1">
        <v>752.0</v>
      </c>
      <c r="N228" s="1">
        <v>1.0</v>
      </c>
      <c r="O228" s="1">
        <v>510.0</v>
      </c>
      <c r="P228" s="2">
        <v>0.998</v>
      </c>
      <c r="Q228" s="3">
        <v>0.0</v>
      </c>
    </row>
    <row r="229">
      <c r="A229" s="1">
        <v>51.0</v>
      </c>
      <c r="B229" s="1" t="s">
        <v>696</v>
      </c>
      <c r="C229" s="1" t="s">
        <v>697</v>
      </c>
      <c r="D229" s="1" t="s">
        <v>698</v>
      </c>
      <c r="E229" s="1" t="s">
        <v>49</v>
      </c>
      <c r="F229" s="1">
        <v>2.8301696E7</v>
      </c>
      <c r="G229" s="1">
        <v>2.8490453E7</v>
      </c>
      <c r="H229" s="1">
        <v>3.0529716E7</v>
      </c>
      <c r="I229" s="1">
        <v>2.8715022E7</v>
      </c>
      <c r="J229" s="1">
        <v>2.4427729E7</v>
      </c>
      <c r="K229" s="1">
        <v>1.9750579E7</v>
      </c>
      <c r="L229" s="1">
        <v>1.5210443E7</v>
      </c>
      <c r="M229" s="1">
        <v>1.1355475E7</v>
      </c>
      <c r="N229" s="1">
        <v>916445.0</v>
      </c>
      <c r="O229" s="1">
        <v>30.882</v>
      </c>
      <c r="P229" s="2">
        <v>1.0036</v>
      </c>
      <c r="Q229" s="3">
        <v>0.35</v>
      </c>
    </row>
    <row r="230">
      <c r="A230" s="1">
        <v>16.0</v>
      </c>
      <c r="B230" s="1" t="s">
        <v>699</v>
      </c>
      <c r="C230" s="1" t="s">
        <v>700</v>
      </c>
      <c r="D230" s="1" t="s">
        <v>701</v>
      </c>
      <c r="E230" s="1" t="s">
        <v>20</v>
      </c>
      <c r="F230" s="1">
        <v>9.8186856E7</v>
      </c>
      <c r="G230" s="1">
        <v>9.6648685E7</v>
      </c>
      <c r="H230" s="1">
        <v>9.2191398E7</v>
      </c>
      <c r="I230" s="1">
        <v>8.7411012E7</v>
      </c>
      <c r="J230" s="1">
        <v>7.9001142E7</v>
      </c>
      <c r="K230" s="1">
        <v>6.6912613E7</v>
      </c>
      <c r="L230" s="1">
        <v>5.296827E7</v>
      </c>
      <c r="M230" s="1">
        <v>4.1928849E7</v>
      </c>
      <c r="N230" s="1">
        <v>331212.0</v>
      </c>
      <c r="O230" s="1">
        <v>296.4472</v>
      </c>
      <c r="P230" s="2">
        <v>1.0074</v>
      </c>
      <c r="Q230" s="3">
        <v>1.23</v>
      </c>
    </row>
    <row r="231">
      <c r="A231" s="1">
        <v>226.0</v>
      </c>
      <c r="B231" s="1" t="s">
        <v>702</v>
      </c>
      <c r="C231" s="1" t="s">
        <v>703</v>
      </c>
      <c r="D231" s="1" t="s">
        <v>704</v>
      </c>
      <c r="E231" s="1" t="s">
        <v>32</v>
      </c>
      <c r="F231" s="1">
        <v>11572.0</v>
      </c>
      <c r="G231" s="1">
        <v>11655.0</v>
      </c>
      <c r="H231" s="1">
        <v>12182.0</v>
      </c>
      <c r="I231" s="1">
        <v>13142.0</v>
      </c>
      <c r="J231" s="1">
        <v>14723.0</v>
      </c>
      <c r="K231" s="1">
        <v>13454.0</v>
      </c>
      <c r="L231" s="1">
        <v>11315.0</v>
      </c>
      <c r="M231" s="1">
        <v>9377.0</v>
      </c>
      <c r="N231" s="1">
        <v>142.0</v>
      </c>
      <c r="O231" s="1">
        <v>81.493</v>
      </c>
      <c r="P231" s="2">
        <v>0.9953</v>
      </c>
      <c r="Q231" s="3">
        <v>0.0</v>
      </c>
    </row>
    <row r="232">
      <c r="A232" s="1">
        <v>172.0</v>
      </c>
      <c r="B232" s="1" t="s">
        <v>705</v>
      </c>
      <c r="C232" s="1" t="s">
        <v>706</v>
      </c>
      <c r="D232" s="1" t="s">
        <v>707</v>
      </c>
      <c r="E232" s="1" t="s">
        <v>28</v>
      </c>
      <c r="F232" s="1">
        <v>575986.0</v>
      </c>
      <c r="G232" s="1">
        <v>556048.0</v>
      </c>
      <c r="H232" s="1">
        <v>491824.0</v>
      </c>
      <c r="I232" s="1">
        <v>413296.0</v>
      </c>
      <c r="J232" s="1">
        <v>270375.0</v>
      </c>
      <c r="K232" s="1">
        <v>178529.0</v>
      </c>
      <c r="L232" s="1">
        <v>116775.0</v>
      </c>
      <c r="M232" s="1">
        <v>76371.0</v>
      </c>
      <c r="N232" s="1">
        <v>266000.0</v>
      </c>
      <c r="O232" s="1">
        <v>2.1654</v>
      </c>
      <c r="P232" s="2">
        <v>1.0184</v>
      </c>
      <c r="Q232" s="3">
        <v>0.01</v>
      </c>
    </row>
    <row r="233">
      <c r="A233" s="1">
        <v>46.0</v>
      </c>
      <c r="B233" s="1" t="s">
        <v>708</v>
      </c>
      <c r="C233" s="1" t="s">
        <v>709</v>
      </c>
      <c r="D233" s="1" t="s">
        <v>710</v>
      </c>
      <c r="E233" s="1" t="s">
        <v>20</v>
      </c>
      <c r="F233" s="1">
        <v>3.3696614E7</v>
      </c>
      <c r="G233" s="1">
        <v>3.2284046E7</v>
      </c>
      <c r="H233" s="1">
        <v>2.8516545E7</v>
      </c>
      <c r="I233" s="1">
        <v>2.4743946E7</v>
      </c>
      <c r="J233" s="1">
        <v>1.86287E7</v>
      </c>
      <c r="K233" s="1">
        <v>1.3375121E7</v>
      </c>
      <c r="L233" s="1">
        <v>9204938.0</v>
      </c>
      <c r="M233" s="1">
        <v>6843607.0</v>
      </c>
      <c r="N233" s="1">
        <v>527968.0</v>
      </c>
      <c r="O233" s="1">
        <v>63.8232</v>
      </c>
      <c r="P233" s="2">
        <v>1.0217</v>
      </c>
      <c r="Q233" s="3">
        <v>0.42</v>
      </c>
    </row>
    <row r="234">
      <c r="A234" s="1">
        <v>63.0</v>
      </c>
      <c r="B234" s="1" t="s">
        <v>711</v>
      </c>
      <c r="C234" s="1" t="s">
        <v>712</v>
      </c>
      <c r="D234" s="1" t="s">
        <v>713</v>
      </c>
      <c r="E234" s="1" t="s">
        <v>28</v>
      </c>
      <c r="F234" s="1">
        <v>2.0017675E7</v>
      </c>
      <c r="G234" s="1">
        <v>1.8927715E7</v>
      </c>
      <c r="H234" s="1">
        <v>1.624823E7</v>
      </c>
      <c r="I234" s="1">
        <v>1.3792086E7</v>
      </c>
      <c r="J234" s="1">
        <v>9891136.0</v>
      </c>
      <c r="K234" s="1">
        <v>7686401.0</v>
      </c>
      <c r="L234" s="1">
        <v>5720438.0</v>
      </c>
      <c r="M234" s="1">
        <v>4281671.0</v>
      </c>
      <c r="N234" s="1">
        <v>752612.0</v>
      </c>
      <c r="O234" s="1">
        <v>26.5976</v>
      </c>
      <c r="P234" s="2">
        <v>1.028</v>
      </c>
      <c r="Q234" s="3">
        <v>0.25</v>
      </c>
    </row>
    <row r="235">
      <c r="A235" s="1">
        <v>74.0</v>
      </c>
      <c r="B235" s="1" t="s">
        <v>714</v>
      </c>
      <c r="C235" s="1" t="s">
        <v>715</v>
      </c>
      <c r="D235" s="1" t="s">
        <v>716</v>
      </c>
      <c r="E235" s="1" t="s">
        <v>28</v>
      </c>
      <c r="F235" s="1">
        <v>1.6320537E7</v>
      </c>
      <c r="G235" s="1">
        <v>1.5669666E7</v>
      </c>
      <c r="H235" s="1">
        <v>1.4154937E7</v>
      </c>
      <c r="I235" s="1">
        <v>1.2839771E7</v>
      </c>
      <c r="J235" s="1">
        <v>1.1834676E7</v>
      </c>
      <c r="K235" s="1">
        <v>1.0113893E7</v>
      </c>
      <c r="L235" s="1">
        <v>7049926.0</v>
      </c>
      <c r="M235" s="1">
        <v>5202918.0</v>
      </c>
      <c r="N235" s="1">
        <v>390757.0</v>
      </c>
      <c r="O235" s="1">
        <v>41.7665</v>
      </c>
      <c r="P235" s="2">
        <v>1.0204</v>
      </c>
      <c r="Q235" s="3">
        <v>0.2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9.13"/>
    <col customWidth="1" min="3" max="3" width="23.5"/>
    <col customWidth="1" min="4" max="4" width="16.25"/>
  </cols>
  <sheetData>
    <row r="1">
      <c r="A1" s="4" t="s">
        <v>717</v>
      </c>
      <c r="B1" s="4" t="s">
        <v>718</v>
      </c>
      <c r="C1" s="4" t="s">
        <v>719</v>
      </c>
      <c r="D1" s="5" t="s">
        <v>720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721</v>
      </c>
      <c r="B2" s="1" t="s">
        <v>147</v>
      </c>
      <c r="C2" s="1" t="s">
        <v>722</v>
      </c>
      <c r="D2" s="3">
        <v>1.34</v>
      </c>
    </row>
    <row r="3">
      <c r="A3" s="1" t="s">
        <v>723</v>
      </c>
      <c r="B3" s="1" t="s">
        <v>511</v>
      </c>
      <c r="C3" s="1" t="s">
        <v>724</v>
      </c>
      <c r="D3" s="3">
        <v>2.22</v>
      </c>
    </row>
    <row r="4">
      <c r="A4" s="1" t="s">
        <v>725</v>
      </c>
      <c r="B4" s="1" t="s">
        <v>227</v>
      </c>
      <c r="C4" s="1" t="s">
        <v>726</v>
      </c>
      <c r="D4" s="3">
        <v>2.02</v>
      </c>
    </row>
    <row r="5">
      <c r="A5" s="1" t="s">
        <v>727</v>
      </c>
      <c r="B5" s="1" t="s">
        <v>532</v>
      </c>
      <c r="C5" s="1" t="s">
        <v>728</v>
      </c>
      <c r="D5" s="3">
        <v>1.24</v>
      </c>
    </row>
    <row r="6">
      <c r="A6" s="1" t="s">
        <v>729</v>
      </c>
      <c r="B6" s="1" t="s">
        <v>514</v>
      </c>
      <c r="C6" s="1" t="s">
        <v>730</v>
      </c>
      <c r="D6" s="3">
        <v>1.1</v>
      </c>
    </row>
    <row r="7">
      <c r="A7" s="1" t="s">
        <v>731</v>
      </c>
      <c r="B7" s="1" t="s">
        <v>78</v>
      </c>
      <c r="C7" s="1" t="s">
        <v>732</v>
      </c>
      <c r="D7" s="3">
        <v>1.65</v>
      </c>
    </row>
    <row r="8">
      <c r="A8" s="1" t="s">
        <v>733</v>
      </c>
      <c r="B8" s="1" t="s">
        <v>300</v>
      </c>
      <c r="C8" s="1" t="s">
        <v>734</v>
      </c>
      <c r="D8" s="3">
        <v>1.34</v>
      </c>
    </row>
    <row r="9">
      <c r="A9" s="1" t="s">
        <v>735</v>
      </c>
      <c r="B9" s="1" t="s">
        <v>680</v>
      </c>
      <c r="C9" s="1" t="s">
        <v>736</v>
      </c>
      <c r="D9" s="3">
        <v>2.0</v>
      </c>
    </row>
    <row r="10">
      <c r="A10" s="1" t="s">
        <v>723</v>
      </c>
      <c r="B10" s="1" t="s">
        <v>511</v>
      </c>
      <c r="C10" s="1" t="s">
        <v>737</v>
      </c>
      <c r="D10" s="3">
        <v>0.97</v>
      </c>
    </row>
    <row r="11">
      <c r="A11" s="1" t="s">
        <v>738</v>
      </c>
      <c r="B11" s="1" t="s">
        <v>171</v>
      </c>
      <c r="C11" s="1" t="s">
        <v>739</v>
      </c>
      <c r="D11" s="3">
        <v>1.85</v>
      </c>
    </row>
    <row r="12">
      <c r="A12" s="1" t="s">
        <v>740</v>
      </c>
      <c r="B12" s="1" t="s">
        <v>508</v>
      </c>
      <c r="C12" s="1" t="s">
        <v>741</v>
      </c>
      <c r="D12" s="3">
        <v>1.16</v>
      </c>
    </row>
    <row r="13">
      <c r="A13" s="1" t="s">
        <v>733</v>
      </c>
      <c r="B13" s="1" t="s">
        <v>300</v>
      </c>
      <c r="C13" s="1" t="s">
        <v>742</v>
      </c>
      <c r="D13" s="3">
        <v>1.8</v>
      </c>
    </row>
    <row r="14">
      <c r="A14" s="1" t="s">
        <v>721</v>
      </c>
      <c r="B14" s="1" t="s">
        <v>147</v>
      </c>
      <c r="C14" s="1" t="s">
        <v>743</v>
      </c>
      <c r="D14" s="3">
        <v>1.52</v>
      </c>
    </row>
    <row r="15">
      <c r="A15" s="1" t="s">
        <v>733</v>
      </c>
      <c r="B15" s="1" t="s">
        <v>300</v>
      </c>
      <c r="C15" s="1" t="s">
        <v>744</v>
      </c>
      <c r="D15" s="3">
        <v>1.23</v>
      </c>
    </row>
    <row r="16">
      <c r="A16" s="1" t="s">
        <v>735</v>
      </c>
      <c r="B16" s="1" t="s">
        <v>680</v>
      </c>
      <c r="C16" s="1" t="s">
        <v>745</v>
      </c>
      <c r="D16" s="3">
        <v>1.1</v>
      </c>
    </row>
    <row r="17">
      <c r="A17" s="1" t="s">
        <v>746</v>
      </c>
      <c r="B17" s="1" t="s">
        <v>505</v>
      </c>
      <c r="C17" s="1" t="s">
        <v>747</v>
      </c>
      <c r="D17" s="3">
        <v>2.19</v>
      </c>
    </row>
    <row r="18">
      <c r="A18" s="1" t="s">
        <v>748</v>
      </c>
      <c r="B18" s="1" t="s">
        <v>129</v>
      </c>
      <c r="C18" s="1" t="s">
        <v>749</v>
      </c>
      <c r="D18" s="3">
        <v>1.73</v>
      </c>
    </row>
    <row r="19">
      <c r="A19" s="1" t="s">
        <v>735</v>
      </c>
      <c r="B19" s="1" t="s">
        <v>680</v>
      </c>
      <c r="C19" s="1" t="s">
        <v>750</v>
      </c>
      <c r="D19" s="3">
        <v>1.28</v>
      </c>
    </row>
    <row r="20">
      <c r="A20" s="1" t="s">
        <v>721</v>
      </c>
      <c r="B20" s="1" t="s">
        <v>147</v>
      </c>
      <c r="C20" s="1" t="s">
        <v>751</v>
      </c>
      <c r="D20" s="3">
        <v>1.05</v>
      </c>
    </row>
    <row r="21">
      <c r="A21" s="1" t="s">
        <v>733</v>
      </c>
      <c r="B21" s="1" t="s">
        <v>300</v>
      </c>
      <c r="C21" s="1" t="s">
        <v>752</v>
      </c>
      <c r="D21" s="3">
        <v>2.07</v>
      </c>
    </row>
    <row r="22">
      <c r="A22" s="1" t="s">
        <v>721</v>
      </c>
      <c r="B22" s="1" t="s">
        <v>147</v>
      </c>
      <c r="C22" s="1" t="s">
        <v>753</v>
      </c>
      <c r="D22" s="3">
        <v>1.99</v>
      </c>
    </row>
    <row r="23">
      <c r="A23" s="1" t="s">
        <v>754</v>
      </c>
      <c r="B23" s="1" t="s">
        <v>47</v>
      </c>
      <c r="C23" s="1" t="s">
        <v>755</v>
      </c>
      <c r="D23" s="3">
        <v>1.82</v>
      </c>
    </row>
    <row r="24">
      <c r="A24" s="1" t="s">
        <v>756</v>
      </c>
      <c r="B24" s="1" t="s">
        <v>605</v>
      </c>
      <c r="C24" s="1" t="s">
        <v>757</v>
      </c>
      <c r="D24" s="3">
        <v>1.68</v>
      </c>
    </row>
    <row r="25">
      <c r="A25" s="1" t="s">
        <v>727</v>
      </c>
      <c r="B25" s="1" t="s">
        <v>532</v>
      </c>
      <c r="C25" s="1" t="s">
        <v>758</v>
      </c>
      <c r="D25" s="3">
        <v>1.95</v>
      </c>
    </row>
    <row r="26">
      <c r="A26" s="1" t="s">
        <v>727</v>
      </c>
      <c r="B26" s="1" t="s">
        <v>532</v>
      </c>
      <c r="C26" s="1" t="s">
        <v>759</v>
      </c>
      <c r="D26" s="3">
        <v>1.83</v>
      </c>
    </row>
    <row r="27">
      <c r="A27" s="1" t="s">
        <v>729</v>
      </c>
      <c r="B27" s="1" t="s">
        <v>514</v>
      </c>
      <c r="C27" s="1" t="s">
        <v>760</v>
      </c>
      <c r="D27" s="3">
        <v>1.42</v>
      </c>
    </row>
    <row r="28">
      <c r="A28" s="1" t="s">
        <v>727</v>
      </c>
      <c r="B28" s="1" t="s">
        <v>532</v>
      </c>
      <c r="C28" s="1" t="s">
        <v>761</v>
      </c>
      <c r="D28" s="3">
        <v>1.58</v>
      </c>
    </row>
    <row r="29">
      <c r="A29" s="1" t="s">
        <v>721</v>
      </c>
      <c r="B29" s="1" t="s">
        <v>147</v>
      </c>
      <c r="C29" s="1" t="s">
        <v>762</v>
      </c>
      <c r="D29" s="3">
        <v>1.23</v>
      </c>
    </row>
    <row r="30">
      <c r="A30" s="1" t="s">
        <v>763</v>
      </c>
      <c r="B30" s="1" t="s">
        <v>327</v>
      </c>
      <c r="C30" s="1" t="s">
        <v>764</v>
      </c>
      <c r="D30" s="3">
        <v>2.23</v>
      </c>
    </row>
    <row r="31">
      <c r="A31" s="1" t="s">
        <v>765</v>
      </c>
      <c r="B31" s="1" t="s">
        <v>174</v>
      </c>
      <c r="C31" s="1" t="s">
        <v>766</v>
      </c>
      <c r="D31" s="3">
        <v>1.56</v>
      </c>
    </row>
    <row r="32">
      <c r="A32" s="1" t="s">
        <v>767</v>
      </c>
      <c r="B32" s="1" t="s">
        <v>596</v>
      </c>
      <c r="C32" s="1" t="s">
        <v>768</v>
      </c>
      <c r="D32" s="3">
        <v>1.17</v>
      </c>
    </row>
    <row r="33">
      <c r="A33" s="1" t="s">
        <v>769</v>
      </c>
      <c r="B33" s="1" t="s">
        <v>105</v>
      </c>
      <c r="C33" s="1" t="s">
        <v>770</v>
      </c>
      <c r="D33" s="3">
        <v>1.26</v>
      </c>
    </row>
    <row r="34">
      <c r="A34" s="1" t="s">
        <v>746</v>
      </c>
      <c r="B34" s="1" t="s">
        <v>505</v>
      </c>
      <c r="C34" s="1" t="s">
        <v>771</v>
      </c>
      <c r="D34" s="3">
        <v>1.05</v>
      </c>
    </row>
    <row r="35">
      <c r="A35" s="1" t="s">
        <v>721</v>
      </c>
      <c r="B35" s="1" t="s">
        <v>147</v>
      </c>
      <c r="C35" s="1" t="s">
        <v>772</v>
      </c>
      <c r="D35" s="3">
        <v>2.06</v>
      </c>
    </row>
    <row r="36">
      <c r="A36" s="1" t="s">
        <v>721</v>
      </c>
      <c r="B36" s="1" t="s">
        <v>147</v>
      </c>
      <c r="C36" s="1" t="s">
        <v>773</v>
      </c>
      <c r="D36" s="3">
        <v>1.94</v>
      </c>
    </row>
    <row r="37">
      <c r="A37" s="1" t="s">
        <v>774</v>
      </c>
      <c r="B37" s="1" t="s">
        <v>185</v>
      </c>
      <c r="C37" s="1" t="s">
        <v>775</v>
      </c>
      <c r="D37" s="3">
        <v>1.75</v>
      </c>
    </row>
    <row r="38">
      <c r="A38" s="1" t="s">
        <v>733</v>
      </c>
      <c r="B38" s="1" t="s">
        <v>300</v>
      </c>
      <c r="C38" s="1" t="s">
        <v>776</v>
      </c>
      <c r="D38" s="3">
        <v>2.25</v>
      </c>
    </row>
    <row r="39">
      <c r="A39" s="1" t="s">
        <v>777</v>
      </c>
      <c r="B39" s="1" t="s">
        <v>617</v>
      </c>
      <c r="C39" s="1" t="s">
        <v>778</v>
      </c>
      <c r="D39" s="3">
        <v>0.97</v>
      </c>
    </row>
    <row r="40">
      <c r="A40" s="1" t="s">
        <v>779</v>
      </c>
      <c r="B40" s="1" t="s">
        <v>700</v>
      </c>
      <c r="C40" s="1" t="s">
        <v>780</v>
      </c>
      <c r="D40" s="3">
        <v>1.51</v>
      </c>
    </row>
    <row r="41">
      <c r="A41" s="1" t="s">
        <v>733</v>
      </c>
      <c r="B41" s="1" t="s">
        <v>300</v>
      </c>
      <c r="C41" s="1" t="s">
        <v>781</v>
      </c>
      <c r="D41" s="3">
        <v>1.03</v>
      </c>
    </row>
    <row r="42">
      <c r="A42" s="1" t="s">
        <v>782</v>
      </c>
      <c r="B42" s="1" t="s">
        <v>413</v>
      </c>
      <c r="C42" s="1" t="s">
        <v>783</v>
      </c>
      <c r="D42" s="3">
        <v>1.22</v>
      </c>
    </row>
    <row r="43">
      <c r="A43" s="1" t="s">
        <v>729</v>
      </c>
      <c r="B43" s="1" t="s">
        <v>514</v>
      </c>
      <c r="C43" s="1" t="s">
        <v>784</v>
      </c>
      <c r="D43" s="3">
        <v>1.48</v>
      </c>
    </row>
    <row r="44">
      <c r="A44" s="1" t="s">
        <v>729</v>
      </c>
      <c r="B44" s="1" t="s">
        <v>514</v>
      </c>
      <c r="C44" s="1" t="s">
        <v>785</v>
      </c>
      <c r="D44" s="3">
        <v>1.33</v>
      </c>
    </row>
    <row r="45">
      <c r="A45" s="1" t="s">
        <v>721</v>
      </c>
      <c r="B45" s="1" t="s">
        <v>147</v>
      </c>
      <c r="C45" s="1" t="s">
        <v>786</v>
      </c>
      <c r="D45" s="3">
        <v>1.76</v>
      </c>
    </row>
    <row r="46">
      <c r="A46" s="1" t="s">
        <v>727</v>
      </c>
      <c r="B46" s="1" t="s">
        <v>532</v>
      </c>
      <c r="C46" s="1" t="s">
        <v>787</v>
      </c>
      <c r="D46" s="3">
        <v>1.78</v>
      </c>
    </row>
    <row r="47">
      <c r="A47" s="1" t="s">
        <v>748</v>
      </c>
      <c r="B47" s="1" t="s">
        <v>129</v>
      </c>
      <c r="C47" s="1" t="s">
        <v>788</v>
      </c>
      <c r="D47" s="3">
        <v>1.25</v>
      </c>
    </row>
    <row r="48">
      <c r="A48" s="1" t="s">
        <v>721</v>
      </c>
      <c r="B48" s="1" t="s">
        <v>147</v>
      </c>
      <c r="C48" s="1" t="s">
        <v>789</v>
      </c>
      <c r="D48" s="3">
        <v>1.7</v>
      </c>
    </row>
    <row r="49">
      <c r="A49" s="1" t="s">
        <v>735</v>
      </c>
      <c r="B49" s="1" t="s">
        <v>680</v>
      </c>
      <c r="C49" s="1" t="s">
        <v>790</v>
      </c>
      <c r="D49" s="3">
        <v>2.21</v>
      </c>
    </row>
    <row r="50">
      <c r="A50" s="1" t="s">
        <v>791</v>
      </c>
      <c r="B50" s="1" t="s">
        <v>253</v>
      </c>
      <c r="C50" s="1" t="s">
        <v>792</v>
      </c>
      <c r="D50" s="3">
        <v>1.16</v>
      </c>
    </row>
    <row r="51">
      <c r="A51" s="1" t="s">
        <v>793</v>
      </c>
      <c r="B51" s="1" t="s">
        <v>114</v>
      </c>
      <c r="C51" s="1" t="s">
        <v>794</v>
      </c>
      <c r="D51" s="3">
        <v>1.86</v>
      </c>
    </row>
    <row r="52">
      <c r="A52" s="1" t="s">
        <v>795</v>
      </c>
      <c r="B52" s="1" t="s">
        <v>599</v>
      </c>
      <c r="C52" s="1" t="s">
        <v>796</v>
      </c>
      <c r="D52" s="3">
        <v>0.85</v>
      </c>
    </row>
    <row r="53">
      <c r="A53" s="1" t="s">
        <v>725</v>
      </c>
      <c r="B53" s="1" t="s">
        <v>227</v>
      </c>
      <c r="C53" s="1" t="s">
        <v>797</v>
      </c>
      <c r="D53" s="3">
        <v>2.11</v>
      </c>
    </row>
    <row r="54">
      <c r="A54" s="1" t="s">
        <v>798</v>
      </c>
      <c r="B54" s="1" t="s">
        <v>224</v>
      </c>
      <c r="C54" s="1" t="s">
        <v>799</v>
      </c>
      <c r="D54" s="3">
        <v>2.2</v>
      </c>
    </row>
    <row r="55">
      <c r="A55" s="1" t="s">
        <v>800</v>
      </c>
      <c r="B55" s="1" t="s">
        <v>433</v>
      </c>
      <c r="C55" s="1" t="s">
        <v>801</v>
      </c>
      <c r="D55" s="3">
        <v>1.45</v>
      </c>
    </row>
    <row r="56">
      <c r="A56" s="1" t="s">
        <v>765</v>
      </c>
      <c r="B56" s="1" t="s">
        <v>174</v>
      </c>
      <c r="C56" s="1" t="s">
        <v>802</v>
      </c>
      <c r="D56" s="3">
        <v>1.71</v>
      </c>
    </row>
    <row r="57">
      <c r="A57" s="1" t="s">
        <v>721</v>
      </c>
      <c r="B57" s="1" t="s">
        <v>147</v>
      </c>
      <c r="C57" s="1" t="s">
        <v>803</v>
      </c>
      <c r="D57" s="3">
        <v>2.2</v>
      </c>
    </row>
    <row r="58">
      <c r="A58" s="1" t="s">
        <v>804</v>
      </c>
      <c r="B58" s="1" t="s">
        <v>659</v>
      </c>
      <c r="C58" s="1" t="s">
        <v>805</v>
      </c>
      <c r="D58" s="3">
        <v>1.78</v>
      </c>
    </row>
    <row r="59">
      <c r="A59" s="1" t="s">
        <v>806</v>
      </c>
      <c r="B59" s="1" t="s">
        <v>635</v>
      </c>
      <c r="C59" s="1" t="s">
        <v>807</v>
      </c>
      <c r="D59" s="3">
        <v>1.95</v>
      </c>
    </row>
    <row r="60">
      <c r="A60" s="1" t="s">
        <v>721</v>
      </c>
      <c r="B60" s="1" t="s">
        <v>147</v>
      </c>
      <c r="C60" s="1" t="s">
        <v>808</v>
      </c>
      <c r="D60" s="3">
        <v>1.59</v>
      </c>
    </row>
    <row r="61">
      <c r="A61" s="1" t="s">
        <v>721</v>
      </c>
      <c r="B61" s="1" t="s">
        <v>147</v>
      </c>
      <c r="C61" s="1" t="s">
        <v>809</v>
      </c>
      <c r="D61" s="3">
        <v>1.05</v>
      </c>
    </row>
    <row r="62">
      <c r="A62" s="1" t="s">
        <v>733</v>
      </c>
      <c r="B62" s="1" t="s">
        <v>300</v>
      </c>
      <c r="C62" s="1" t="s">
        <v>810</v>
      </c>
      <c r="D62" s="3">
        <v>0.87</v>
      </c>
    </row>
    <row r="63">
      <c r="A63" s="1" t="s">
        <v>777</v>
      </c>
      <c r="B63" s="1" t="s">
        <v>617</v>
      </c>
      <c r="C63" s="1" t="s">
        <v>811</v>
      </c>
      <c r="D63" s="3">
        <v>2.22</v>
      </c>
    </row>
    <row r="64">
      <c r="A64" s="1" t="s">
        <v>767</v>
      </c>
      <c r="B64" s="1" t="s">
        <v>596</v>
      </c>
      <c r="C64" s="1" t="s">
        <v>812</v>
      </c>
      <c r="D64" s="3">
        <v>1.5</v>
      </c>
    </row>
    <row r="65">
      <c r="A65" s="1" t="s">
        <v>721</v>
      </c>
      <c r="B65" s="1" t="s">
        <v>147</v>
      </c>
      <c r="C65" s="1" t="s">
        <v>813</v>
      </c>
      <c r="D65" s="3">
        <v>1.43</v>
      </c>
    </row>
    <row r="66">
      <c r="A66" s="1" t="s">
        <v>754</v>
      </c>
      <c r="B66" s="1" t="s">
        <v>47</v>
      </c>
      <c r="C66" s="1" t="s">
        <v>814</v>
      </c>
      <c r="D66" s="3">
        <v>1.89</v>
      </c>
    </row>
    <row r="67">
      <c r="A67" s="1" t="s">
        <v>815</v>
      </c>
      <c r="B67" s="1" t="s">
        <v>715</v>
      </c>
      <c r="C67" s="1" t="s">
        <v>816</v>
      </c>
      <c r="D67" s="3">
        <v>1.55</v>
      </c>
    </row>
    <row r="68">
      <c r="A68" s="1" t="s">
        <v>733</v>
      </c>
      <c r="B68" s="1" t="s">
        <v>300</v>
      </c>
      <c r="C68" s="1" t="s">
        <v>817</v>
      </c>
      <c r="D68" s="3">
        <v>2.02</v>
      </c>
    </row>
    <row r="69">
      <c r="A69" s="1" t="s">
        <v>725</v>
      </c>
      <c r="B69" s="1" t="s">
        <v>227</v>
      </c>
      <c r="C69" s="1" t="s">
        <v>818</v>
      </c>
      <c r="D69" s="3">
        <v>1.55</v>
      </c>
    </row>
    <row r="70">
      <c r="A70" s="1" t="s">
        <v>733</v>
      </c>
      <c r="B70" s="1" t="s">
        <v>300</v>
      </c>
      <c r="C70" s="1" t="s">
        <v>819</v>
      </c>
      <c r="D70" s="3">
        <v>2.09</v>
      </c>
    </row>
    <row r="71">
      <c r="A71" s="1" t="s">
        <v>721</v>
      </c>
      <c r="B71" s="1" t="s">
        <v>147</v>
      </c>
      <c r="C71" s="1" t="s">
        <v>820</v>
      </c>
      <c r="D71" s="3">
        <v>2.04</v>
      </c>
    </row>
    <row r="72">
      <c r="A72" s="1" t="s">
        <v>777</v>
      </c>
      <c r="B72" s="1" t="s">
        <v>617</v>
      </c>
      <c r="C72" s="1" t="s">
        <v>821</v>
      </c>
      <c r="D72" s="3">
        <v>1.81</v>
      </c>
    </row>
    <row r="73">
      <c r="A73" s="1" t="s">
        <v>729</v>
      </c>
      <c r="B73" s="1" t="s">
        <v>514</v>
      </c>
      <c r="C73" s="1" t="s">
        <v>822</v>
      </c>
      <c r="D73" s="3">
        <v>1.92</v>
      </c>
    </row>
    <row r="74">
      <c r="A74" s="1" t="s">
        <v>725</v>
      </c>
      <c r="B74" s="1" t="s">
        <v>227</v>
      </c>
      <c r="C74" s="1" t="s">
        <v>823</v>
      </c>
      <c r="D74" s="3">
        <v>1.26</v>
      </c>
    </row>
    <row r="75">
      <c r="A75" s="1" t="s">
        <v>746</v>
      </c>
      <c r="B75" s="1" t="s">
        <v>505</v>
      </c>
      <c r="C75" s="1" t="s">
        <v>824</v>
      </c>
      <c r="D75" s="3">
        <v>1.51</v>
      </c>
    </row>
    <row r="76">
      <c r="A76" s="1" t="s">
        <v>727</v>
      </c>
      <c r="B76" s="1" t="s">
        <v>532</v>
      </c>
      <c r="C76" s="1" t="s">
        <v>825</v>
      </c>
      <c r="D76" s="3">
        <v>2.16</v>
      </c>
    </row>
    <row r="77">
      <c r="A77" s="1" t="s">
        <v>729</v>
      </c>
      <c r="B77" s="1" t="s">
        <v>514</v>
      </c>
      <c r="C77" s="1" t="s">
        <v>826</v>
      </c>
      <c r="D77" s="3">
        <v>0.91</v>
      </c>
    </row>
    <row r="78">
      <c r="A78" s="1" t="s">
        <v>827</v>
      </c>
      <c r="B78" s="1" t="s">
        <v>286</v>
      </c>
      <c r="C78" s="1" t="s">
        <v>828</v>
      </c>
      <c r="D78" s="3">
        <v>1.76</v>
      </c>
    </row>
    <row r="79">
      <c r="A79" s="1" t="s">
        <v>733</v>
      </c>
      <c r="B79" s="1" t="s">
        <v>300</v>
      </c>
      <c r="C79" s="1" t="s">
        <v>829</v>
      </c>
      <c r="D79" s="3">
        <v>1.57</v>
      </c>
    </row>
    <row r="80">
      <c r="A80" s="1" t="s">
        <v>723</v>
      </c>
      <c r="B80" s="1" t="s">
        <v>511</v>
      </c>
      <c r="C80" s="1" t="s">
        <v>830</v>
      </c>
      <c r="D80" s="3">
        <v>1.43</v>
      </c>
    </row>
    <row r="81">
      <c r="A81" s="1" t="s">
        <v>831</v>
      </c>
      <c r="B81" s="1" t="s">
        <v>623</v>
      </c>
      <c r="C81" s="1" t="s">
        <v>832</v>
      </c>
      <c r="D81" s="3">
        <v>1.31</v>
      </c>
    </row>
    <row r="82">
      <c r="A82" s="1" t="s">
        <v>833</v>
      </c>
      <c r="B82" s="1" t="s">
        <v>280</v>
      </c>
      <c r="C82" s="1" t="s">
        <v>834</v>
      </c>
      <c r="D82" s="3">
        <v>1.14</v>
      </c>
    </row>
    <row r="83">
      <c r="A83" s="1" t="s">
        <v>793</v>
      </c>
      <c r="B83" s="1" t="s">
        <v>114</v>
      </c>
      <c r="C83" s="1" t="s">
        <v>835</v>
      </c>
      <c r="D83" s="3">
        <v>1.92</v>
      </c>
    </row>
    <row r="84">
      <c r="A84" s="1" t="s">
        <v>836</v>
      </c>
      <c r="B84" s="1" t="s">
        <v>570</v>
      </c>
      <c r="C84" s="1" t="s">
        <v>837</v>
      </c>
      <c r="D84" s="3">
        <v>1.58</v>
      </c>
    </row>
    <row r="85">
      <c r="A85" s="1" t="s">
        <v>729</v>
      </c>
      <c r="B85" s="1" t="s">
        <v>514</v>
      </c>
      <c r="C85" s="1" t="s">
        <v>838</v>
      </c>
      <c r="D85" s="3">
        <v>2.14</v>
      </c>
    </row>
    <row r="86">
      <c r="A86" s="1" t="s">
        <v>746</v>
      </c>
      <c r="B86" s="1" t="s">
        <v>505</v>
      </c>
      <c r="C86" s="1" t="s">
        <v>839</v>
      </c>
      <c r="D86" s="3">
        <v>0.86</v>
      </c>
    </row>
    <row r="87">
      <c r="A87" s="1" t="s">
        <v>721</v>
      </c>
      <c r="B87" s="1" t="s">
        <v>147</v>
      </c>
      <c r="C87" s="1" t="s">
        <v>840</v>
      </c>
      <c r="D87" s="3">
        <v>1.54</v>
      </c>
    </row>
    <row r="88">
      <c r="A88" s="1" t="s">
        <v>841</v>
      </c>
      <c r="B88" s="1" t="s">
        <v>87</v>
      </c>
      <c r="C88" s="1" t="s">
        <v>842</v>
      </c>
      <c r="D88" s="3">
        <v>1.89</v>
      </c>
    </row>
    <row r="89">
      <c r="A89" s="1" t="s">
        <v>769</v>
      </c>
      <c r="B89" s="1" t="s">
        <v>105</v>
      </c>
      <c r="C89" s="1" t="s">
        <v>843</v>
      </c>
      <c r="D89" s="3">
        <v>2.12</v>
      </c>
    </row>
    <row r="90">
      <c r="A90" s="1" t="s">
        <v>721</v>
      </c>
      <c r="B90" s="1" t="s">
        <v>147</v>
      </c>
      <c r="C90" s="1" t="s">
        <v>844</v>
      </c>
      <c r="D90" s="3">
        <v>1.48</v>
      </c>
    </row>
    <row r="91">
      <c r="A91" s="1" t="s">
        <v>740</v>
      </c>
      <c r="B91" s="1" t="s">
        <v>508</v>
      </c>
      <c r="C91" s="1" t="s">
        <v>845</v>
      </c>
      <c r="D91" s="3">
        <v>1.21</v>
      </c>
    </row>
    <row r="92">
      <c r="A92" s="1" t="s">
        <v>721</v>
      </c>
      <c r="B92" s="1" t="s">
        <v>147</v>
      </c>
      <c r="C92" s="1" t="s">
        <v>846</v>
      </c>
      <c r="D92" s="3">
        <v>2.17</v>
      </c>
    </row>
    <row r="93">
      <c r="A93" s="1" t="s">
        <v>727</v>
      </c>
      <c r="B93" s="1" t="s">
        <v>532</v>
      </c>
      <c r="C93" s="1" t="s">
        <v>847</v>
      </c>
      <c r="D93" s="3">
        <v>2.0</v>
      </c>
    </row>
    <row r="94">
      <c r="A94" s="1" t="s">
        <v>729</v>
      </c>
      <c r="B94" s="1" t="s">
        <v>514</v>
      </c>
      <c r="C94" s="1" t="s">
        <v>848</v>
      </c>
      <c r="D94" s="3">
        <v>1.09</v>
      </c>
    </row>
    <row r="95">
      <c r="A95" s="1" t="s">
        <v>849</v>
      </c>
      <c r="B95" s="1" t="s">
        <v>611</v>
      </c>
      <c r="C95" s="1" t="s">
        <v>850</v>
      </c>
      <c r="D95" s="3">
        <v>1.3</v>
      </c>
    </row>
    <row r="96">
      <c r="A96" s="1" t="s">
        <v>725</v>
      </c>
      <c r="B96" s="1" t="s">
        <v>227</v>
      </c>
      <c r="C96" s="1" t="s">
        <v>851</v>
      </c>
      <c r="D96" s="3">
        <v>2.13</v>
      </c>
    </row>
    <row r="97">
      <c r="A97" s="1" t="s">
        <v>721</v>
      </c>
      <c r="B97" s="1" t="s">
        <v>147</v>
      </c>
      <c r="C97" s="1" t="s">
        <v>852</v>
      </c>
      <c r="D97" s="3">
        <v>1.07</v>
      </c>
    </row>
    <row r="98">
      <c r="A98" s="1" t="s">
        <v>733</v>
      </c>
      <c r="B98" s="1" t="s">
        <v>300</v>
      </c>
      <c r="C98" s="1" t="s">
        <v>853</v>
      </c>
      <c r="D98" s="3">
        <v>2.17</v>
      </c>
    </row>
    <row r="99">
      <c r="A99" s="1" t="s">
        <v>721</v>
      </c>
      <c r="B99" s="1" t="s">
        <v>147</v>
      </c>
      <c r="C99" s="1" t="s">
        <v>854</v>
      </c>
      <c r="D99" s="3">
        <v>1.13</v>
      </c>
    </row>
    <row r="100">
      <c r="A100" s="1" t="s">
        <v>729</v>
      </c>
      <c r="B100" s="1" t="s">
        <v>514</v>
      </c>
      <c r="C100" s="1" t="s">
        <v>855</v>
      </c>
      <c r="D100" s="3">
        <v>0.86</v>
      </c>
    </row>
    <row r="101">
      <c r="A101" s="1" t="s">
        <v>733</v>
      </c>
      <c r="B101" s="1" t="s">
        <v>300</v>
      </c>
      <c r="C101" s="1" t="s">
        <v>856</v>
      </c>
      <c r="D101" s="3">
        <v>2.09</v>
      </c>
    </row>
    <row r="102">
      <c r="A102" s="1" t="s">
        <v>725</v>
      </c>
      <c r="B102" s="1" t="s">
        <v>227</v>
      </c>
      <c r="C102" s="1" t="s">
        <v>852</v>
      </c>
      <c r="D102" s="3">
        <v>1.04</v>
      </c>
    </row>
    <row r="103">
      <c r="A103" s="1" t="s">
        <v>721</v>
      </c>
      <c r="B103" s="1" t="s">
        <v>147</v>
      </c>
      <c r="C103" s="1" t="s">
        <v>857</v>
      </c>
      <c r="D103" s="3">
        <v>1.27</v>
      </c>
    </row>
    <row r="104">
      <c r="A104" s="1" t="s">
        <v>721</v>
      </c>
      <c r="B104" s="1" t="s">
        <v>147</v>
      </c>
      <c r="C104" s="1" t="s">
        <v>858</v>
      </c>
      <c r="D104" s="3">
        <v>1.93</v>
      </c>
    </row>
    <row r="105">
      <c r="A105" s="1" t="s">
        <v>733</v>
      </c>
      <c r="B105" s="1" t="s">
        <v>300</v>
      </c>
      <c r="C105" s="1" t="s">
        <v>859</v>
      </c>
      <c r="D105" s="3">
        <v>1.93</v>
      </c>
    </row>
    <row r="106">
      <c r="A106" s="1" t="s">
        <v>782</v>
      </c>
      <c r="B106" s="1" t="s">
        <v>413</v>
      </c>
      <c r="C106" s="1" t="s">
        <v>860</v>
      </c>
      <c r="D106" s="3">
        <v>1.27</v>
      </c>
    </row>
    <row r="107">
      <c r="A107" s="1" t="s">
        <v>779</v>
      </c>
      <c r="B107" s="1" t="s">
        <v>700</v>
      </c>
      <c r="C107" s="1" t="s">
        <v>861</v>
      </c>
      <c r="D107" s="3">
        <v>1.78</v>
      </c>
    </row>
    <row r="108">
      <c r="A108" s="1" t="s">
        <v>765</v>
      </c>
      <c r="B108" s="1" t="s">
        <v>174</v>
      </c>
      <c r="C108" s="1" t="s">
        <v>862</v>
      </c>
      <c r="D108" s="3">
        <v>1.13</v>
      </c>
    </row>
    <row r="109">
      <c r="A109" s="1" t="s">
        <v>863</v>
      </c>
      <c r="B109" s="1" t="s">
        <v>162</v>
      </c>
      <c r="C109" s="1" t="s">
        <v>864</v>
      </c>
      <c r="D109" s="3">
        <v>1.2</v>
      </c>
    </row>
    <row r="110">
      <c r="A110" s="1" t="s">
        <v>865</v>
      </c>
      <c r="B110" s="1" t="s">
        <v>436</v>
      </c>
      <c r="C110" s="1" t="s">
        <v>866</v>
      </c>
      <c r="D110" s="3">
        <v>2.01</v>
      </c>
    </row>
    <row r="111">
      <c r="A111" s="1" t="s">
        <v>793</v>
      </c>
      <c r="B111" s="1" t="s">
        <v>114</v>
      </c>
      <c r="C111" s="1" t="s">
        <v>867</v>
      </c>
      <c r="D111" s="3">
        <v>1.91</v>
      </c>
    </row>
    <row r="112">
      <c r="A112" s="1" t="s">
        <v>729</v>
      </c>
      <c r="B112" s="1" t="s">
        <v>514</v>
      </c>
      <c r="C112" s="1" t="s">
        <v>868</v>
      </c>
      <c r="D112" s="3">
        <v>2.14</v>
      </c>
    </row>
    <row r="113">
      <c r="A113" s="1" t="s">
        <v>721</v>
      </c>
      <c r="B113" s="1" t="s">
        <v>147</v>
      </c>
      <c r="C113" s="1" t="s">
        <v>869</v>
      </c>
      <c r="D113" s="3">
        <v>1.88</v>
      </c>
    </row>
    <row r="114">
      <c r="A114" s="1" t="s">
        <v>769</v>
      </c>
      <c r="B114" s="1" t="s">
        <v>105</v>
      </c>
      <c r="C114" s="1" t="s">
        <v>870</v>
      </c>
      <c r="D114" s="3">
        <v>2.16</v>
      </c>
    </row>
    <row r="115">
      <c r="A115" s="1" t="s">
        <v>767</v>
      </c>
      <c r="B115" s="1" t="s">
        <v>596</v>
      </c>
      <c r="C115" s="1" t="s">
        <v>871</v>
      </c>
      <c r="D115" s="3">
        <v>1.4</v>
      </c>
    </row>
    <row r="116">
      <c r="A116" s="1" t="s">
        <v>721</v>
      </c>
      <c r="B116" s="1" t="s">
        <v>147</v>
      </c>
      <c r="C116" s="1" t="s">
        <v>872</v>
      </c>
      <c r="D116" s="3">
        <v>1.8</v>
      </c>
    </row>
    <row r="117">
      <c r="A117" s="1" t="s">
        <v>748</v>
      </c>
      <c r="B117" s="1" t="s">
        <v>129</v>
      </c>
      <c r="C117" s="1" t="s">
        <v>873</v>
      </c>
      <c r="D117" s="3">
        <v>1.68</v>
      </c>
    </row>
    <row r="118">
      <c r="A118" s="1" t="s">
        <v>733</v>
      </c>
      <c r="B118" s="1" t="s">
        <v>300</v>
      </c>
      <c r="C118" s="1" t="s">
        <v>874</v>
      </c>
      <c r="D118" s="3">
        <v>1.68</v>
      </c>
    </row>
    <row r="119">
      <c r="A119" s="1" t="s">
        <v>721</v>
      </c>
      <c r="B119" s="1" t="s">
        <v>147</v>
      </c>
      <c r="C119" s="1" t="s">
        <v>875</v>
      </c>
      <c r="D119" s="3">
        <v>1.37</v>
      </c>
    </row>
    <row r="120">
      <c r="A120" s="1" t="s">
        <v>721</v>
      </c>
      <c r="B120" s="1" t="s">
        <v>147</v>
      </c>
      <c r="C120" s="1" t="s">
        <v>876</v>
      </c>
      <c r="D120" s="3">
        <v>1.5</v>
      </c>
    </row>
    <row r="121">
      <c r="A121" s="1" t="s">
        <v>721</v>
      </c>
      <c r="B121" s="1" t="s">
        <v>147</v>
      </c>
      <c r="C121" s="1" t="s">
        <v>877</v>
      </c>
      <c r="D121" s="3">
        <v>2.1</v>
      </c>
    </row>
    <row r="122">
      <c r="A122" s="1" t="s">
        <v>878</v>
      </c>
      <c r="B122" s="1" t="s">
        <v>96</v>
      </c>
      <c r="C122" s="1" t="s">
        <v>879</v>
      </c>
      <c r="D122" s="3">
        <v>1.11</v>
      </c>
    </row>
    <row r="123">
      <c r="A123" s="1" t="s">
        <v>740</v>
      </c>
      <c r="B123" s="1" t="s">
        <v>508</v>
      </c>
      <c r="C123" s="1" t="s">
        <v>880</v>
      </c>
      <c r="D123" s="3">
        <v>1.13</v>
      </c>
    </row>
    <row r="124">
      <c r="A124" s="1" t="s">
        <v>733</v>
      </c>
      <c r="B124" s="1" t="s">
        <v>300</v>
      </c>
      <c r="C124" s="1" t="s">
        <v>881</v>
      </c>
      <c r="D124" s="3">
        <v>1.22</v>
      </c>
    </row>
    <row r="125">
      <c r="A125" s="1" t="s">
        <v>721</v>
      </c>
      <c r="B125" s="1" t="s">
        <v>147</v>
      </c>
      <c r="C125" s="1" t="s">
        <v>882</v>
      </c>
      <c r="D125" s="3">
        <v>2.12</v>
      </c>
    </row>
    <row r="126">
      <c r="A126" s="1" t="s">
        <v>721</v>
      </c>
      <c r="B126" s="1" t="s">
        <v>147</v>
      </c>
      <c r="C126" s="1" t="s">
        <v>883</v>
      </c>
      <c r="D126" s="3">
        <v>1.62</v>
      </c>
    </row>
    <row r="127">
      <c r="A127" s="1" t="s">
        <v>884</v>
      </c>
      <c r="B127" s="1" t="s">
        <v>671</v>
      </c>
      <c r="C127" s="1" t="s">
        <v>885</v>
      </c>
      <c r="D127" s="3">
        <v>1.19</v>
      </c>
    </row>
    <row r="128">
      <c r="A128" s="1" t="s">
        <v>795</v>
      </c>
      <c r="B128" s="1" t="s">
        <v>599</v>
      </c>
      <c r="C128" s="1" t="s">
        <v>886</v>
      </c>
      <c r="D128" s="3">
        <v>1.71</v>
      </c>
    </row>
    <row r="129">
      <c r="A129" s="1" t="s">
        <v>733</v>
      </c>
      <c r="B129" s="1" t="s">
        <v>300</v>
      </c>
      <c r="C129" s="1" t="s">
        <v>887</v>
      </c>
      <c r="D129" s="3">
        <v>1.18</v>
      </c>
    </row>
    <row r="130">
      <c r="A130" s="1" t="s">
        <v>721</v>
      </c>
      <c r="B130" s="1" t="s">
        <v>147</v>
      </c>
      <c r="C130" s="1" t="s">
        <v>888</v>
      </c>
      <c r="D130" s="3">
        <v>1.62</v>
      </c>
    </row>
    <row r="131">
      <c r="A131" s="1" t="s">
        <v>725</v>
      </c>
      <c r="B131" s="1" t="s">
        <v>227</v>
      </c>
      <c r="C131" s="1" t="s">
        <v>889</v>
      </c>
      <c r="D131" s="3">
        <v>1.76</v>
      </c>
    </row>
    <row r="132">
      <c r="A132" s="1" t="s">
        <v>721</v>
      </c>
      <c r="B132" s="1" t="s">
        <v>147</v>
      </c>
      <c r="C132" s="1" t="s">
        <v>890</v>
      </c>
      <c r="D132" s="3">
        <v>1.62</v>
      </c>
    </row>
    <row r="133">
      <c r="A133" s="1" t="s">
        <v>756</v>
      </c>
      <c r="B133" s="1" t="s">
        <v>605</v>
      </c>
      <c r="C133" s="1" t="s">
        <v>891</v>
      </c>
      <c r="D133" s="3">
        <v>0.96</v>
      </c>
    </row>
    <row r="134">
      <c r="A134" s="1" t="s">
        <v>806</v>
      </c>
      <c r="B134" s="1" t="s">
        <v>635</v>
      </c>
      <c r="C134" s="1" t="s">
        <v>892</v>
      </c>
      <c r="D134" s="3">
        <v>2.18</v>
      </c>
    </row>
    <row r="135">
      <c r="A135" s="1" t="s">
        <v>727</v>
      </c>
      <c r="B135" s="1" t="s">
        <v>532</v>
      </c>
      <c r="C135" s="1" t="s">
        <v>893</v>
      </c>
      <c r="D135" s="3">
        <v>1.96</v>
      </c>
    </row>
    <row r="136">
      <c r="A136" s="1" t="s">
        <v>746</v>
      </c>
      <c r="B136" s="1" t="s">
        <v>505</v>
      </c>
      <c r="C136" s="1" t="s">
        <v>894</v>
      </c>
      <c r="D136" s="3">
        <v>2.09</v>
      </c>
    </row>
    <row r="137">
      <c r="A137" s="1" t="s">
        <v>795</v>
      </c>
      <c r="B137" s="1" t="s">
        <v>599</v>
      </c>
      <c r="C137" s="1" t="s">
        <v>895</v>
      </c>
      <c r="D137" s="3">
        <v>1.35</v>
      </c>
    </row>
    <row r="138">
      <c r="A138" s="1" t="s">
        <v>727</v>
      </c>
      <c r="B138" s="1" t="s">
        <v>532</v>
      </c>
      <c r="C138" s="1" t="s">
        <v>896</v>
      </c>
      <c r="D138" s="3">
        <v>1.63</v>
      </c>
    </row>
    <row r="139">
      <c r="A139" s="1" t="s">
        <v>723</v>
      </c>
      <c r="B139" s="1" t="s">
        <v>511</v>
      </c>
      <c r="C139" s="1" t="s">
        <v>897</v>
      </c>
      <c r="D139" s="3">
        <v>2.2</v>
      </c>
    </row>
    <row r="140">
      <c r="A140" s="1" t="s">
        <v>798</v>
      </c>
      <c r="B140" s="1" t="s">
        <v>224</v>
      </c>
      <c r="C140" s="1" t="s">
        <v>898</v>
      </c>
      <c r="D140" s="3">
        <v>2.06</v>
      </c>
    </row>
    <row r="141">
      <c r="A141" s="1" t="s">
        <v>767</v>
      </c>
      <c r="B141" s="1" t="s">
        <v>596</v>
      </c>
      <c r="C141" s="1" t="s">
        <v>899</v>
      </c>
      <c r="D141" s="3">
        <v>0.92</v>
      </c>
    </row>
    <row r="142">
      <c r="A142" s="1" t="s">
        <v>725</v>
      </c>
      <c r="B142" s="1" t="s">
        <v>227</v>
      </c>
      <c r="C142" s="1" t="s">
        <v>900</v>
      </c>
      <c r="D142" s="3">
        <v>2.19</v>
      </c>
    </row>
    <row r="143">
      <c r="A143" s="1" t="s">
        <v>725</v>
      </c>
      <c r="B143" s="1" t="s">
        <v>227</v>
      </c>
      <c r="C143" s="1" t="s">
        <v>901</v>
      </c>
      <c r="D143" s="3">
        <v>2.13</v>
      </c>
    </row>
    <row r="144">
      <c r="A144" s="1" t="s">
        <v>721</v>
      </c>
      <c r="B144" s="1" t="s">
        <v>147</v>
      </c>
      <c r="C144" s="1" t="s">
        <v>902</v>
      </c>
      <c r="D144" s="3">
        <v>1.34</v>
      </c>
    </row>
    <row r="145">
      <c r="A145" s="1" t="s">
        <v>721</v>
      </c>
      <c r="B145" s="1" t="s">
        <v>147</v>
      </c>
      <c r="C145" s="1" t="s">
        <v>903</v>
      </c>
      <c r="D145" s="3">
        <v>1.69</v>
      </c>
    </row>
    <row r="146">
      <c r="A146" s="1" t="s">
        <v>904</v>
      </c>
      <c r="B146" s="1" t="s">
        <v>653</v>
      </c>
      <c r="C146" s="1" t="s">
        <v>905</v>
      </c>
      <c r="D146" s="3">
        <v>0.97</v>
      </c>
    </row>
    <row r="147">
      <c r="A147" s="1" t="s">
        <v>721</v>
      </c>
      <c r="B147" s="1" t="s">
        <v>147</v>
      </c>
      <c r="C147" s="1" t="s">
        <v>906</v>
      </c>
      <c r="D147" s="3">
        <v>1.73</v>
      </c>
    </row>
    <row r="148">
      <c r="A148" s="1" t="s">
        <v>765</v>
      </c>
      <c r="B148" s="1" t="s">
        <v>174</v>
      </c>
      <c r="C148" s="1" t="s">
        <v>907</v>
      </c>
      <c r="D148" s="3">
        <v>1.56</v>
      </c>
    </row>
    <row r="149">
      <c r="A149" s="1" t="s">
        <v>908</v>
      </c>
      <c r="B149" s="1" t="s">
        <v>309</v>
      </c>
      <c r="C149" s="1" t="s">
        <v>909</v>
      </c>
      <c r="D149" s="3">
        <v>1.04</v>
      </c>
    </row>
    <row r="150">
      <c r="A150" s="1" t="s">
        <v>721</v>
      </c>
      <c r="B150" s="1" t="s">
        <v>147</v>
      </c>
      <c r="C150" s="1" t="s">
        <v>910</v>
      </c>
      <c r="D150" s="3">
        <v>1.0</v>
      </c>
    </row>
    <row r="151">
      <c r="A151" s="1" t="s">
        <v>754</v>
      </c>
      <c r="B151" s="1" t="s">
        <v>47</v>
      </c>
      <c r="C151" s="1" t="s">
        <v>911</v>
      </c>
      <c r="D151" s="3">
        <v>1.35</v>
      </c>
    </row>
    <row r="152">
      <c r="A152" s="1" t="s">
        <v>721</v>
      </c>
      <c r="B152" s="1" t="s">
        <v>147</v>
      </c>
      <c r="C152" s="1" t="s">
        <v>912</v>
      </c>
      <c r="D152" s="3">
        <v>0.98</v>
      </c>
    </row>
    <row r="153">
      <c r="A153" s="1" t="s">
        <v>721</v>
      </c>
      <c r="B153" s="1" t="s">
        <v>147</v>
      </c>
      <c r="C153" s="1" t="s">
        <v>913</v>
      </c>
      <c r="D153" s="3">
        <v>1.89</v>
      </c>
    </row>
    <row r="154">
      <c r="A154" s="1" t="s">
        <v>769</v>
      </c>
      <c r="B154" s="1" t="s">
        <v>105</v>
      </c>
      <c r="C154" s="1" t="s">
        <v>914</v>
      </c>
      <c r="D154" s="3">
        <v>1.12</v>
      </c>
    </row>
    <row r="155">
      <c r="A155" s="1" t="s">
        <v>733</v>
      </c>
      <c r="B155" s="1" t="s">
        <v>300</v>
      </c>
      <c r="C155" s="1" t="s">
        <v>915</v>
      </c>
      <c r="D155" s="3">
        <v>1.89</v>
      </c>
    </row>
    <row r="156">
      <c r="A156" s="1" t="s">
        <v>721</v>
      </c>
      <c r="B156" s="1" t="s">
        <v>147</v>
      </c>
      <c r="C156" s="1" t="s">
        <v>916</v>
      </c>
      <c r="D156" s="3">
        <v>1.15</v>
      </c>
    </row>
    <row r="157">
      <c r="A157" s="1" t="s">
        <v>917</v>
      </c>
      <c r="B157" s="1" t="s">
        <v>686</v>
      </c>
      <c r="C157" s="1" t="s">
        <v>918</v>
      </c>
      <c r="D157" s="3">
        <v>2.03</v>
      </c>
    </row>
    <row r="158">
      <c r="A158" s="1" t="s">
        <v>723</v>
      </c>
      <c r="B158" s="1" t="s">
        <v>511</v>
      </c>
      <c r="C158" s="1" t="s">
        <v>919</v>
      </c>
      <c r="D158" s="3">
        <v>1.22</v>
      </c>
    </row>
    <row r="159">
      <c r="A159" s="1" t="s">
        <v>721</v>
      </c>
      <c r="B159" s="1" t="s">
        <v>147</v>
      </c>
      <c r="C159" s="1" t="s">
        <v>920</v>
      </c>
      <c r="D159" s="3">
        <v>2.2</v>
      </c>
    </row>
    <row r="160">
      <c r="A160" s="1" t="s">
        <v>721</v>
      </c>
      <c r="B160" s="1" t="s">
        <v>147</v>
      </c>
      <c r="C160" s="1" t="s">
        <v>921</v>
      </c>
      <c r="D160" s="3">
        <v>1.85</v>
      </c>
    </row>
    <row r="161">
      <c r="A161" s="1" t="s">
        <v>733</v>
      </c>
      <c r="B161" s="1" t="s">
        <v>300</v>
      </c>
      <c r="C161" s="1" t="s">
        <v>922</v>
      </c>
      <c r="D161" s="3">
        <v>1.06</v>
      </c>
    </row>
    <row r="162">
      <c r="A162" s="1" t="s">
        <v>791</v>
      </c>
      <c r="B162" s="1" t="s">
        <v>253</v>
      </c>
      <c r="C162" s="1" t="s">
        <v>923</v>
      </c>
      <c r="D162" s="3">
        <v>1.21</v>
      </c>
    </row>
    <row r="163">
      <c r="A163" s="1" t="s">
        <v>721</v>
      </c>
      <c r="B163" s="1" t="s">
        <v>147</v>
      </c>
      <c r="C163" s="1" t="s">
        <v>924</v>
      </c>
      <c r="D163" s="3">
        <v>1.53</v>
      </c>
    </row>
    <row r="164">
      <c r="A164" s="1" t="s">
        <v>925</v>
      </c>
      <c r="B164" s="1" t="s">
        <v>51</v>
      </c>
      <c r="C164" s="1" t="s">
        <v>926</v>
      </c>
      <c r="D164" s="3">
        <v>1.45</v>
      </c>
    </row>
    <row r="165">
      <c r="A165" s="1" t="s">
        <v>884</v>
      </c>
      <c r="B165" s="1" t="s">
        <v>671</v>
      </c>
      <c r="C165" s="1" t="s">
        <v>927</v>
      </c>
      <c r="D165" s="3">
        <v>1.0</v>
      </c>
    </row>
    <row r="166">
      <c r="A166" s="1" t="s">
        <v>727</v>
      </c>
      <c r="B166" s="1" t="s">
        <v>532</v>
      </c>
      <c r="C166" s="1" t="s">
        <v>928</v>
      </c>
      <c r="D166" s="3">
        <v>1.74</v>
      </c>
    </row>
    <row r="167">
      <c r="A167" s="1" t="s">
        <v>721</v>
      </c>
      <c r="B167" s="1" t="s">
        <v>147</v>
      </c>
      <c r="C167" s="1" t="s">
        <v>929</v>
      </c>
      <c r="D167" s="3">
        <v>1.85</v>
      </c>
    </row>
    <row r="168">
      <c r="A168" s="1" t="s">
        <v>733</v>
      </c>
      <c r="B168" s="1" t="s">
        <v>300</v>
      </c>
      <c r="C168" s="1" t="s">
        <v>930</v>
      </c>
      <c r="D168" s="3">
        <v>1.2</v>
      </c>
    </row>
    <row r="169">
      <c r="A169" s="1" t="s">
        <v>721</v>
      </c>
      <c r="B169" s="1" t="s">
        <v>147</v>
      </c>
      <c r="C169" s="1" t="s">
        <v>931</v>
      </c>
      <c r="D169" s="3">
        <v>2.21</v>
      </c>
    </row>
    <row r="170">
      <c r="A170" s="1" t="s">
        <v>746</v>
      </c>
      <c r="B170" s="1" t="s">
        <v>505</v>
      </c>
      <c r="C170" s="1" t="s">
        <v>932</v>
      </c>
      <c r="D170" s="3">
        <v>2.13</v>
      </c>
    </row>
    <row r="171">
      <c r="A171" s="1" t="s">
        <v>721</v>
      </c>
      <c r="B171" s="1" t="s">
        <v>147</v>
      </c>
      <c r="C171" s="1" t="s">
        <v>933</v>
      </c>
      <c r="D171" s="3">
        <v>1.2</v>
      </c>
    </row>
    <row r="172">
      <c r="A172" s="1" t="s">
        <v>731</v>
      </c>
      <c r="B172" s="1" t="s">
        <v>78</v>
      </c>
      <c r="C172" s="1" t="s">
        <v>934</v>
      </c>
      <c r="D172" s="3">
        <v>2.15</v>
      </c>
    </row>
    <row r="173">
      <c r="A173" s="1" t="s">
        <v>721</v>
      </c>
      <c r="B173" s="1" t="s">
        <v>147</v>
      </c>
      <c r="C173" s="1" t="s">
        <v>935</v>
      </c>
      <c r="D173" s="3">
        <v>1.58</v>
      </c>
    </row>
    <row r="174">
      <c r="A174" s="1" t="s">
        <v>936</v>
      </c>
      <c r="B174" s="1" t="s">
        <v>697</v>
      </c>
      <c r="C174" s="1" t="s">
        <v>937</v>
      </c>
      <c r="D174" s="3">
        <v>1.81</v>
      </c>
    </row>
    <row r="175">
      <c r="A175" s="1" t="s">
        <v>938</v>
      </c>
      <c r="B175" s="1" t="s">
        <v>268</v>
      </c>
      <c r="C175" s="1" t="s">
        <v>939</v>
      </c>
      <c r="D175" s="3">
        <v>1.81</v>
      </c>
    </row>
    <row r="176">
      <c r="A176" s="1" t="s">
        <v>740</v>
      </c>
      <c r="B176" s="1" t="s">
        <v>508</v>
      </c>
      <c r="C176" s="1" t="s">
        <v>940</v>
      </c>
      <c r="D176" s="3">
        <v>1.31</v>
      </c>
    </row>
    <row r="177">
      <c r="A177" s="1" t="s">
        <v>806</v>
      </c>
      <c r="B177" s="1" t="s">
        <v>635</v>
      </c>
      <c r="C177" s="1" t="s">
        <v>941</v>
      </c>
      <c r="D177" s="3">
        <v>1.99</v>
      </c>
    </row>
    <row r="178">
      <c r="A178" s="1" t="s">
        <v>942</v>
      </c>
      <c r="B178" s="1" t="s">
        <v>150</v>
      </c>
      <c r="C178" s="1" t="s">
        <v>943</v>
      </c>
      <c r="D178" s="3">
        <v>2.0</v>
      </c>
    </row>
    <row r="179">
      <c r="A179" s="1" t="s">
        <v>944</v>
      </c>
      <c r="B179" s="1" t="s">
        <v>442</v>
      </c>
      <c r="C179" s="1" t="s">
        <v>945</v>
      </c>
      <c r="D179" s="3">
        <v>1.33</v>
      </c>
    </row>
    <row r="180">
      <c r="A180" s="1" t="s">
        <v>946</v>
      </c>
      <c r="B180" s="1" t="s">
        <v>564</v>
      </c>
      <c r="C180" s="1" t="s">
        <v>947</v>
      </c>
      <c r="D180" s="3">
        <v>1.0</v>
      </c>
    </row>
    <row r="181">
      <c r="A181" s="1" t="s">
        <v>767</v>
      </c>
      <c r="B181" s="1" t="s">
        <v>596</v>
      </c>
      <c r="C181" s="1" t="s">
        <v>948</v>
      </c>
      <c r="D181" s="3">
        <v>1.7</v>
      </c>
    </row>
    <row r="182">
      <c r="A182" s="1" t="s">
        <v>721</v>
      </c>
      <c r="B182" s="1" t="s">
        <v>147</v>
      </c>
      <c r="C182" s="1" t="s">
        <v>949</v>
      </c>
      <c r="D182" s="3">
        <v>2.06</v>
      </c>
    </row>
    <row r="183">
      <c r="A183" s="1" t="s">
        <v>950</v>
      </c>
      <c r="B183" s="1" t="s">
        <v>445</v>
      </c>
      <c r="C183" s="1" t="s">
        <v>951</v>
      </c>
      <c r="D183" s="3">
        <v>0.94</v>
      </c>
    </row>
    <row r="184">
      <c r="A184" s="1" t="s">
        <v>791</v>
      </c>
      <c r="B184" s="1" t="s">
        <v>253</v>
      </c>
      <c r="C184" s="1" t="s">
        <v>952</v>
      </c>
      <c r="D184" s="3">
        <v>1.94</v>
      </c>
    </row>
    <row r="185">
      <c r="A185" s="1" t="s">
        <v>733</v>
      </c>
      <c r="B185" s="1" t="s">
        <v>300</v>
      </c>
      <c r="C185" s="1" t="s">
        <v>953</v>
      </c>
      <c r="D185" s="3">
        <v>1.53</v>
      </c>
    </row>
    <row r="186">
      <c r="A186" s="1" t="s">
        <v>721</v>
      </c>
      <c r="B186" s="1" t="s">
        <v>147</v>
      </c>
      <c r="C186" s="1" t="s">
        <v>954</v>
      </c>
      <c r="D186" s="3">
        <v>1.37</v>
      </c>
    </row>
    <row r="187">
      <c r="A187" s="1" t="s">
        <v>746</v>
      </c>
      <c r="B187" s="1" t="s">
        <v>505</v>
      </c>
      <c r="C187" s="1" t="s">
        <v>955</v>
      </c>
      <c r="D187" s="3">
        <v>1.51</v>
      </c>
    </row>
    <row r="188">
      <c r="A188" s="1" t="s">
        <v>765</v>
      </c>
      <c r="B188" s="1" t="s">
        <v>174</v>
      </c>
      <c r="C188" s="1" t="s">
        <v>956</v>
      </c>
      <c r="D188" s="3">
        <v>1.8</v>
      </c>
    </row>
    <row r="189">
      <c r="A189" s="1" t="s">
        <v>721</v>
      </c>
      <c r="B189" s="1" t="s">
        <v>147</v>
      </c>
      <c r="C189" s="1" t="s">
        <v>957</v>
      </c>
      <c r="D189" s="3">
        <v>1.53</v>
      </c>
    </row>
    <row r="190">
      <c r="A190" s="1" t="s">
        <v>740</v>
      </c>
      <c r="B190" s="1" t="s">
        <v>508</v>
      </c>
      <c r="C190" s="1" t="s">
        <v>958</v>
      </c>
      <c r="D190" s="3">
        <v>1.37</v>
      </c>
    </row>
    <row r="191">
      <c r="A191" s="1" t="s">
        <v>735</v>
      </c>
      <c r="B191" s="1" t="s">
        <v>680</v>
      </c>
      <c r="C191" s="1" t="s">
        <v>959</v>
      </c>
      <c r="D191" s="3">
        <v>0.89</v>
      </c>
    </row>
    <row r="192">
      <c r="A192" s="1" t="s">
        <v>767</v>
      </c>
      <c r="B192" s="1" t="s">
        <v>596</v>
      </c>
      <c r="C192" s="1" t="s">
        <v>960</v>
      </c>
      <c r="D192" s="3">
        <v>1.51</v>
      </c>
    </row>
    <row r="193">
      <c r="A193" s="1" t="s">
        <v>961</v>
      </c>
      <c r="B193" s="1" t="s">
        <v>386</v>
      </c>
      <c r="C193" s="1" t="s">
        <v>962</v>
      </c>
      <c r="D193" s="3">
        <v>1.37</v>
      </c>
    </row>
    <row r="194">
      <c r="A194" s="1" t="s">
        <v>806</v>
      </c>
      <c r="B194" s="1" t="s">
        <v>635</v>
      </c>
      <c r="C194" s="1" t="s">
        <v>963</v>
      </c>
      <c r="D194" s="3">
        <v>1.56</v>
      </c>
    </row>
    <row r="195">
      <c r="A195" s="1" t="s">
        <v>964</v>
      </c>
      <c r="B195" s="1" t="s">
        <v>22</v>
      </c>
      <c r="C195" s="1" t="s">
        <v>965</v>
      </c>
      <c r="D195" s="3">
        <v>0.96</v>
      </c>
    </row>
    <row r="196">
      <c r="A196" s="1" t="s">
        <v>966</v>
      </c>
      <c r="B196" s="1" t="s">
        <v>481</v>
      </c>
      <c r="C196" s="1" t="s">
        <v>967</v>
      </c>
      <c r="D196" s="3">
        <v>1.85</v>
      </c>
    </row>
    <row r="197">
      <c r="A197" s="1" t="s">
        <v>733</v>
      </c>
      <c r="B197" s="1" t="s">
        <v>300</v>
      </c>
      <c r="C197" s="1" t="s">
        <v>968</v>
      </c>
      <c r="D197" s="3">
        <v>2.19</v>
      </c>
    </row>
    <row r="198">
      <c r="A198" s="1" t="s">
        <v>721</v>
      </c>
      <c r="B198" s="1" t="s">
        <v>147</v>
      </c>
      <c r="C198" s="1" t="s">
        <v>969</v>
      </c>
      <c r="D198" s="3">
        <v>1.59</v>
      </c>
    </row>
    <row r="199">
      <c r="A199" s="1" t="s">
        <v>721</v>
      </c>
      <c r="B199" s="1" t="s">
        <v>147</v>
      </c>
      <c r="C199" s="1" t="s">
        <v>970</v>
      </c>
      <c r="D199" s="3">
        <v>1.04</v>
      </c>
    </row>
    <row r="200">
      <c r="A200" s="1" t="s">
        <v>729</v>
      </c>
      <c r="B200" s="1" t="s">
        <v>514</v>
      </c>
      <c r="C200" s="1" t="s">
        <v>971</v>
      </c>
      <c r="D200" s="3">
        <v>2.15</v>
      </c>
    </row>
    <row r="201">
      <c r="A201" s="1" t="s">
        <v>729</v>
      </c>
      <c r="B201" s="1" t="s">
        <v>514</v>
      </c>
      <c r="C201" s="1" t="s">
        <v>972</v>
      </c>
      <c r="D201" s="3">
        <v>0.99</v>
      </c>
    </row>
    <row r="202">
      <c r="A202" s="1" t="s">
        <v>735</v>
      </c>
      <c r="B202" s="1" t="s">
        <v>680</v>
      </c>
      <c r="C202" s="1" t="s">
        <v>973</v>
      </c>
      <c r="D202" s="3">
        <v>1.39</v>
      </c>
    </row>
    <row r="203">
      <c r="A203" s="1" t="s">
        <v>782</v>
      </c>
      <c r="B203" s="1" t="s">
        <v>413</v>
      </c>
      <c r="C203" s="1" t="s">
        <v>974</v>
      </c>
      <c r="D203" s="3">
        <v>2.1</v>
      </c>
    </row>
    <row r="204">
      <c r="A204" s="1" t="s">
        <v>733</v>
      </c>
      <c r="B204" s="1" t="s">
        <v>300</v>
      </c>
      <c r="C204" s="1" t="s">
        <v>975</v>
      </c>
      <c r="D204" s="3">
        <v>1.67</v>
      </c>
    </row>
    <row r="205">
      <c r="A205" s="1" t="s">
        <v>976</v>
      </c>
      <c r="B205" s="1" t="s">
        <v>200</v>
      </c>
      <c r="C205" s="1" t="s">
        <v>977</v>
      </c>
      <c r="D205" s="3">
        <v>1.03</v>
      </c>
    </row>
    <row r="206">
      <c r="A206" s="1" t="s">
        <v>729</v>
      </c>
      <c r="B206" s="1" t="s">
        <v>514</v>
      </c>
      <c r="C206" s="1" t="s">
        <v>978</v>
      </c>
      <c r="D206" s="3">
        <v>1.66</v>
      </c>
    </row>
    <row r="207">
      <c r="A207" s="1" t="s">
        <v>723</v>
      </c>
      <c r="B207" s="1" t="s">
        <v>511</v>
      </c>
      <c r="C207" s="1" t="s">
        <v>979</v>
      </c>
      <c r="D207" s="3">
        <v>1.77</v>
      </c>
    </row>
    <row r="208">
      <c r="A208" s="1" t="s">
        <v>725</v>
      </c>
      <c r="B208" s="1" t="s">
        <v>227</v>
      </c>
      <c r="C208" s="1" t="s">
        <v>980</v>
      </c>
      <c r="D208" s="3">
        <v>1.62</v>
      </c>
    </row>
    <row r="209">
      <c r="A209" s="1" t="s">
        <v>769</v>
      </c>
      <c r="B209" s="1" t="s">
        <v>105</v>
      </c>
      <c r="C209" s="1" t="s">
        <v>981</v>
      </c>
      <c r="D209" s="3">
        <v>1.4</v>
      </c>
    </row>
    <row r="210">
      <c r="A210" s="1" t="s">
        <v>721</v>
      </c>
      <c r="B210" s="1" t="s">
        <v>147</v>
      </c>
      <c r="C210" s="1" t="s">
        <v>982</v>
      </c>
      <c r="D210" s="3">
        <v>1.99</v>
      </c>
    </row>
    <row r="211">
      <c r="A211" s="1" t="s">
        <v>763</v>
      </c>
      <c r="B211" s="1" t="s">
        <v>327</v>
      </c>
      <c r="C211" s="1" t="s">
        <v>983</v>
      </c>
      <c r="D211" s="3">
        <v>0.99</v>
      </c>
    </row>
    <row r="212">
      <c r="A212" s="1" t="s">
        <v>725</v>
      </c>
      <c r="B212" s="1" t="s">
        <v>227</v>
      </c>
      <c r="C212" s="1" t="s">
        <v>984</v>
      </c>
      <c r="D212" s="3">
        <v>1.76</v>
      </c>
    </row>
    <row r="213">
      <c r="A213" s="1" t="s">
        <v>740</v>
      </c>
      <c r="B213" s="1" t="s">
        <v>508</v>
      </c>
      <c r="C213" s="1" t="s">
        <v>985</v>
      </c>
      <c r="D213" s="3">
        <v>0.92</v>
      </c>
    </row>
    <row r="214">
      <c r="A214" s="1" t="s">
        <v>721</v>
      </c>
      <c r="B214" s="1" t="s">
        <v>147</v>
      </c>
      <c r="C214" s="1" t="s">
        <v>986</v>
      </c>
      <c r="D214" s="3">
        <v>1.27</v>
      </c>
    </row>
    <row r="215">
      <c r="A215" s="1" t="s">
        <v>733</v>
      </c>
      <c r="B215" s="1" t="s">
        <v>300</v>
      </c>
      <c r="C215" s="1" t="s">
        <v>987</v>
      </c>
      <c r="D215" s="3">
        <v>1.71</v>
      </c>
    </row>
    <row r="216">
      <c r="A216" s="1" t="s">
        <v>988</v>
      </c>
      <c r="B216" s="1" t="s">
        <v>419</v>
      </c>
      <c r="C216" s="1" t="s">
        <v>989</v>
      </c>
      <c r="D216" s="3">
        <v>1.83</v>
      </c>
    </row>
    <row r="217">
      <c r="A217" s="1" t="s">
        <v>990</v>
      </c>
      <c r="B217" s="1" t="s">
        <v>389</v>
      </c>
      <c r="C217" s="1" t="s">
        <v>991</v>
      </c>
      <c r="D217" s="3">
        <v>1.24</v>
      </c>
    </row>
    <row r="218">
      <c r="A218" s="1" t="s">
        <v>733</v>
      </c>
      <c r="B218" s="1" t="s">
        <v>300</v>
      </c>
      <c r="C218" s="1" t="s">
        <v>992</v>
      </c>
      <c r="D218" s="3">
        <v>1.23</v>
      </c>
    </row>
    <row r="219">
      <c r="A219" s="1" t="s">
        <v>727</v>
      </c>
      <c r="B219" s="1" t="s">
        <v>532</v>
      </c>
      <c r="C219" s="1" t="s">
        <v>993</v>
      </c>
      <c r="D219" s="3">
        <v>1.88</v>
      </c>
    </row>
    <row r="220">
      <c r="A220" s="1" t="s">
        <v>721</v>
      </c>
      <c r="B220" s="1" t="s">
        <v>147</v>
      </c>
      <c r="C220" s="1" t="s">
        <v>994</v>
      </c>
      <c r="D220" s="3">
        <v>0.97</v>
      </c>
    </row>
    <row r="221">
      <c r="A221" s="1" t="s">
        <v>721</v>
      </c>
      <c r="B221" s="1" t="s">
        <v>147</v>
      </c>
      <c r="C221" s="1" t="s">
        <v>995</v>
      </c>
      <c r="D221" s="3">
        <v>0.86</v>
      </c>
    </row>
    <row r="222">
      <c r="A222" s="1" t="s">
        <v>740</v>
      </c>
      <c r="B222" s="1" t="s">
        <v>508</v>
      </c>
      <c r="C222" s="1" t="s">
        <v>996</v>
      </c>
      <c r="D222" s="3">
        <v>2.19</v>
      </c>
    </row>
    <row r="223">
      <c r="A223" s="1" t="s">
        <v>721</v>
      </c>
      <c r="B223" s="1" t="s">
        <v>147</v>
      </c>
      <c r="C223" s="1" t="s">
        <v>997</v>
      </c>
      <c r="D223" s="3">
        <v>2.14</v>
      </c>
    </row>
    <row r="224">
      <c r="A224" s="1" t="s">
        <v>723</v>
      </c>
      <c r="B224" s="1" t="s">
        <v>511</v>
      </c>
      <c r="C224" s="1" t="s">
        <v>998</v>
      </c>
      <c r="D224" s="3">
        <v>1.31</v>
      </c>
    </row>
    <row r="225">
      <c r="A225" s="1" t="s">
        <v>999</v>
      </c>
      <c r="B225" s="1" t="s">
        <v>677</v>
      </c>
      <c r="C225" s="1" t="s">
        <v>1000</v>
      </c>
      <c r="D225" s="3">
        <v>1.83</v>
      </c>
    </row>
    <row r="226">
      <c r="A226" s="1" t="s">
        <v>733</v>
      </c>
      <c r="B226" s="1" t="s">
        <v>300</v>
      </c>
      <c r="C226" s="1" t="s">
        <v>1001</v>
      </c>
      <c r="D226" s="3">
        <v>1.83</v>
      </c>
    </row>
    <row r="227">
      <c r="A227" s="1" t="s">
        <v>740</v>
      </c>
      <c r="B227" s="1" t="s">
        <v>508</v>
      </c>
      <c r="C227" s="1" t="s">
        <v>1002</v>
      </c>
      <c r="D227" s="3">
        <v>1.67</v>
      </c>
    </row>
    <row r="228">
      <c r="A228" s="1" t="s">
        <v>733</v>
      </c>
      <c r="B228" s="1" t="s">
        <v>300</v>
      </c>
      <c r="C228" s="1" t="s">
        <v>1003</v>
      </c>
      <c r="D228" s="3">
        <v>1.87</v>
      </c>
    </row>
    <row r="229">
      <c r="A229" s="1" t="s">
        <v>723</v>
      </c>
      <c r="B229" s="1" t="s">
        <v>511</v>
      </c>
      <c r="C229" s="1" t="s">
        <v>1004</v>
      </c>
      <c r="D229" s="3">
        <v>0.95</v>
      </c>
    </row>
    <row r="230">
      <c r="A230" s="1" t="s">
        <v>723</v>
      </c>
      <c r="B230" s="1" t="s">
        <v>511</v>
      </c>
      <c r="C230" s="1" t="s">
        <v>1005</v>
      </c>
      <c r="D230" s="3">
        <v>2.18</v>
      </c>
    </row>
    <row r="231">
      <c r="A231" s="1" t="s">
        <v>721</v>
      </c>
      <c r="B231" s="1" t="s">
        <v>147</v>
      </c>
      <c r="C231" s="1" t="s">
        <v>1006</v>
      </c>
      <c r="D231" s="3">
        <v>1.33</v>
      </c>
    </row>
    <row r="232">
      <c r="A232" s="1" t="s">
        <v>769</v>
      </c>
      <c r="B232" s="1" t="s">
        <v>105</v>
      </c>
      <c r="C232" s="1" t="s">
        <v>1007</v>
      </c>
      <c r="D232" s="3">
        <v>0.91</v>
      </c>
    </row>
    <row r="233">
      <c r="A233" s="1" t="s">
        <v>723</v>
      </c>
      <c r="B233" s="1" t="s">
        <v>511</v>
      </c>
      <c r="C233" s="1" t="s">
        <v>1008</v>
      </c>
      <c r="D233" s="3">
        <v>1.57</v>
      </c>
    </row>
    <row r="234">
      <c r="A234" s="1" t="s">
        <v>721</v>
      </c>
      <c r="B234" s="1" t="s">
        <v>147</v>
      </c>
      <c r="C234" s="1" t="s">
        <v>1009</v>
      </c>
      <c r="D234" s="3">
        <v>1.66</v>
      </c>
    </row>
    <row r="235">
      <c r="A235" s="1" t="s">
        <v>723</v>
      </c>
      <c r="B235" s="1" t="s">
        <v>511</v>
      </c>
      <c r="C235" s="1" t="s">
        <v>1010</v>
      </c>
      <c r="D235" s="3">
        <v>1.65</v>
      </c>
    </row>
    <row r="236">
      <c r="A236" s="1" t="s">
        <v>721</v>
      </c>
      <c r="B236" s="1" t="s">
        <v>147</v>
      </c>
      <c r="C236" s="1" t="s">
        <v>1011</v>
      </c>
      <c r="D236" s="3">
        <v>1.78</v>
      </c>
    </row>
    <row r="237">
      <c r="A237" s="1" t="s">
        <v>731</v>
      </c>
      <c r="B237" s="1" t="s">
        <v>78</v>
      </c>
      <c r="C237" s="1" t="s">
        <v>1012</v>
      </c>
      <c r="D237" s="3">
        <v>1.74</v>
      </c>
    </row>
    <row r="238">
      <c r="A238" s="1" t="s">
        <v>723</v>
      </c>
      <c r="B238" s="1" t="s">
        <v>511</v>
      </c>
      <c r="C238" s="1" t="s">
        <v>1013</v>
      </c>
      <c r="D238" s="3">
        <v>1.81</v>
      </c>
    </row>
    <row r="239">
      <c r="A239" s="1" t="s">
        <v>966</v>
      </c>
      <c r="B239" s="1" t="s">
        <v>481</v>
      </c>
      <c r="C239" s="1" t="s">
        <v>1014</v>
      </c>
      <c r="D239" s="3">
        <v>2.18</v>
      </c>
    </row>
    <row r="240">
      <c r="A240" s="1" t="s">
        <v>746</v>
      </c>
      <c r="B240" s="1" t="s">
        <v>505</v>
      </c>
      <c r="C240" s="1" t="s">
        <v>1015</v>
      </c>
      <c r="D240" s="3">
        <v>2.07</v>
      </c>
    </row>
    <row r="241">
      <c r="A241" s="1" t="s">
        <v>733</v>
      </c>
      <c r="B241" s="1" t="s">
        <v>300</v>
      </c>
      <c r="C241" s="1" t="s">
        <v>1016</v>
      </c>
      <c r="D241" s="3">
        <v>1.31</v>
      </c>
    </row>
    <row r="242">
      <c r="A242" s="1" t="s">
        <v>740</v>
      </c>
      <c r="B242" s="1" t="s">
        <v>508</v>
      </c>
      <c r="C242" s="1" t="s">
        <v>1017</v>
      </c>
      <c r="D242" s="3">
        <v>1.22</v>
      </c>
    </row>
    <row r="243">
      <c r="A243" s="1" t="s">
        <v>1018</v>
      </c>
      <c r="B243" s="1" t="s">
        <v>191</v>
      </c>
      <c r="C243" s="1" t="s">
        <v>1019</v>
      </c>
      <c r="D243" s="3">
        <v>2.03</v>
      </c>
    </row>
    <row r="244">
      <c r="A244" s="1" t="s">
        <v>721</v>
      </c>
      <c r="B244" s="1" t="s">
        <v>147</v>
      </c>
      <c r="C244" s="1" t="s">
        <v>1020</v>
      </c>
      <c r="D244" s="3">
        <v>1.96</v>
      </c>
    </row>
    <row r="245">
      <c r="A245" s="1" t="s">
        <v>723</v>
      </c>
      <c r="B245" s="1" t="s">
        <v>511</v>
      </c>
      <c r="C245" s="1" t="s">
        <v>1021</v>
      </c>
      <c r="D245" s="3">
        <v>1.63</v>
      </c>
    </row>
    <row r="246">
      <c r="A246" s="1" t="s">
        <v>721</v>
      </c>
      <c r="B246" s="1" t="s">
        <v>147</v>
      </c>
      <c r="C246" s="1" t="s">
        <v>1022</v>
      </c>
      <c r="D246" s="3">
        <v>1.33</v>
      </c>
    </row>
    <row r="247">
      <c r="A247" s="1" t="s">
        <v>727</v>
      </c>
      <c r="B247" s="1" t="s">
        <v>532</v>
      </c>
      <c r="C247" s="1" t="s">
        <v>1023</v>
      </c>
      <c r="D247" s="3">
        <v>1.18</v>
      </c>
    </row>
    <row r="248">
      <c r="A248" s="1" t="s">
        <v>733</v>
      </c>
      <c r="B248" s="1" t="s">
        <v>300</v>
      </c>
      <c r="C248" s="1" t="s">
        <v>1024</v>
      </c>
      <c r="D248" s="3">
        <v>2.11</v>
      </c>
    </row>
    <row r="249">
      <c r="A249" s="1" t="s">
        <v>735</v>
      </c>
      <c r="B249" s="1" t="s">
        <v>680</v>
      </c>
      <c r="C249" s="1" t="s">
        <v>1025</v>
      </c>
      <c r="D249" s="3">
        <v>1.95</v>
      </c>
    </row>
    <row r="250">
      <c r="A250" s="1" t="s">
        <v>1026</v>
      </c>
      <c r="B250" s="1" t="s">
        <v>206</v>
      </c>
      <c r="C250" s="1" t="s">
        <v>1027</v>
      </c>
      <c r="D250" s="3">
        <v>1.51</v>
      </c>
    </row>
    <row r="251">
      <c r="A251" s="1" t="s">
        <v>733</v>
      </c>
      <c r="B251" s="1" t="s">
        <v>300</v>
      </c>
      <c r="C251" s="1" t="s">
        <v>1028</v>
      </c>
      <c r="D251" s="3">
        <v>1.71</v>
      </c>
    </row>
    <row r="252">
      <c r="A252" s="1" t="s">
        <v>721</v>
      </c>
      <c r="B252" s="1" t="s">
        <v>147</v>
      </c>
      <c r="C252" s="1" t="s">
        <v>1029</v>
      </c>
      <c r="D252" s="3">
        <v>1.81</v>
      </c>
    </row>
    <row r="253">
      <c r="A253" s="1" t="s">
        <v>1030</v>
      </c>
      <c r="B253" s="1" t="s">
        <v>177</v>
      </c>
      <c r="C253" s="1" t="s">
        <v>1031</v>
      </c>
      <c r="D253" s="3">
        <v>0.89</v>
      </c>
    </row>
    <row r="254">
      <c r="A254" s="1" t="s">
        <v>723</v>
      </c>
      <c r="B254" s="1" t="s">
        <v>511</v>
      </c>
      <c r="C254" s="1" t="s">
        <v>1032</v>
      </c>
      <c r="D254" s="3">
        <v>1.54</v>
      </c>
    </row>
    <row r="255">
      <c r="A255" s="1" t="s">
        <v>966</v>
      </c>
      <c r="B255" s="1" t="s">
        <v>481</v>
      </c>
      <c r="C255" s="1" t="s">
        <v>1033</v>
      </c>
      <c r="D255" s="3">
        <v>1.52</v>
      </c>
    </row>
    <row r="256">
      <c r="A256" s="1" t="s">
        <v>763</v>
      </c>
      <c r="B256" s="1" t="s">
        <v>327</v>
      </c>
      <c r="C256" s="1" t="s">
        <v>1034</v>
      </c>
      <c r="D256" s="3">
        <v>1.1</v>
      </c>
    </row>
    <row r="257">
      <c r="A257" s="1" t="s">
        <v>884</v>
      </c>
      <c r="B257" s="1" t="s">
        <v>671</v>
      </c>
      <c r="C257" s="1" t="s">
        <v>1035</v>
      </c>
      <c r="D257" s="3">
        <v>1.94</v>
      </c>
    </row>
    <row r="258">
      <c r="A258" s="1" t="s">
        <v>721</v>
      </c>
      <c r="B258" s="1" t="s">
        <v>147</v>
      </c>
      <c r="C258" s="1" t="s">
        <v>1036</v>
      </c>
      <c r="D258" s="3">
        <v>1.59</v>
      </c>
    </row>
    <row r="259">
      <c r="A259" s="1" t="s">
        <v>1037</v>
      </c>
      <c r="B259" s="1" t="s">
        <v>424</v>
      </c>
      <c r="C259" s="1" t="s">
        <v>1038</v>
      </c>
      <c r="D259" s="3">
        <v>1.75</v>
      </c>
    </row>
    <row r="260">
      <c r="A260" s="1" t="s">
        <v>729</v>
      </c>
      <c r="B260" s="1" t="s">
        <v>514</v>
      </c>
      <c r="C260" s="1" t="s">
        <v>1039</v>
      </c>
      <c r="D260" s="3">
        <v>2.11</v>
      </c>
    </row>
    <row r="261">
      <c r="A261" s="1" t="s">
        <v>727</v>
      </c>
      <c r="B261" s="1" t="s">
        <v>532</v>
      </c>
      <c r="C261" s="1" t="s">
        <v>1040</v>
      </c>
      <c r="D261" s="3">
        <v>1.9</v>
      </c>
    </row>
    <row r="262">
      <c r="A262" s="1" t="s">
        <v>727</v>
      </c>
      <c r="B262" s="1" t="s">
        <v>532</v>
      </c>
      <c r="C262" s="1" t="s">
        <v>1041</v>
      </c>
      <c r="D262" s="3">
        <v>1.86</v>
      </c>
    </row>
    <row r="263">
      <c r="A263" s="1" t="s">
        <v>795</v>
      </c>
      <c r="B263" s="1" t="s">
        <v>599</v>
      </c>
      <c r="C263" s="1" t="s">
        <v>1042</v>
      </c>
      <c r="D263" s="3">
        <v>1.88</v>
      </c>
    </row>
    <row r="264">
      <c r="A264" s="1" t="s">
        <v>1043</v>
      </c>
      <c r="B264" s="1" t="s">
        <v>632</v>
      </c>
      <c r="C264" s="1" t="s">
        <v>1044</v>
      </c>
      <c r="D264" s="3">
        <v>1.34</v>
      </c>
    </row>
    <row r="265">
      <c r="A265" s="1" t="s">
        <v>946</v>
      </c>
      <c r="B265" s="1" t="s">
        <v>564</v>
      </c>
      <c r="C265" s="1" t="s">
        <v>1045</v>
      </c>
      <c r="D265" s="3">
        <v>1.13</v>
      </c>
    </row>
    <row r="266">
      <c r="A266" s="1" t="s">
        <v>729</v>
      </c>
      <c r="B266" s="1" t="s">
        <v>514</v>
      </c>
      <c r="C266" s="1" t="s">
        <v>1046</v>
      </c>
      <c r="D266" s="3">
        <v>1.16</v>
      </c>
    </row>
    <row r="267">
      <c r="A267" s="1" t="s">
        <v>1047</v>
      </c>
      <c r="B267" s="1" t="s">
        <v>380</v>
      </c>
      <c r="C267" s="1" t="s">
        <v>1048</v>
      </c>
      <c r="D267" s="3">
        <v>1.5</v>
      </c>
    </row>
    <row r="268">
      <c r="A268" s="1" t="s">
        <v>1049</v>
      </c>
      <c r="B268" s="1" t="s">
        <v>451</v>
      </c>
      <c r="C268" s="1" t="s">
        <v>1050</v>
      </c>
      <c r="D268" s="3">
        <v>0.87</v>
      </c>
    </row>
    <row r="269">
      <c r="A269" s="1" t="s">
        <v>721</v>
      </c>
      <c r="B269" s="1" t="s">
        <v>147</v>
      </c>
      <c r="C269" s="1" t="s">
        <v>1051</v>
      </c>
      <c r="D269" s="3">
        <v>1.47</v>
      </c>
    </row>
    <row r="270">
      <c r="A270" s="1" t="s">
        <v>727</v>
      </c>
      <c r="B270" s="1" t="s">
        <v>532</v>
      </c>
      <c r="C270" s="1" t="s">
        <v>1052</v>
      </c>
      <c r="D270" s="3">
        <v>2.17</v>
      </c>
    </row>
    <row r="271">
      <c r="A271" s="1" t="s">
        <v>988</v>
      </c>
      <c r="B271" s="1" t="s">
        <v>419</v>
      </c>
      <c r="C271" s="1" t="s">
        <v>1053</v>
      </c>
      <c r="D271" s="3">
        <v>1.64</v>
      </c>
    </row>
    <row r="272">
      <c r="A272" s="1" t="s">
        <v>884</v>
      </c>
      <c r="B272" s="1" t="s">
        <v>671</v>
      </c>
      <c r="C272" s="1" t="s">
        <v>1054</v>
      </c>
      <c r="D272" s="3">
        <v>0.9</v>
      </c>
    </row>
    <row r="273">
      <c r="A273" s="1" t="s">
        <v>721</v>
      </c>
      <c r="B273" s="1" t="s">
        <v>147</v>
      </c>
      <c r="C273" s="1" t="s">
        <v>1055</v>
      </c>
      <c r="D273" s="3">
        <v>1.6</v>
      </c>
    </row>
    <row r="274">
      <c r="A274" s="1" t="s">
        <v>721</v>
      </c>
      <c r="B274" s="1" t="s">
        <v>147</v>
      </c>
      <c r="C274" s="1" t="s">
        <v>1056</v>
      </c>
      <c r="D274" s="3">
        <v>0.87</v>
      </c>
    </row>
    <row r="275">
      <c r="A275" s="1" t="s">
        <v>721</v>
      </c>
      <c r="B275" s="1" t="s">
        <v>147</v>
      </c>
      <c r="C275" s="1" t="s">
        <v>1057</v>
      </c>
      <c r="D275" s="3">
        <v>1.21</v>
      </c>
    </row>
    <row r="276">
      <c r="A276" s="1" t="s">
        <v>721</v>
      </c>
      <c r="B276" s="1" t="s">
        <v>147</v>
      </c>
      <c r="C276" s="1" t="s">
        <v>1058</v>
      </c>
      <c r="D276" s="3">
        <v>1.5</v>
      </c>
    </row>
    <row r="277">
      <c r="A277" s="1" t="s">
        <v>800</v>
      </c>
      <c r="B277" s="1" t="s">
        <v>433</v>
      </c>
      <c r="C277" s="1" t="s">
        <v>1059</v>
      </c>
      <c r="D277" s="3">
        <v>1.37</v>
      </c>
    </row>
    <row r="278">
      <c r="A278" s="1" t="s">
        <v>721</v>
      </c>
      <c r="B278" s="1" t="s">
        <v>147</v>
      </c>
      <c r="C278" s="1" t="s">
        <v>1060</v>
      </c>
      <c r="D278" s="3">
        <v>2.08</v>
      </c>
    </row>
    <row r="279">
      <c r="A279" s="1" t="s">
        <v>961</v>
      </c>
      <c r="B279" s="1" t="s">
        <v>386</v>
      </c>
      <c r="C279" s="1" t="s">
        <v>1061</v>
      </c>
      <c r="D279" s="3">
        <v>0.91</v>
      </c>
    </row>
    <row r="280">
      <c r="A280" s="1" t="s">
        <v>782</v>
      </c>
      <c r="B280" s="1" t="s">
        <v>413</v>
      </c>
      <c r="C280" s="1" t="s">
        <v>1062</v>
      </c>
      <c r="D280" s="3">
        <v>2.03</v>
      </c>
    </row>
    <row r="281">
      <c r="A281" s="1" t="s">
        <v>769</v>
      </c>
      <c r="B281" s="1" t="s">
        <v>105</v>
      </c>
      <c r="C281" s="1" t="s">
        <v>1063</v>
      </c>
      <c r="D281" s="3">
        <v>1.05</v>
      </c>
    </row>
    <row r="282">
      <c r="A282" s="1" t="s">
        <v>723</v>
      </c>
      <c r="B282" s="1" t="s">
        <v>511</v>
      </c>
      <c r="C282" s="1" t="s">
        <v>1064</v>
      </c>
      <c r="D282" s="3">
        <v>1.82</v>
      </c>
    </row>
    <row r="283">
      <c r="A283" s="1" t="s">
        <v>777</v>
      </c>
      <c r="B283" s="1" t="s">
        <v>617</v>
      </c>
      <c r="C283" s="1" t="s">
        <v>1065</v>
      </c>
      <c r="D283" s="3">
        <v>2.09</v>
      </c>
    </row>
    <row r="284">
      <c r="A284" s="1" t="s">
        <v>777</v>
      </c>
      <c r="B284" s="1" t="s">
        <v>617</v>
      </c>
      <c r="C284" s="1" t="s">
        <v>1066</v>
      </c>
      <c r="D284" s="3">
        <v>1.89</v>
      </c>
    </row>
    <row r="285">
      <c r="A285" s="1" t="s">
        <v>721</v>
      </c>
      <c r="B285" s="1" t="s">
        <v>147</v>
      </c>
      <c r="C285" s="1" t="s">
        <v>1067</v>
      </c>
      <c r="D285" s="3">
        <v>1.68</v>
      </c>
    </row>
    <row r="286">
      <c r="A286" s="1" t="s">
        <v>727</v>
      </c>
      <c r="B286" s="1" t="s">
        <v>532</v>
      </c>
      <c r="C286" s="1" t="s">
        <v>1068</v>
      </c>
      <c r="D286" s="3">
        <v>1.44</v>
      </c>
    </row>
    <row r="287">
      <c r="A287" s="1" t="s">
        <v>791</v>
      </c>
      <c r="B287" s="1" t="s">
        <v>253</v>
      </c>
      <c r="C287" s="1" t="s">
        <v>1069</v>
      </c>
      <c r="D287" s="3">
        <v>1.04</v>
      </c>
    </row>
    <row r="288">
      <c r="A288" s="1" t="s">
        <v>721</v>
      </c>
      <c r="B288" s="1" t="s">
        <v>147</v>
      </c>
      <c r="C288" s="1" t="s">
        <v>1070</v>
      </c>
      <c r="D288" s="3">
        <v>1.76</v>
      </c>
    </row>
    <row r="289">
      <c r="A289" s="1" t="s">
        <v>735</v>
      </c>
      <c r="B289" s="1" t="s">
        <v>680</v>
      </c>
      <c r="C289" s="1" t="s">
        <v>1071</v>
      </c>
      <c r="D289" s="3">
        <v>1.11</v>
      </c>
    </row>
    <row r="290">
      <c r="A290" s="1" t="s">
        <v>884</v>
      </c>
      <c r="B290" s="1" t="s">
        <v>671</v>
      </c>
      <c r="C290" s="1" t="s">
        <v>1072</v>
      </c>
      <c r="D290" s="3">
        <v>1.47</v>
      </c>
    </row>
    <row r="291">
      <c r="A291" s="1" t="s">
        <v>733</v>
      </c>
      <c r="B291" s="1" t="s">
        <v>300</v>
      </c>
      <c r="C291" s="1" t="s">
        <v>1073</v>
      </c>
      <c r="D291" s="3">
        <v>1.49</v>
      </c>
    </row>
    <row r="292">
      <c r="A292" s="1" t="s">
        <v>721</v>
      </c>
      <c r="B292" s="1" t="s">
        <v>147</v>
      </c>
      <c r="C292" s="1" t="s">
        <v>1074</v>
      </c>
      <c r="D292" s="3">
        <v>1.63</v>
      </c>
    </row>
    <row r="293">
      <c r="A293" s="1" t="s">
        <v>798</v>
      </c>
      <c r="B293" s="1" t="s">
        <v>224</v>
      </c>
      <c r="C293" s="1" t="s">
        <v>1075</v>
      </c>
      <c r="D293" s="3">
        <v>1.82</v>
      </c>
    </row>
    <row r="294">
      <c r="A294" s="1" t="s">
        <v>733</v>
      </c>
      <c r="B294" s="1" t="s">
        <v>300</v>
      </c>
      <c r="C294" s="1" t="s">
        <v>1076</v>
      </c>
      <c r="D294" s="3">
        <v>1.06</v>
      </c>
    </row>
    <row r="295">
      <c r="A295" s="1" t="s">
        <v>725</v>
      </c>
      <c r="B295" s="1" t="s">
        <v>227</v>
      </c>
      <c r="C295" s="1" t="s">
        <v>1077</v>
      </c>
      <c r="D295" s="3">
        <v>1.5</v>
      </c>
    </row>
    <row r="296">
      <c r="A296" s="1" t="s">
        <v>746</v>
      </c>
      <c r="B296" s="1" t="s">
        <v>505</v>
      </c>
      <c r="C296" s="1" t="s">
        <v>1078</v>
      </c>
      <c r="D296" s="3">
        <v>1.64</v>
      </c>
    </row>
    <row r="297">
      <c r="A297" s="1" t="s">
        <v>884</v>
      </c>
      <c r="B297" s="1" t="s">
        <v>671</v>
      </c>
      <c r="C297" s="1" t="s">
        <v>1079</v>
      </c>
      <c r="D297" s="3">
        <v>1.55</v>
      </c>
    </row>
    <row r="298">
      <c r="A298" s="1" t="s">
        <v>721</v>
      </c>
      <c r="B298" s="1" t="s">
        <v>147</v>
      </c>
      <c r="C298" s="1" t="s">
        <v>1080</v>
      </c>
      <c r="D298" s="3">
        <v>1.53</v>
      </c>
    </row>
    <row r="299">
      <c r="A299" s="1" t="s">
        <v>740</v>
      </c>
      <c r="B299" s="1" t="s">
        <v>508</v>
      </c>
      <c r="C299" s="1" t="s">
        <v>1081</v>
      </c>
      <c r="D299" s="3">
        <v>0.95</v>
      </c>
    </row>
    <row r="300">
      <c r="A300" s="1" t="s">
        <v>1082</v>
      </c>
      <c r="B300" s="1" t="s">
        <v>72</v>
      </c>
      <c r="C300" s="1" t="s">
        <v>1083</v>
      </c>
      <c r="D300" s="3">
        <v>1.44</v>
      </c>
    </row>
    <row r="301">
      <c r="A301" s="1" t="s">
        <v>723</v>
      </c>
      <c r="B301" s="1" t="s">
        <v>511</v>
      </c>
      <c r="C301" s="1" t="s">
        <v>1084</v>
      </c>
      <c r="D301" s="3">
        <v>0.93</v>
      </c>
    </row>
    <row r="302">
      <c r="A302" s="1" t="s">
        <v>721</v>
      </c>
      <c r="B302" s="1" t="s">
        <v>147</v>
      </c>
      <c r="C302" s="1" t="s">
        <v>1085</v>
      </c>
      <c r="D302" s="3">
        <v>0.96</v>
      </c>
    </row>
    <row r="303">
      <c r="A303" s="1" t="s">
        <v>721</v>
      </c>
      <c r="B303" s="1" t="s">
        <v>147</v>
      </c>
      <c r="C303" s="1" t="s">
        <v>1086</v>
      </c>
      <c r="D303" s="3">
        <v>1.75</v>
      </c>
    </row>
    <row r="304">
      <c r="A304" s="1" t="s">
        <v>763</v>
      </c>
      <c r="B304" s="1" t="s">
        <v>327</v>
      </c>
      <c r="C304" s="1" t="s">
        <v>1087</v>
      </c>
      <c r="D304" s="3">
        <v>1.81</v>
      </c>
    </row>
    <row r="305">
      <c r="A305" s="1" t="s">
        <v>725</v>
      </c>
      <c r="B305" s="1" t="s">
        <v>227</v>
      </c>
      <c r="C305" s="1" t="s">
        <v>1088</v>
      </c>
      <c r="D305" s="3">
        <v>2.24</v>
      </c>
    </row>
    <row r="306">
      <c r="A306" s="1" t="s">
        <v>733</v>
      </c>
      <c r="B306" s="1" t="s">
        <v>300</v>
      </c>
      <c r="C306" s="1" t="s">
        <v>1089</v>
      </c>
      <c r="D306" s="3">
        <v>1.09</v>
      </c>
    </row>
    <row r="307">
      <c r="A307" s="1" t="s">
        <v>733</v>
      </c>
      <c r="B307" s="1" t="s">
        <v>300</v>
      </c>
      <c r="C307" s="1" t="s">
        <v>1090</v>
      </c>
      <c r="D307" s="3">
        <v>2.12</v>
      </c>
    </row>
    <row r="308">
      <c r="A308" s="1" t="s">
        <v>1091</v>
      </c>
      <c r="B308" s="1" t="s">
        <v>466</v>
      </c>
      <c r="C308" s="1" t="s">
        <v>1092</v>
      </c>
      <c r="D308" s="3">
        <v>1.57</v>
      </c>
    </row>
    <row r="309">
      <c r="A309" s="1" t="s">
        <v>1082</v>
      </c>
      <c r="B309" s="1" t="s">
        <v>72</v>
      </c>
      <c r="C309" s="1" t="s">
        <v>1093</v>
      </c>
      <c r="D309" s="3">
        <v>1.42</v>
      </c>
    </row>
    <row r="310">
      <c r="A310" s="1" t="s">
        <v>740</v>
      </c>
      <c r="B310" s="1" t="s">
        <v>508</v>
      </c>
      <c r="C310" s="1" t="s">
        <v>1094</v>
      </c>
      <c r="D310" s="3">
        <v>1.72</v>
      </c>
    </row>
    <row r="311">
      <c r="A311" s="1" t="s">
        <v>733</v>
      </c>
      <c r="B311" s="1" t="s">
        <v>300</v>
      </c>
      <c r="C311" s="1" t="s">
        <v>1095</v>
      </c>
      <c r="D311" s="3">
        <v>1.62</v>
      </c>
    </row>
    <row r="312">
      <c r="A312" s="1" t="s">
        <v>806</v>
      </c>
      <c r="B312" s="1" t="s">
        <v>635</v>
      </c>
      <c r="C312" s="1" t="s">
        <v>1096</v>
      </c>
      <c r="D312" s="3">
        <v>1.84</v>
      </c>
    </row>
    <row r="313">
      <c r="A313" s="1" t="s">
        <v>779</v>
      </c>
      <c r="B313" s="1" t="s">
        <v>700</v>
      </c>
      <c r="C313" s="1" t="s">
        <v>1097</v>
      </c>
      <c r="D313" s="3">
        <v>1.46</v>
      </c>
    </row>
    <row r="314">
      <c r="A314" s="1" t="s">
        <v>721</v>
      </c>
      <c r="B314" s="1" t="s">
        <v>147</v>
      </c>
      <c r="C314" s="1" t="s">
        <v>1098</v>
      </c>
      <c r="D314" s="3">
        <v>1.82</v>
      </c>
    </row>
    <row r="315">
      <c r="A315" s="1" t="s">
        <v>782</v>
      </c>
      <c r="B315" s="1" t="s">
        <v>413</v>
      </c>
      <c r="C315" s="1" t="s">
        <v>790</v>
      </c>
      <c r="D315" s="3">
        <v>1.55</v>
      </c>
    </row>
    <row r="316">
      <c r="A316" s="1" t="s">
        <v>733</v>
      </c>
      <c r="B316" s="1" t="s">
        <v>300</v>
      </c>
      <c r="C316" s="1" t="s">
        <v>1099</v>
      </c>
      <c r="D316" s="3">
        <v>1.78</v>
      </c>
    </row>
    <row r="317">
      <c r="A317" s="1" t="s">
        <v>1100</v>
      </c>
      <c r="B317" s="1" t="s">
        <v>153</v>
      </c>
      <c r="C317" s="1" t="s">
        <v>1101</v>
      </c>
      <c r="D317" s="3">
        <v>1.58</v>
      </c>
    </row>
    <row r="318">
      <c r="A318" s="1" t="s">
        <v>721</v>
      </c>
      <c r="B318" s="1" t="s">
        <v>147</v>
      </c>
      <c r="C318" s="1" t="s">
        <v>1102</v>
      </c>
      <c r="D318" s="3">
        <v>1.04</v>
      </c>
    </row>
    <row r="319">
      <c r="A319" s="1" t="s">
        <v>942</v>
      </c>
      <c r="B319" s="1" t="s">
        <v>150</v>
      </c>
      <c r="C319" s="1" t="s">
        <v>1103</v>
      </c>
      <c r="D319" s="3">
        <v>2.11</v>
      </c>
    </row>
    <row r="320">
      <c r="A320" s="1" t="s">
        <v>740</v>
      </c>
      <c r="B320" s="1" t="s">
        <v>508</v>
      </c>
      <c r="C320" s="1" t="s">
        <v>1104</v>
      </c>
      <c r="D320" s="3">
        <v>0.92</v>
      </c>
    </row>
    <row r="321">
      <c r="A321" s="1" t="s">
        <v>1091</v>
      </c>
      <c r="B321" s="1" t="s">
        <v>466</v>
      </c>
      <c r="C321" s="1" t="s">
        <v>1105</v>
      </c>
      <c r="D321" s="3">
        <v>1.26</v>
      </c>
    </row>
    <row r="322">
      <c r="A322" s="1" t="s">
        <v>740</v>
      </c>
      <c r="B322" s="1" t="s">
        <v>508</v>
      </c>
      <c r="C322" s="1" t="s">
        <v>1106</v>
      </c>
      <c r="D322" s="3">
        <v>0.91</v>
      </c>
    </row>
    <row r="323">
      <c r="A323" s="1" t="s">
        <v>1107</v>
      </c>
      <c r="B323" s="1" t="s">
        <v>283</v>
      </c>
      <c r="C323" s="1" t="s">
        <v>1108</v>
      </c>
      <c r="D323" s="3">
        <v>0.87</v>
      </c>
    </row>
    <row r="324">
      <c r="A324" s="1" t="s">
        <v>721</v>
      </c>
      <c r="B324" s="1" t="s">
        <v>147</v>
      </c>
      <c r="C324" s="1" t="s">
        <v>1109</v>
      </c>
      <c r="D324" s="3">
        <v>1.39</v>
      </c>
    </row>
    <row r="325">
      <c r="A325" s="1" t="s">
        <v>727</v>
      </c>
      <c r="B325" s="1" t="s">
        <v>532</v>
      </c>
      <c r="C325" s="1" t="s">
        <v>1110</v>
      </c>
      <c r="D325" s="3">
        <v>2.18</v>
      </c>
    </row>
    <row r="326">
      <c r="A326" s="1" t="s">
        <v>793</v>
      </c>
      <c r="B326" s="1" t="s">
        <v>114</v>
      </c>
      <c r="C326" s="1" t="s">
        <v>1111</v>
      </c>
      <c r="D326" s="3">
        <v>1.58</v>
      </c>
    </row>
    <row r="327">
      <c r="A327" s="1" t="s">
        <v>727</v>
      </c>
      <c r="B327" s="1" t="s">
        <v>532</v>
      </c>
      <c r="C327" s="1" t="s">
        <v>1112</v>
      </c>
      <c r="D327" s="3">
        <v>1.52</v>
      </c>
    </row>
    <row r="328">
      <c r="A328" s="1" t="s">
        <v>727</v>
      </c>
      <c r="B328" s="1" t="s">
        <v>532</v>
      </c>
      <c r="C328" s="1" t="s">
        <v>1113</v>
      </c>
      <c r="D328" s="3">
        <v>1.86</v>
      </c>
    </row>
    <row r="329">
      <c r="A329" s="1" t="s">
        <v>723</v>
      </c>
      <c r="B329" s="1" t="s">
        <v>511</v>
      </c>
      <c r="C329" s="1" t="s">
        <v>1114</v>
      </c>
      <c r="D329" s="3">
        <v>0.95</v>
      </c>
    </row>
    <row r="330">
      <c r="A330" s="1" t="s">
        <v>721</v>
      </c>
      <c r="B330" s="1" t="s">
        <v>147</v>
      </c>
      <c r="C330" s="1" t="s">
        <v>1115</v>
      </c>
      <c r="D330" s="3">
        <v>1.85</v>
      </c>
    </row>
    <row r="331">
      <c r="A331" s="1" t="s">
        <v>721</v>
      </c>
      <c r="B331" s="1" t="s">
        <v>147</v>
      </c>
      <c r="C331" s="1" t="s">
        <v>1116</v>
      </c>
      <c r="D331" s="3">
        <v>1.77</v>
      </c>
    </row>
    <row r="332">
      <c r="A332" s="1" t="s">
        <v>754</v>
      </c>
      <c r="B332" s="1" t="s">
        <v>47</v>
      </c>
      <c r="C332" s="1" t="s">
        <v>1117</v>
      </c>
      <c r="D332" s="3">
        <v>1.11</v>
      </c>
    </row>
    <row r="333">
      <c r="A333" s="1" t="s">
        <v>721</v>
      </c>
      <c r="B333" s="1" t="s">
        <v>147</v>
      </c>
      <c r="C333" s="1" t="s">
        <v>1118</v>
      </c>
      <c r="D333" s="3">
        <v>1.15</v>
      </c>
    </row>
    <row r="334">
      <c r="A334" s="1" t="s">
        <v>721</v>
      </c>
      <c r="B334" s="1" t="s">
        <v>147</v>
      </c>
      <c r="C334" s="1" t="s">
        <v>1119</v>
      </c>
      <c r="D334" s="3">
        <v>1.79</v>
      </c>
    </row>
    <row r="335">
      <c r="A335" s="1" t="s">
        <v>729</v>
      </c>
      <c r="B335" s="1" t="s">
        <v>514</v>
      </c>
      <c r="C335" s="1" t="s">
        <v>1120</v>
      </c>
      <c r="D335" s="3">
        <v>2.13</v>
      </c>
    </row>
    <row r="336">
      <c r="A336" s="1" t="s">
        <v>806</v>
      </c>
      <c r="B336" s="1" t="s">
        <v>635</v>
      </c>
      <c r="C336" s="1" t="s">
        <v>1121</v>
      </c>
      <c r="D336" s="3">
        <v>1.61</v>
      </c>
    </row>
    <row r="337">
      <c r="A337" s="1" t="s">
        <v>748</v>
      </c>
      <c r="B337" s="1" t="s">
        <v>129</v>
      </c>
      <c r="C337" s="1" t="s">
        <v>1122</v>
      </c>
      <c r="D337" s="3">
        <v>0.89</v>
      </c>
    </row>
    <row r="338">
      <c r="A338" s="1" t="s">
        <v>1091</v>
      </c>
      <c r="B338" s="1" t="s">
        <v>466</v>
      </c>
      <c r="C338" s="1" t="s">
        <v>1123</v>
      </c>
      <c r="D338" s="3">
        <v>2.2</v>
      </c>
    </row>
    <row r="339">
      <c r="A339" s="1" t="s">
        <v>733</v>
      </c>
      <c r="B339" s="1" t="s">
        <v>300</v>
      </c>
      <c r="C339" s="1" t="s">
        <v>1124</v>
      </c>
      <c r="D339" s="3">
        <v>1.04</v>
      </c>
    </row>
    <row r="340">
      <c r="A340" s="1" t="s">
        <v>727</v>
      </c>
      <c r="B340" s="1" t="s">
        <v>532</v>
      </c>
      <c r="C340" s="1" t="s">
        <v>1125</v>
      </c>
      <c r="D340" s="3">
        <v>1.93</v>
      </c>
    </row>
    <row r="341">
      <c r="A341" s="1" t="s">
        <v>729</v>
      </c>
      <c r="B341" s="1" t="s">
        <v>514</v>
      </c>
      <c r="C341" s="1" t="s">
        <v>1126</v>
      </c>
      <c r="D341" s="3">
        <v>1.69</v>
      </c>
    </row>
    <row r="342">
      <c r="A342" s="1" t="s">
        <v>779</v>
      </c>
      <c r="B342" s="1" t="s">
        <v>700</v>
      </c>
      <c r="C342" s="1" t="s">
        <v>1127</v>
      </c>
      <c r="D342" s="3">
        <v>1.22</v>
      </c>
    </row>
    <row r="343">
      <c r="A343" s="1" t="s">
        <v>1128</v>
      </c>
      <c r="B343" s="1" t="s">
        <v>303</v>
      </c>
      <c r="C343" s="1" t="s">
        <v>1129</v>
      </c>
      <c r="D343" s="3">
        <v>1.68</v>
      </c>
    </row>
    <row r="344">
      <c r="A344" s="1" t="s">
        <v>904</v>
      </c>
      <c r="B344" s="1" t="s">
        <v>653</v>
      </c>
      <c r="C344" s="1" t="s">
        <v>1130</v>
      </c>
      <c r="D344" s="3">
        <v>1.29</v>
      </c>
    </row>
    <row r="345">
      <c r="A345" s="1" t="s">
        <v>769</v>
      </c>
      <c r="B345" s="1" t="s">
        <v>105</v>
      </c>
      <c r="C345" s="1" t="s">
        <v>1131</v>
      </c>
      <c r="D345" s="3">
        <v>1.88</v>
      </c>
    </row>
    <row r="346">
      <c r="A346" s="1" t="s">
        <v>782</v>
      </c>
      <c r="B346" s="1" t="s">
        <v>413</v>
      </c>
      <c r="C346" s="1" t="s">
        <v>1132</v>
      </c>
      <c r="D346" s="3">
        <v>1.65</v>
      </c>
    </row>
    <row r="347">
      <c r="A347" s="1" t="s">
        <v>1133</v>
      </c>
      <c r="B347" s="1" t="s">
        <v>395</v>
      </c>
      <c r="C347" s="1" t="s">
        <v>1134</v>
      </c>
      <c r="D347" s="3">
        <v>1.12</v>
      </c>
    </row>
    <row r="348">
      <c r="A348" s="1" t="s">
        <v>769</v>
      </c>
      <c r="B348" s="1" t="s">
        <v>105</v>
      </c>
      <c r="C348" s="1" t="s">
        <v>1135</v>
      </c>
      <c r="D348" s="3">
        <v>1.26</v>
      </c>
    </row>
    <row r="349">
      <c r="A349" s="1" t="s">
        <v>884</v>
      </c>
      <c r="B349" s="1" t="s">
        <v>671</v>
      </c>
      <c r="C349" s="1" t="s">
        <v>1136</v>
      </c>
      <c r="D349" s="3">
        <v>2.04</v>
      </c>
    </row>
    <row r="350">
      <c r="A350" s="1" t="s">
        <v>1137</v>
      </c>
      <c r="B350" s="1" t="s">
        <v>520</v>
      </c>
      <c r="C350" s="1" t="s">
        <v>1138</v>
      </c>
      <c r="D350" s="3">
        <v>1.31</v>
      </c>
    </row>
    <row r="351">
      <c r="A351" s="1" t="s">
        <v>798</v>
      </c>
      <c r="B351" s="1" t="s">
        <v>224</v>
      </c>
      <c r="C351" s="1" t="s">
        <v>1139</v>
      </c>
      <c r="D351" s="3">
        <v>1.58</v>
      </c>
    </row>
    <row r="352">
      <c r="A352" s="1" t="s">
        <v>740</v>
      </c>
      <c r="B352" s="1" t="s">
        <v>508</v>
      </c>
      <c r="C352" s="1" t="s">
        <v>1140</v>
      </c>
      <c r="D352" s="3">
        <v>1.63</v>
      </c>
    </row>
    <row r="353">
      <c r="A353" s="1" t="s">
        <v>725</v>
      </c>
      <c r="B353" s="1" t="s">
        <v>227</v>
      </c>
      <c r="C353" s="1" t="s">
        <v>1141</v>
      </c>
      <c r="D353" s="3">
        <v>1.27</v>
      </c>
    </row>
    <row r="354">
      <c r="A354" s="1" t="s">
        <v>740</v>
      </c>
      <c r="B354" s="1" t="s">
        <v>508</v>
      </c>
      <c r="C354" s="1" t="s">
        <v>1142</v>
      </c>
      <c r="D354" s="3">
        <v>2.24</v>
      </c>
    </row>
    <row r="355">
      <c r="A355" s="1" t="s">
        <v>1143</v>
      </c>
      <c r="B355" s="1" t="s">
        <v>144</v>
      </c>
      <c r="C355" s="1" t="s">
        <v>1144</v>
      </c>
      <c r="D355" s="3">
        <v>1.62</v>
      </c>
    </row>
    <row r="356">
      <c r="A356" s="1" t="s">
        <v>721</v>
      </c>
      <c r="B356" s="1" t="s">
        <v>147</v>
      </c>
      <c r="C356" s="1" t="s">
        <v>1145</v>
      </c>
      <c r="D356" s="3">
        <v>1.69</v>
      </c>
    </row>
    <row r="357">
      <c r="A357" s="1" t="s">
        <v>1100</v>
      </c>
      <c r="B357" s="1" t="s">
        <v>153</v>
      </c>
      <c r="C357" s="1" t="s">
        <v>1146</v>
      </c>
      <c r="D357" s="3">
        <v>1.73</v>
      </c>
    </row>
    <row r="358">
      <c r="A358" s="1" t="s">
        <v>723</v>
      </c>
      <c r="B358" s="1" t="s">
        <v>511</v>
      </c>
      <c r="C358" s="1" t="s">
        <v>1147</v>
      </c>
      <c r="D358" s="3">
        <v>2.11</v>
      </c>
    </row>
    <row r="359">
      <c r="A359" s="1" t="s">
        <v>777</v>
      </c>
      <c r="B359" s="1" t="s">
        <v>617</v>
      </c>
      <c r="C359" s="1" t="s">
        <v>1148</v>
      </c>
      <c r="D359" s="3">
        <v>1.27</v>
      </c>
    </row>
    <row r="360">
      <c r="A360" s="1" t="s">
        <v>721</v>
      </c>
      <c r="B360" s="1" t="s">
        <v>147</v>
      </c>
      <c r="C360" s="1" t="s">
        <v>1149</v>
      </c>
      <c r="D360" s="3">
        <v>1.1</v>
      </c>
    </row>
    <row r="361">
      <c r="A361" s="1" t="s">
        <v>740</v>
      </c>
      <c r="B361" s="1" t="s">
        <v>508</v>
      </c>
      <c r="C361" s="1" t="s">
        <v>1150</v>
      </c>
      <c r="D361" s="3">
        <v>1.62</v>
      </c>
    </row>
    <row r="362">
      <c r="A362" s="1" t="s">
        <v>727</v>
      </c>
      <c r="B362" s="1" t="s">
        <v>532</v>
      </c>
      <c r="C362" s="1" t="s">
        <v>1151</v>
      </c>
      <c r="D362" s="3">
        <v>1.64</v>
      </c>
    </row>
    <row r="363">
      <c r="A363" s="1" t="s">
        <v>1152</v>
      </c>
      <c r="B363" s="1" t="s">
        <v>336</v>
      </c>
      <c r="C363" s="1" t="s">
        <v>1153</v>
      </c>
      <c r="D363" s="3">
        <v>1.36</v>
      </c>
    </row>
    <row r="364">
      <c r="A364" s="1" t="s">
        <v>721</v>
      </c>
      <c r="B364" s="1" t="s">
        <v>147</v>
      </c>
      <c r="C364" s="1" t="s">
        <v>1154</v>
      </c>
      <c r="D364" s="3">
        <v>1.84</v>
      </c>
    </row>
    <row r="365">
      <c r="A365" s="1" t="s">
        <v>733</v>
      </c>
      <c r="B365" s="1" t="s">
        <v>300</v>
      </c>
      <c r="C365" s="1" t="s">
        <v>1155</v>
      </c>
      <c r="D365" s="3">
        <v>1.07</v>
      </c>
    </row>
    <row r="366">
      <c r="A366" s="1" t="s">
        <v>878</v>
      </c>
      <c r="B366" s="1" t="s">
        <v>96</v>
      </c>
      <c r="C366" s="1" t="s">
        <v>1156</v>
      </c>
      <c r="D366" s="3">
        <v>2.08</v>
      </c>
    </row>
    <row r="367">
      <c r="A367" s="1" t="s">
        <v>1157</v>
      </c>
      <c r="B367" s="1" t="s">
        <v>197</v>
      </c>
      <c r="C367" s="1" t="s">
        <v>1158</v>
      </c>
      <c r="D367" s="3">
        <v>1.02</v>
      </c>
    </row>
    <row r="368">
      <c r="A368" s="1" t="s">
        <v>740</v>
      </c>
      <c r="B368" s="1" t="s">
        <v>508</v>
      </c>
      <c r="C368" s="1" t="s">
        <v>1159</v>
      </c>
      <c r="D368" s="3">
        <v>1.19</v>
      </c>
    </row>
    <row r="369">
      <c r="A369" s="1" t="s">
        <v>740</v>
      </c>
      <c r="B369" s="1" t="s">
        <v>508</v>
      </c>
      <c r="C369" s="1" t="s">
        <v>1160</v>
      </c>
      <c r="D369" s="3">
        <v>1.99</v>
      </c>
    </row>
    <row r="370">
      <c r="A370" s="1" t="s">
        <v>723</v>
      </c>
      <c r="B370" s="1" t="s">
        <v>511</v>
      </c>
      <c r="C370" s="1" t="s">
        <v>1161</v>
      </c>
      <c r="D370" s="3">
        <v>1.34</v>
      </c>
    </row>
    <row r="371">
      <c r="A371" s="1" t="s">
        <v>740</v>
      </c>
      <c r="B371" s="1" t="s">
        <v>508</v>
      </c>
      <c r="C371" s="1" t="s">
        <v>1162</v>
      </c>
      <c r="D371" s="3">
        <v>1.79</v>
      </c>
    </row>
    <row r="372">
      <c r="A372" s="1" t="s">
        <v>1163</v>
      </c>
      <c r="B372" s="1" t="s">
        <v>132</v>
      </c>
      <c r="C372" s="1" t="s">
        <v>1164</v>
      </c>
      <c r="D372" s="3">
        <v>1.13</v>
      </c>
    </row>
    <row r="373">
      <c r="A373" s="1" t="s">
        <v>733</v>
      </c>
      <c r="B373" s="1" t="s">
        <v>300</v>
      </c>
      <c r="C373" s="1" t="s">
        <v>1165</v>
      </c>
      <c r="D373" s="3">
        <v>1.64</v>
      </c>
    </row>
    <row r="374">
      <c r="A374" s="1" t="s">
        <v>793</v>
      </c>
      <c r="B374" s="1" t="s">
        <v>114</v>
      </c>
      <c r="C374" s="1" t="s">
        <v>1166</v>
      </c>
      <c r="D374" s="3">
        <v>1.31</v>
      </c>
    </row>
    <row r="375">
      <c r="A375" s="1" t="s">
        <v>721</v>
      </c>
      <c r="B375" s="1" t="s">
        <v>147</v>
      </c>
      <c r="C375" s="1" t="s">
        <v>1167</v>
      </c>
      <c r="D375" s="3">
        <v>1.59</v>
      </c>
    </row>
    <row r="376">
      <c r="A376" s="1" t="s">
        <v>721</v>
      </c>
      <c r="B376" s="1" t="s">
        <v>147</v>
      </c>
      <c r="C376" s="1" t="s">
        <v>1168</v>
      </c>
      <c r="D376" s="3">
        <v>2.19</v>
      </c>
    </row>
    <row r="377">
      <c r="A377" s="1" t="s">
        <v>763</v>
      </c>
      <c r="B377" s="1" t="s">
        <v>327</v>
      </c>
      <c r="C377" s="1" t="s">
        <v>1169</v>
      </c>
      <c r="D377" s="3">
        <v>1.48</v>
      </c>
    </row>
    <row r="378">
      <c r="A378" s="1" t="s">
        <v>721</v>
      </c>
      <c r="B378" s="1" t="s">
        <v>147</v>
      </c>
      <c r="C378" s="1" t="s">
        <v>1170</v>
      </c>
      <c r="D378" s="3">
        <v>2.08</v>
      </c>
    </row>
    <row r="379">
      <c r="A379" s="1" t="s">
        <v>791</v>
      </c>
      <c r="B379" s="1" t="s">
        <v>253</v>
      </c>
      <c r="C379" s="1" t="s">
        <v>1171</v>
      </c>
      <c r="D379" s="3">
        <v>1.63</v>
      </c>
    </row>
    <row r="380">
      <c r="A380" s="1" t="s">
        <v>746</v>
      </c>
      <c r="B380" s="1" t="s">
        <v>505</v>
      </c>
      <c r="C380" s="1" t="s">
        <v>1172</v>
      </c>
      <c r="D380" s="3">
        <v>1.13</v>
      </c>
    </row>
    <row r="381">
      <c r="A381" s="1" t="s">
        <v>925</v>
      </c>
      <c r="B381" s="1" t="s">
        <v>51</v>
      </c>
      <c r="C381" s="1" t="s">
        <v>1173</v>
      </c>
      <c r="D381" s="3">
        <v>2.0</v>
      </c>
    </row>
    <row r="382">
      <c r="A382" s="1" t="s">
        <v>878</v>
      </c>
      <c r="B382" s="1" t="s">
        <v>96</v>
      </c>
      <c r="C382" s="1" t="s">
        <v>1174</v>
      </c>
      <c r="D382" s="3">
        <v>0.9</v>
      </c>
    </row>
    <row r="383">
      <c r="A383" s="1" t="s">
        <v>721</v>
      </c>
      <c r="B383" s="1" t="s">
        <v>147</v>
      </c>
      <c r="C383" s="1" t="s">
        <v>1175</v>
      </c>
      <c r="D383" s="3">
        <v>2.12</v>
      </c>
    </row>
    <row r="384">
      <c r="A384" s="1" t="s">
        <v>733</v>
      </c>
      <c r="B384" s="1" t="s">
        <v>300</v>
      </c>
      <c r="C384" s="1" t="s">
        <v>1176</v>
      </c>
      <c r="D384" s="3">
        <v>1.56</v>
      </c>
    </row>
    <row r="385">
      <c r="A385" s="1" t="s">
        <v>721</v>
      </c>
      <c r="B385" s="1" t="s">
        <v>147</v>
      </c>
      <c r="C385" s="1" t="s">
        <v>1177</v>
      </c>
      <c r="D385" s="3">
        <v>1.58</v>
      </c>
    </row>
    <row r="386">
      <c r="A386" s="1" t="s">
        <v>1178</v>
      </c>
      <c r="B386" s="1" t="s">
        <v>460</v>
      </c>
      <c r="C386" s="1" t="s">
        <v>1179</v>
      </c>
      <c r="D386" s="3">
        <v>1.56</v>
      </c>
    </row>
    <row r="387">
      <c r="A387" s="1" t="s">
        <v>748</v>
      </c>
      <c r="B387" s="1" t="s">
        <v>129</v>
      </c>
      <c r="C387" s="1" t="s">
        <v>1180</v>
      </c>
      <c r="D387" s="3">
        <v>1.02</v>
      </c>
    </row>
    <row r="388">
      <c r="A388" s="1" t="s">
        <v>782</v>
      </c>
      <c r="B388" s="1" t="s">
        <v>413</v>
      </c>
      <c r="C388" s="1" t="s">
        <v>1181</v>
      </c>
      <c r="D388" s="3">
        <v>2.15</v>
      </c>
    </row>
    <row r="389">
      <c r="A389" s="1" t="s">
        <v>748</v>
      </c>
      <c r="B389" s="1" t="s">
        <v>129</v>
      </c>
      <c r="C389" s="1" t="s">
        <v>1182</v>
      </c>
      <c r="D389" s="3">
        <v>2.14</v>
      </c>
    </row>
    <row r="390">
      <c r="A390" s="1" t="s">
        <v>721</v>
      </c>
      <c r="B390" s="1" t="s">
        <v>147</v>
      </c>
      <c r="C390" s="1" t="s">
        <v>1183</v>
      </c>
      <c r="D390" s="3">
        <v>0.9</v>
      </c>
    </row>
    <row r="391">
      <c r="A391" s="1" t="s">
        <v>806</v>
      </c>
      <c r="B391" s="1" t="s">
        <v>635</v>
      </c>
      <c r="C391" s="1" t="s">
        <v>1184</v>
      </c>
      <c r="D391" s="3">
        <v>0.97</v>
      </c>
    </row>
    <row r="392">
      <c r="A392" s="1" t="s">
        <v>729</v>
      </c>
      <c r="B392" s="1" t="s">
        <v>514</v>
      </c>
      <c r="C392" s="1" t="s">
        <v>1185</v>
      </c>
      <c r="D392" s="3">
        <v>2.18</v>
      </c>
    </row>
    <row r="393">
      <c r="A393" s="1" t="s">
        <v>727</v>
      </c>
      <c r="B393" s="1" t="s">
        <v>532</v>
      </c>
      <c r="C393" s="1" t="s">
        <v>1186</v>
      </c>
      <c r="D393" s="3">
        <v>0.93</v>
      </c>
    </row>
    <row r="394">
      <c r="A394" s="1" t="s">
        <v>727</v>
      </c>
      <c r="B394" s="1" t="s">
        <v>532</v>
      </c>
      <c r="C394" s="1" t="s">
        <v>1187</v>
      </c>
      <c r="D394" s="3">
        <v>2.15</v>
      </c>
    </row>
    <row r="395">
      <c r="A395" s="1" t="s">
        <v>735</v>
      </c>
      <c r="B395" s="1" t="s">
        <v>680</v>
      </c>
      <c r="C395" s="1" t="s">
        <v>1188</v>
      </c>
      <c r="D395" s="3">
        <v>1.47</v>
      </c>
    </row>
    <row r="396">
      <c r="A396" s="1" t="s">
        <v>917</v>
      </c>
      <c r="B396" s="1" t="s">
        <v>686</v>
      </c>
      <c r="C396" s="1" t="s">
        <v>1189</v>
      </c>
      <c r="D396" s="3">
        <v>1.16</v>
      </c>
    </row>
    <row r="397">
      <c r="A397" s="1" t="s">
        <v>1190</v>
      </c>
      <c r="B397" s="1" t="s">
        <v>587</v>
      </c>
      <c r="C397" s="1" t="s">
        <v>1191</v>
      </c>
      <c r="D397" s="3">
        <v>1.15</v>
      </c>
    </row>
    <row r="398">
      <c r="A398" s="1" t="s">
        <v>1192</v>
      </c>
      <c r="B398" s="1" t="s">
        <v>180</v>
      </c>
      <c r="C398" s="1" t="s">
        <v>1193</v>
      </c>
      <c r="D398" s="3">
        <v>0.87</v>
      </c>
    </row>
    <row r="399">
      <c r="A399" s="1" t="s">
        <v>727</v>
      </c>
      <c r="B399" s="1" t="s">
        <v>532</v>
      </c>
      <c r="C399" s="1" t="s">
        <v>1194</v>
      </c>
      <c r="D399" s="3">
        <v>1.29</v>
      </c>
    </row>
    <row r="400">
      <c r="A400" s="1" t="s">
        <v>884</v>
      </c>
      <c r="B400" s="1" t="s">
        <v>671</v>
      </c>
      <c r="C400" s="1" t="s">
        <v>1195</v>
      </c>
      <c r="D400" s="3">
        <v>2.14</v>
      </c>
    </row>
    <row r="401">
      <c r="A401" s="1" t="s">
        <v>769</v>
      </c>
      <c r="B401" s="1" t="s">
        <v>105</v>
      </c>
      <c r="C401" s="1" t="s">
        <v>1196</v>
      </c>
      <c r="D401" s="3">
        <v>1.52</v>
      </c>
    </row>
    <row r="402">
      <c r="A402" s="1" t="s">
        <v>777</v>
      </c>
      <c r="B402" s="1" t="s">
        <v>617</v>
      </c>
      <c r="C402" s="1" t="s">
        <v>1197</v>
      </c>
      <c r="D402" s="3">
        <v>1.85</v>
      </c>
    </row>
    <row r="403">
      <c r="A403" s="1" t="s">
        <v>1043</v>
      </c>
      <c r="B403" s="1" t="s">
        <v>632</v>
      </c>
      <c r="C403" s="1" t="s">
        <v>1198</v>
      </c>
      <c r="D403" s="3">
        <v>2.11</v>
      </c>
    </row>
    <row r="404">
      <c r="A404" s="1" t="s">
        <v>863</v>
      </c>
      <c r="B404" s="1" t="s">
        <v>162</v>
      </c>
      <c r="C404" s="1" t="s">
        <v>1199</v>
      </c>
      <c r="D404" s="3">
        <v>1.53</v>
      </c>
    </row>
    <row r="405">
      <c r="A405" s="1" t="s">
        <v>777</v>
      </c>
      <c r="B405" s="1" t="s">
        <v>617</v>
      </c>
      <c r="C405" s="1" t="s">
        <v>1200</v>
      </c>
      <c r="D405" s="3">
        <v>2.06</v>
      </c>
    </row>
    <row r="406">
      <c r="A406" s="1" t="s">
        <v>721</v>
      </c>
      <c r="B406" s="1" t="s">
        <v>147</v>
      </c>
      <c r="C406" s="1" t="s">
        <v>1201</v>
      </c>
      <c r="D406" s="3">
        <v>1.27</v>
      </c>
    </row>
    <row r="407">
      <c r="A407" s="1" t="s">
        <v>727</v>
      </c>
      <c r="B407" s="1" t="s">
        <v>532</v>
      </c>
      <c r="C407" s="1" t="s">
        <v>1202</v>
      </c>
      <c r="D407" s="3">
        <v>1.42</v>
      </c>
    </row>
    <row r="408">
      <c r="A408" s="1" t="s">
        <v>731</v>
      </c>
      <c r="B408" s="1" t="s">
        <v>78</v>
      </c>
      <c r="C408" s="1" t="s">
        <v>1203</v>
      </c>
      <c r="D408" s="3">
        <v>1.38</v>
      </c>
    </row>
    <row r="409">
      <c r="A409" s="1" t="s">
        <v>1128</v>
      </c>
      <c r="B409" s="1" t="s">
        <v>303</v>
      </c>
      <c r="C409" s="1" t="s">
        <v>1204</v>
      </c>
      <c r="D409" s="3">
        <v>1.0</v>
      </c>
    </row>
    <row r="410">
      <c r="A410" s="1" t="s">
        <v>1205</v>
      </c>
      <c r="B410" s="1" t="s">
        <v>354</v>
      </c>
      <c r="C410" s="1" t="s">
        <v>1206</v>
      </c>
      <c r="D410" s="3">
        <v>1.71</v>
      </c>
    </row>
    <row r="411">
      <c r="A411" s="1" t="s">
        <v>733</v>
      </c>
      <c r="B411" s="1" t="s">
        <v>300</v>
      </c>
      <c r="C411" s="1" t="s">
        <v>1207</v>
      </c>
      <c r="D411" s="3">
        <v>1.95</v>
      </c>
    </row>
    <row r="412">
      <c r="A412" s="1" t="s">
        <v>733</v>
      </c>
      <c r="B412" s="1" t="s">
        <v>300</v>
      </c>
      <c r="C412" s="1" t="s">
        <v>1208</v>
      </c>
      <c r="D412" s="3">
        <v>1.56</v>
      </c>
    </row>
    <row r="413">
      <c r="A413" s="1" t="s">
        <v>733</v>
      </c>
      <c r="B413" s="1" t="s">
        <v>300</v>
      </c>
      <c r="C413" s="1" t="s">
        <v>1209</v>
      </c>
      <c r="D413" s="3">
        <v>0.89</v>
      </c>
    </row>
    <row r="414">
      <c r="A414" s="1" t="s">
        <v>765</v>
      </c>
      <c r="B414" s="1" t="s">
        <v>174</v>
      </c>
      <c r="C414" s="1" t="s">
        <v>1210</v>
      </c>
      <c r="D414" s="3">
        <v>0.89</v>
      </c>
    </row>
    <row r="415">
      <c r="A415" s="1" t="s">
        <v>746</v>
      </c>
      <c r="B415" s="1" t="s">
        <v>505</v>
      </c>
      <c r="C415" s="1" t="s">
        <v>1211</v>
      </c>
      <c r="D415" s="3">
        <v>1.64</v>
      </c>
    </row>
    <row r="416">
      <c r="A416" s="1" t="s">
        <v>1049</v>
      </c>
      <c r="B416" s="1" t="s">
        <v>451</v>
      </c>
      <c r="C416" s="1" t="s">
        <v>1212</v>
      </c>
      <c r="D416" s="3">
        <v>1.01</v>
      </c>
    </row>
    <row r="417">
      <c r="A417" s="1" t="s">
        <v>733</v>
      </c>
      <c r="B417" s="1" t="s">
        <v>300</v>
      </c>
      <c r="C417" s="1" t="s">
        <v>1213</v>
      </c>
      <c r="D417" s="3">
        <v>1.17</v>
      </c>
    </row>
    <row r="418">
      <c r="A418" s="1" t="s">
        <v>723</v>
      </c>
      <c r="B418" s="1" t="s">
        <v>511</v>
      </c>
      <c r="C418" s="1" t="s">
        <v>1214</v>
      </c>
      <c r="D418" s="3">
        <v>2.05</v>
      </c>
    </row>
    <row r="419">
      <c r="A419" s="1" t="s">
        <v>740</v>
      </c>
      <c r="B419" s="1" t="s">
        <v>508</v>
      </c>
      <c r="C419" s="1" t="s">
        <v>1215</v>
      </c>
      <c r="D419" s="3">
        <v>1.37</v>
      </c>
    </row>
    <row r="420">
      <c r="A420" s="1" t="s">
        <v>942</v>
      </c>
      <c r="B420" s="1" t="s">
        <v>150</v>
      </c>
      <c r="C420" s="1" t="s">
        <v>1216</v>
      </c>
      <c r="D420" s="3">
        <v>1.39</v>
      </c>
    </row>
    <row r="421">
      <c r="A421" s="1" t="s">
        <v>727</v>
      </c>
      <c r="B421" s="1" t="s">
        <v>532</v>
      </c>
      <c r="C421" s="1" t="s">
        <v>1217</v>
      </c>
      <c r="D421" s="3">
        <v>1.03</v>
      </c>
    </row>
    <row r="422">
      <c r="A422" s="1" t="s">
        <v>721</v>
      </c>
      <c r="B422" s="1" t="s">
        <v>147</v>
      </c>
      <c r="C422" s="1" t="s">
        <v>1218</v>
      </c>
      <c r="D422" s="3">
        <v>1.45</v>
      </c>
    </row>
    <row r="423">
      <c r="A423" s="1" t="s">
        <v>1128</v>
      </c>
      <c r="B423" s="1" t="s">
        <v>303</v>
      </c>
      <c r="C423" s="1" t="s">
        <v>1219</v>
      </c>
      <c r="D423" s="3">
        <v>1.18</v>
      </c>
    </row>
    <row r="424">
      <c r="A424" s="1" t="s">
        <v>733</v>
      </c>
      <c r="B424" s="1" t="s">
        <v>300</v>
      </c>
      <c r="C424" s="1" t="s">
        <v>1220</v>
      </c>
      <c r="D424" s="3">
        <v>2.0</v>
      </c>
    </row>
    <row r="425">
      <c r="A425" s="1" t="s">
        <v>733</v>
      </c>
      <c r="B425" s="1" t="s">
        <v>300</v>
      </c>
      <c r="C425" s="1" t="s">
        <v>1221</v>
      </c>
      <c r="D425" s="3">
        <v>1.64</v>
      </c>
    </row>
    <row r="426">
      <c r="A426" s="1" t="s">
        <v>733</v>
      </c>
      <c r="B426" s="1" t="s">
        <v>300</v>
      </c>
      <c r="C426" s="1" t="s">
        <v>1222</v>
      </c>
      <c r="D426" s="3">
        <v>1.61</v>
      </c>
    </row>
    <row r="427">
      <c r="A427" s="1" t="s">
        <v>769</v>
      </c>
      <c r="B427" s="1" t="s">
        <v>105</v>
      </c>
      <c r="C427" s="1" t="s">
        <v>1223</v>
      </c>
      <c r="D427" s="3">
        <v>1.84</v>
      </c>
    </row>
    <row r="428">
      <c r="A428" s="1" t="s">
        <v>725</v>
      </c>
      <c r="B428" s="1" t="s">
        <v>227</v>
      </c>
      <c r="C428" s="1" t="s">
        <v>1224</v>
      </c>
      <c r="D428" s="3">
        <v>1.05</v>
      </c>
    </row>
    <row r="429">
      <c r="A429" s="1" t="s">
        <v>1225</v>
      </c>
      <c r="B429" s="1" t="s">
        <v>30</v>
      </c>
      <c r="C429" s="1" t="s">
        <v>1226</v>
      </c>
      <c r="D429" s="3">
        <v>1.89</v>
      </c>
    </row>
    <row r="430">
      <c r="A430" s="1" t="s">
        <v>798</v>
      </c>
      <c r="B430" s="1" t="s">
        <v>224</v>
      </c>
      <c r="C430" s="1" t="s">
        <v>1227</v>
      </c>
      <c r="D430" s="3">
        <v>2.05</v>
      </c>
    </row>
    <row r="431">
      <c r="A431" s="1" t="s">
        <v>1228</v>
      </c>
      <c r="B431" s="1" t="s">
        <v>102</v>
      </c>
      <c r="C431" s="1" t="s">
        <v>1229</v>
      </c>
      <c r="D431" s="3">
        <v>2.07</v>
      </c>
    </row>
    <row r="432">
      <c r="A432" s="1" t="s">
        <v>769</v>
      </c>
      <c r="B432" s="1" t="s">
        <v>105</v>
      </c>
      <c r="C432" s="1" t="s">
        <v>1230</v>
      </c>
      <c r="D432" s="3">
        <v>1.84</v>
      </c>
    </row>
    <row r="433">
      <c r="A433" s="1" t="s">
        <v>831</v>
      </c>
      <c r="B433" s="1" t="s">
        <v>623</v>
      </c>
      <c r="C433" s="1" t="s">
        <v>1231</v>
      </c>
      <c r="D433" s="3">
        <v>0.94</v>
      </c>
    </row>
    <row r="434">
      <c r="A434" s="1" t="s">
        <v>1232</v>
      </c>
      <c r="B434" s="1" t="s">
        <v>593</v>
      </c>
      <c r="C434" s="1" t="s">
        <v>1233</v>
      </c>
      <c r="D434" s="3">
        <v>1.6</v>
      </c>
    </row>
    <row r="435">
      <c r="A435" s="1" t="s">
        <v>729</v>
      </c>
      <c r="B435" s="1" t="s">
        <v>514</v>
      </c>
      <c r="C435" s="1" t="s">
        <v>1234</v>
      </c>
      <c r="D435" s="3">
        <v>1.88</v>
      </c>
    </row>
    <row r="436">
      <c r="A436" s="1" t="s">
        <v>733</v>
      </c>
      <c r="B436" s="1" t="s">
        <v>300</v>
      </c>
      <c r="C436" s="1" t="s">
        <v>1235</v>
      </c>
      <c r="D436" s="3">
        <v>2.14</v>
      </c>
    </row>
    <row r="437">
      <c r="A437" s="1" t="s">
        <v>733</v>
      </c>
      <c r="B437" s="1" t="s">
        <v>300</v>
      </c>
      <c r="C437" s="1" t="s">
        <v>1236</v>
      </c>
      <c r="D437" s="3">
        <v>0.96</v>
      </c>
    </row>
    <row r="438">
      <c r="A438" s="1" t="s">
        <v>725</v>
      </c>
      <c r="B438" s="1" t="s">
        <v>227</v>
      </c>
      <c r="C438" s="1" t="s">
        <v>1237</v>
      </c>
      <c r="D438" s="3">
        <v>1.01</v>
      </c>
    </row>
    <row r="439">
      <c r="A439" s="1" t="s">
        <v>1157</v>
      </c>
      <c r="B439" s="1" t="s">
        <v>197</v>
      </c>
      <c r="C439" s="1" t="s">
        <v>1238</v>
      </c>
      <c r="D439" s="3">
        <v>1.58</v>
      </c>
    </row>
    <row r="440">
      <c r="A440" s="1" t="s">
        <v>721</v>
      </c>
      <c r="B440" s="1" t="s">
        <v>147</v>
      </c>
      <c r="C440" s="1" t="s">
        <v>1236</v>
      </c>
      <c r="D440" s="3">
        <v>1.83</v>
      </c>
    </row>
    <row r="441">
      <c r="A441" s="1" t="s">
        <v>721</v>
      </c>
      <c r="B441" s="1" t="s">
        <v>147</v>
      </c>
      <c r="C441" s="1" t="s">
        <v>1239</v>
      </c>
      <c r="D441" s="3">
        <v>0.9</v>
      </c>
    </row>
    <row r="442">
      <c r="A442" s="1" t="s">
        <v>740</v>
      </c>
      <c r="B442" s="1" t="s">
        <v>508</v>
      </c>
      <c r="C442" s="1" t="s">
        <v>1240</v>
      </c>
      <c r="D442" s="3">
        <v>1.02</v>
      </c>
    </row>
    <row r="443">
      <c r="A443" s="1" t="s">
        <v>1241</v>
      </c>
      <c r="B443" s="1" t="s">
        <v>372</v>
      </c>
      <c r="C443" s="1" t="s">
        <v>1242</v>
      </c>
      <c r="D443" s="3">
        <v>1.89</v>
      </c>
    </row>
    <row r="444">
      <c r="A444" s="1" t="s">
        <v>782</v>
      </c>
      <c r="B444" s="1" t="s">
        <v>413</v>
      </c>
      <c r="C444" s="1" t="s">
        <v>1243</v>
      </c>
      <c r="D444" s="3">
        <v>1.82</v>
      </c>
    </row>
    <row r="445">
      <c r="A445" s="1" t="s">
        <v>727</v>
      </c>
      <c r="B445" s="1" t="s">
        <v>532</v>
      </c>
      <c r="C445" s="1" t="s">
        <v>1244</v>
      </c>
      <c r="D445" s="3">
        <v>1.36</v>
      </c>
    </row>
    <row r="446">
      <c r="A446" s="1" t="s">
        <v>1205</v>
      </c>
      <c r="B446" s="1" t="s">
        <v>354</v>
      </c>
      <c r="C446" s="1" t="s">
        <v>1245</v>
      </c>
      <c r="D446" s="3">
        <v>1.68</v>
      </c>
    </row>
    <row r="447">
      <c r="A447" s="1" t="s">
        <v>723</v>
      </c>
      <c r="B447" s="1" t="s">
        <v>511</v>
      </c>
      <c r="C447" s="1" t="s">
        <v>1246</v>
      </c>
      <c r="D447" s="3">
        <v>1.88</v>
      </c>
    </row>
    <row r="448">
      <c r="A448" s="1" t="s">
        <v>721</v>
      </c>
      <c r="B448" s="1" t="s">
        <v>147</v>
      </c>
      <c r="C448" s="1" t="s">
        <v>1247</v>
      </c>
      <c r="D448" s="3">
        <v>0.94</v>
      </c>
    </row>
    <row r="449">
      <c r="A449" s="1" t="s">
        <v>769</v>
      </c>
      <c r="B449" s="1" t="s">
        <v>105</v>
      </c>
      <c r="C449" s="1" t="s">
        <v>1248</v>
      </c>
      <c r="D449" s="3">
        <v>2.04</v>
      </c>
    </row>
    <row r="450">
      <c r="A450" s="1" t="s">
        <v>723</v>
      </c>
      <c r="B450" s="1" t="s">
        <v>511</v>
      </c>
      <c r="C450" s="1" t="s">
        <v>1249</v>
      </c>
      <c r="D450" s="3">
        <v>1.43</v>
      </c>
    </row>
    <row r="451">
      <c r="A451" s="1" t="s">
        <v>727</v>
      </c>
      <c r="B451" s="1" t="s">
        <v>532</v>
      </c>
      <c r="C451" s="1" t="s">
        <v>1250</v>
      </c>
      <c r="D451" s="3">
        <v>1.14</v>
      </c>
    </row>
    <row r="452">
      <c r="A452" s="1" t="s">
        <v>735</v>
      </c>
      <c r="B452" s="1" t="s">
        <v>680</v>
      </c>
      <c r="C452" s="1" t="s">
        <v>1251</v>
      </c>
      <c r="D452" s="3">
        <v>1.78</v>
      </c>
    </row>
    <row r="453">
      <c r="A453" s="1" t="s">
        <v>721</v>
      </c>
      <c r="B453" s="1" t="s">
        <v>147</v>
      </c>
      <c r="C453" s="1" t="s">
        <v>1252</v>
      </c>
      <c r="D453" s="3">
        <v>1.57</v>
      </c>
    </row>
    <row r="454">
      <c r="A454" s="1" t="s">
        <v>1205</v>
      </c>
      <c r="B454" s="1" t="s">
        <v>354</v>
      </c>
      <c r="C454" s="1" t="s">
        <v>1253</v>
      </c>
      <c r="D454" s="3">
        <v>1.73</v>
      </c>
    </row>
    <row r="455">
      <c r="A455" s="1" t="s">
        <v>735</v>
      </c>
      <c r="B455" s="1" t="s">
        <v>680</v>
      </c>
      <c r="C455" s="1" t="s">
        <v>1254</v>
      </c>
      <c r="D455" s="3">
        <v>1.72</v>
      </c>
    </row>
    <row r="456">
      <c r="A456" s="1" t="s">
        <v>904</v>
      </c>
      <c r="B456" s="1" t="s">
        <v>653</v>
      </c>
      <c r="C456" s="1" t="s">
        <v>1255</v>
      </c>
      <c r="D456" s="3">
        <v>2.13</v>
      </c>
    </row>
    <row r="457">
      <c r="A457" s="1" t="s">
        <v>721</v>
      </c>
      <c r="B457" s="1" t="s">
        <v>147</v>
      </c>
      <c r="C457" s="1" t="s">
        <v>1256</v>
      </c>
      <c r="D457" s="3">
        <v>1.07</v>
      </c>
    </row>
    <row r="458">
      <c r="A458" s="1" t="s">
        <v>733</v>
      </c>
      <c r="B458" s="1" t="s">
        <v>300</v>
      </c>
      <c r="C458" s="1" t="s">
        <v>1257</v>
      </c>
      <c r="D458" s="3">
        <v>2.24</v>
      </c>
    </row>
    <row r="459">
      <c r="A459" s="1" t="s">
        <v>964</v>
      </c>
      <c r="B459" s="1" t="s">
        <v>22</v>
      </c>
      <c r="C459" s="1" t="s">
        <v>1258</v>
      </c>
      <c r="D459" s="3">
        <v>1.37</v>
      </c>
    </row>
    <row r="460">
      <c r="A460" s="1" t="s">
        <v>735</v>
      </c>
      <c r="B460" s="1" t="s">
        <v>680</v>
      </c>
      <c r="C460" s="1" t="s">
        <v>1259</v>
      </c>
      <c r="D460" s="3">
        <v>1.86</v>
      </c>
    </row>
    <row r="461">
      <c r="A461" s="1" t="s">
        <v>884</v>
      </c>
      <c r="B461" s="1" t="s">
        <v>671</v>
      </c>
      <c r="C461" s="1" t="s">
        <v>1260</v>
      </c>
      <c r="D461" s="3">
        <v>0.93</v>
      </c>
    </row>
    <row r="462">
      <c r="A462" s="1" t="s">
        <v>746</v>
      </c>
      <c r="B462" s="1" t="s">
        <v>505</v>
      </c>
      <c r="C462" s="1" t="s">
        <v>1261</v>
      </c>
      <c r="D462" s="3">
        <v>1.23</v>
      </c>
    </row>
    <row r="463">
      <c r="A463" s="1" t="s">
        <v>765</v>
      </c>
      <c r="B463" s="1" t="s">
        <v>174</v>
      </c>
      <c r="C463" s="1" t="s">
        <v>1262</v>
      </c>
      <c r="D463" s="3">
        <v>1.91</v>
      </c>
    </row>
    <row r="464">
      <c r="A464" s="1" t="s">
        <v>729</v>
      </c>
      <c r="B464" s="1" t="s">
        <v>514</v>
      </c>
      <c r="C464" s="1" t="s">
        <v>1263</v>
      </c>
      <c r="D464" s="3">
        <v>1.26</v>
      </c>
    </row>
    <row r="465">
      <c r="A465" s="1" t="s">
        <v>721</v>
      </c>
      <c r="B465" s="1" t="s">
        <v>147</v>
      </c>
      <c r="C465" s="1" t="s">
        <v>1264</v>
      </c>
      <c r="D465" s="3">
        <v>1.82</v>
      </c>
    </row>
    <row r="466">
      <c r="A466" s="1" t="s">
        <v>748</v>
      </c>
      <c r="B466" s="1" t="s">
        <v>129</v>
      </c>
      <c r="C466" s="1" t="s">
        <v>1265</v>
      </c>
      <c r="D466" s="3">
        <v>1.76</v>
      </c>
    </row>
    <row r="467">
      <c r="A467" s="1" t="s">
        <v>740</v>
      </c>
      <c r="B467" s="1" t="s">
        <v>508</v>
      </c>
      <c r="C467" s="1" t="s">
        <v>1266</v>
      </c>
      <c r="D467" s="3">
        <v>1.15</v>
      </c>
    </row>
    <row r="468">
      <c r="A468" s="1" t="s">
        <v>1267</v>
      </c>
      <c r="B468" s="1" t="s">
        <v>318</v>
      </c>
      <c r="C468" s="1" t="s">
        <v>1072</v>
      </c>
      <c r="D468" s="3">
        <v>1.83</v>
      </c>
    </row>
    <row r="469">
      <c r="A469" s="1" t="s">
        <v>721</v>
      </c>
      <c r="B469" s="1" t="s">
        <v>147</v>
      </c>
      <c r="C469" s="1" t="s">
        <v>1268</v>
      </c>
      <c r="D469" s="3">
        <v>2.08</v>
      </c>
    </row>
    <row r="470">
      <c r="A470" s="1" t="s">
        <v>727</v>
      </c>
      <c r="B470" s="1" t="s">
        <v>532</v>
      </c>
      <c r="C470" s="1" t="s">
        <v>1269</v>
      </c>
      <c r="D470" s="3">
        <v>2.14</v>
      </c>
    </row>
    <row r="471">
      <c r="A471" s="1" t="s">
        <v>806</v>
      </c>
      <c r="B471" s="1" t="s">
        <v>635</v>
      </c>
      <c r="C471" s="1" t="s">
        <v>1270</v>
      </c>
      <c r="D471" s="3">
        <v>2.0</v>
      </c>
    </row>
    <row r="472">
      <c r="A472" s="1" t="s">
        <v>1271</v>
      </c>
      <c r="B472" s="1" t="s">
        <v>236</v>
      </c>
      <c r="C472" s="1" t="s">
        <v>1272</v>
      </c>
      <c r="D472" s="3">
        <v>1.22</v>
      </c>
    </row>
    <row r="473">
      <c r="A473" s="1" t="s">
        <v>721</v>
      </c>
      <c r="B473" s="1" t="s">
        <v>147</v>
      </c>
      <c r="C473" s="1" t="s">
        <v>1273</v>
      </c>
      <c r="D473" s="3">
        <v>1.67</v>
      </c>
    </row>
    <row r="474">
      <c r="A474" s="1" t="s">
        <v>765</v>
      </c>
      <c r="B474" s="1" t="s">
        <v>174</v>
      </c>
      <c r="C474" s="1" t="s">
        <v>1274</v>
      </c>
      <c r="D474" s="3">
        <v>1.84</v>
      </c>
    </row>
    <row r="475">
      <c r="A475" s="1" t="s">
        <v>763</v>
      </c>
      <c r="B475" s="1" t="s">
        <v>327</v>
      </c>
      <c r="C475" s="1" t="s">
        <v>1275</v>
      </c>
      <c r="D475" s="3">
        <v>2.02</v>
      </c>
    </row>
    <row r="476">
      <c r="A476" s="1" t="s">
        <v>721</v>
      </c>
      <c r="B476" s="1" t="s">
        <v>147</v>
      </c>
      <c r="C476" s="1" t="s">
        <v>1276</v>
      </c>
      <c r="D476" s="3">
        <v>1.64</v>
      </c>
    </row>
    <row r="477">
      <c r="A477" s="1" t="s">
        <v>942</v>
      </c>
      <c r="B477" s="1" t="s">
        <v>150</v>
      </c>
      <c r="C477" s="1" t="s">
        <v>1277</v>
      </c>
      <c r="D477" s="3">
        <v>1.79</v>
      </c>
    </row>
    <row r="478">
      <c r="A478" s="1" t="s">
        <v>884</v>
      </c>
      <c r="B478" s="1" t="s">
        <v>671</v>
      </c>
      <c r="C478" s="1" t="s">
        <v>1278</v>
      </c>
      <c r="D478" s="3">
        <v>1.69</v>
      </c>
    </row>
    <row r="479">
      <c r="A479" s="1" t="s">
        <v>733</v>
      </c>
      <c r="B479" s="1" t="s">
        <v>300</v>
      </c>
      <c r="C479" s="1" t="s">
        <v>1279</v>
      </c>
      <c r="D479" s="3">
        <v>1.33</v>
      </c>
    </row>
    <row r="480">
      <c r="A480" s="1" t="s">
        <v>727</v>
      </c>
      <c r="B480" s="1" t="s">
        <v>532</v>
      </c>
      <c r="C480" s="1" t="s">
        <v>1280</v>
      </c>
      <c r="D480" s="3">
        <v>1.13</v>
      </c>
    </row>
    <row r="481">
      <c r="A481" s="1" t="s">
        <v>721</v>
      </c>
      <c r="B481" s="1" t="s">
        <v>147</v>
      </c>
      <c r="C481" s="1" t="s">
        <v>1281</v>
      </c>
      <c r="D481" s="3">
        <v>1.55</v>
      </c>
    </row>
    <row r="482">
      <c r="A482" s="1" t="s">
        <v>721</v>
      </c>
      <c r="B482" s="1" t="s">
        <v>147</v>
      </c>
      <c r="C482" s="1" t="s">
        <v>1282</v>
      </c>
      <c r="D482" s="3">
        <v>1.68</v>
      </c>
    </row>
    <row r="483">
      <c r="A483" s="1" t="s">
        <v>725</v>
      </c>
      <c r="B483" s="1" t="s">
        <v>227</v>
      </c>
      <c r="C483" s="1" t="s">
        <v>1283</v>
      </c>
      <c r="D483" s="3">
        <v>1.06</v>
      </c>
    </row>
    <row r="484">
      <c r="A484" s="1" t="s">
        <v>884</v>
      </c>
      <c r="B484" s="1" t="s">
        <v>671</v>
      </c>
      <c r="C484" s="1" t="s">
        <v>1284</v>
      </c>
      <c r="D484" s="3">
        <v>0.94</v>
      </c>
    </row>
    <row r="485">
      <c r="A485" s="1" t="s">
        <v>723</v>
      </c>
      <c r="B485" s="1" t="s">
        <v>511</v>
      </c>
      <c r="C485" s="1" t="s">
        <v>1285</v>
      </c>
      <c r="D485" s="3">
        <v>1.09</v>
      </c>
    </row>
    <row r="486">
      <c r="A486" s="1" t="s">
        <v>806</v>
      </c>
      <c r="B486" s="1" t="s">
        <v>635</v>
      </c>
      <c r="C486" s="1" t="s">
        <v>1286</v>
      </c>
      <c r="D486" s="3">
        <v>0.9</v>
      </c>
    </row>
    <row r="487">
      <c r="A487" s="1" t="s">
        <v>727</v>
      </c>
      <c r="B487" s="1" t="s">
        <v>532</v>
      </c>
      <c r="C487" s="1" t="s">
        <v>1287</v>
      </c>
      <c r="D487" s="3">
        <v>2.14</v>
      </c>
    </row>
    <row r="488">
      <c r="A488" s="1" t="s">
        <v>769</v>
      </c>
      <c r="B488" s="1" t="s">
        <v>105</v>
      </c>
      <c r="C488" s="1" t="s">
        <v>1288</v>
      </c>
      <c r="D488" s="3">
        <v>1.98</v>
      </c>
    </row>
    <row r="489">
      <c r="A489" s="1" t="s">
        <v>727</v>
      </c>
      <c r="B489" s="1" t="s">
        <v>532</v>
      </c>
      <c r="C489" s="1" t="s">
        <v>1289</v>
      </c>
      <c r="D489" s="3">
        <v>1.57</v>
      </c>
    </row>
    <row r="490">
      <c r="A490" s="1" t="s">
        <v>746</v>
      </c>
      <c r="B490" s="1" t="s">
        <v>505</v>
      </c>
      <c r="C490" s="1" t="s">
        <v>1290</v>
      </c>
      <c r="D490" s="3">
        <v>1.32</v>
      </c>
    </row>
    <row r="491">
      <c r="A491" s="1" t="s">
        <v>1291</v>
      </c>
      <c r="B491" s="1" t="s">
        <v>138</v>
      </c>
      <c r="C491" s="1" t="s">
        <v>1292</v>
      </c>
      <c r="D491" s="3">
        <v>0.96</v>
      </c>
    </row>
    <row r="492">
      <c r="A492" s="1" t="s">
        <v>733</v>
      </c>
      <c r="B492" s="1" t="s">
        <v>300</v>
      </c>
      <c r="C492" s="1" t="s">
        <v>1293</v>
      </c>
      <c r="D492" s="3">
        <v>1.03</v>
      </c>
    </row>
    <row r="493">
      <c r="A493" s="1" t="s">
        <v>721</v>
      </c>
      <c r="B493" s="1" t="s">
        <v>147</v>
      </c>
      <c r="C493" s="1" t="s">
        <v>1294</v>
      </c>
      <c r="D493" s="3">
        <v>1.75</v>
      </c>
    </row>
    <row r="494">
      <c r="A494" s="1" t="s">
        <v>721</v>
      </c>
      <c r="B494" s="1" t="s">
        <v>147</v>
      </c>
      <c r="C494" s="1" t="s">
        <v>1295</v>
      </c>
      <c r="D494" s="3">
        <v>2.19</v>
      </c>
    </row>
    <row r="495">
      <c r="A495" s="1" t="s">
        <v>1018</v>
      </c>
      <c r="B495" s="1" t="s">
        <v>191</v>
      </c>
      <c r="C495" s="1" t="s">
        <v>1296</v>
      </c>
      <c r="D495" s="3">
        <v>2.17</v>
      </c>
    </row>
    <row r="496">
      <c r="A496" s="1" t="s">
        <v>1297</v>
      </c>
      <c r="B496" s="1" t="s">
        <v>18</v>
      </c>
      <c r="C496" s="1" t="s">
        <v>1298</v>
      </c>
      <c r="D496" s="3">
        <v>1.27</v>
      </c>
    </row>
    <row r="497">
      <c r="A497" s="1" t="s">
        <v>884</v>
      </c>
      <c r="B497" s="1" t="s">
        <v>671</v>
      </c>
      <c r="C497" s="1" t="s">
        <v>1299</v>
      </c>
      <c r="D497" s="3">
        <v>2.12</v>
      </c>
    </row>
    <row r="498">
      <c r="A498" s="1" t="s">
        <v>1300</v>
      </c>
      <c r="B498" s="1" t="s">
        <v>321</v>
      </c>
      <c r="C498" s="1" t="s">
        <v>1301</v>
      </c>
      <c r="D498" s="3">
        <v>2.2</v>
      </c>
    </row>
    <row r="499">
      <c r="A499" s="1" t="s">
        <v>727</v>
      </c>
      <c r="B499" s="1" t="s">
        <v>532</v>
      </c>
      <c r="C499" s="1" t="s">
        <v>1302</v>
      </c>
      <c r="D499" s="3">
        <v>1.6</v>
      </c>
    </row>
    <row r="500">
      <c r="A500" s="1" t="s">
        <v>769</v>
      </c>
      <c r="B500" s="1" t="s">
        <v>105</v>
      </c>
      <c r="C500" s="1" t="s">
        <v>1303</v>
      </c>
      <c r="D500" s="3">
        <v>1.5</v>
      </c>
    </row>
    <row r="501">
      <c r="A501" s="1" t="s">
        <v>942</v>
      </c>
      <c r="B501" s="1" t="s">
        <v>150</v>
      </c>
      <c r="C501" s="1" t="s">
        <v>1304</v>
      </c>
      <c r="D501" s="3">
        <v>1.28</v>
      </c>
    </row>
    <row r="502">
      <c r="A502" s="1" t="s">
        <v>1305</v>
      </c>
      <c r="B502" s="1" t="s">
        <v>351</v>
      </c>
      <c r="C502" s="1" t="s">
        <v>1306</v>
      </c>
      <c r="D502" s="3">
        <v>1.49</v>
      </c>
    </row>
    <row r="503">
      <c r="A503" s="1" t="s">
        <v>754</v>
      </c>
      <c r="B503" s="1" t="s">
        <v>47</v>
      </c>
      <c r="C503" s="1" t="s">
        <v>1307</v>
      </c>
      <c r="D503" s="3">
        <v>1.43</v>
      </c>
    </row>
    <row r="504">
      <c r="A504" s="1" t="s">
        <v>721</v>
      </c>
      <c r="B504" s="1" t="s">
        <v>147</v>
      </c>
      <c r="C504" s="1" t="s">
        <v>1308</v>
      </c>
      <c r="D504" s="3">
        <v>1.21</v>
      </c>
    </row>
    <row r="505">
      <c r="A505" s="1" t="s">
        <v>1297</v>
      </c>
      <c r="B505" s="1" t="s">
        <v>18</v>
      </c>
      <c r="C505" s="1" t="s">
        <v>1309</v>
      </c>
      <c r="D505" s="3">
        <v>0.95</v>
      </c>
    </row>
    <row r="506">
      <c r="A506" s="1" t="s">
        <v>748</v>
      </c>
      <c r="B506" s="1" t="s">
        <v>129</v>
      </c>
      <c r="C506" s="1" t="s">
        <v>1310</v>
      </c>
      <c r="D506" s="3">
        <v>0.99</v>
      </c>
    </row>
    <row r="507">
      <c r="A507" s="1" t="s">
        <v>733</v>
      </c>
      <c r="B507" s="1" t="s">
        <v>300</v>
      </c>
      <c r="C507" s="1" t="s">
        <v>1311</v>
      </c>
      <c r="D507" s="3">
        <v>1.75</v>
      </c>
    </row>
    <row r="508">
      <c r="A508" s="1" t="s">
        <v>721</v>
      </c>
      <c r="B508" s="1" t="s">
        <v>147</v>
      </c>
      <c r="C508" s="1" t="s">
        <v>1312</v>
      </c>
      <c r="D508" s="3">
        <v>1.48</v>
      </c>
    </row>
    <row r="509">
      <c r="A509" s="1" t="s">
        <v>769</v>
      </c>
      <c r="B509" s="1" t="s">
        <v>105</v>
      </c>
      <c r="C509" s="1" t="s">
        <v>1313</v>
      </c>
      <c r="D509" s="3">
        <v>0.89</v>
      </c>
    </row>
    <row r="510">
      <c r="A510" s="1" t="s">
        <v>769</v>
      </c>
      <c r="B510" s="1" t="s">
        <v>105</v>
      </c>
      <c r="C510" s="1" t="s">
        <v>1314</v>
      </c>
      <c r="D510" s="3">
        <v>0.87</v>
      </c>
    </row>
    <row r="511">
      <c r="A511" s="1" t="s">
        <v>733</v>
      </c>
      <c r="B511" s="1" t="s">
        <v>300</v>
      </c>
      <c r="C511" s="1" t="s">
        <v>1315</v>
      </c>
      <c r="D511" s="3">
        <v>1.96</v>
      </c>
    </row>
    <row r="512">
      <c r="A512" s="1" t="s">
        <v>748</v>
      </c>
      <c r="B512" s="1" t="s">
        <v>129</v>
      </c>
      <c r="C512" s="1" t="s">
        <v>1316</v>
      </c>
      <c r="D512" s="3">
        <v>1.44</v>
      </c>
    </row>
    <row r="513">
      <c r="A513" s="1" t="s">
        <v>721</v>
      </c>
      <c r="B513" s="1" t="s">
        <v>147</v>
      </c>
      <c r="C513" s="1" t="s">
        <v>1317</v>
      </c>
      <c r="D513" s="3">
        <v>1.01</v>
      </c>
    </row>
    <row r="514">
      <c r="A514" s="1" t="s">
        <v>1318</v>
      </c>
      <c r="B514" s="1" t="s">
        <v>487</v>
      </c>
      <c r="C514" s="1" t="s">
        <v>1319</v>
      </c>
      <c r="D514" s="3">
        <v>1.2</v>
      </c>
    </row>
    <row r="515">
      <c r="A515" s="1" t="s">
        <v>721</v>
      </c>
      <c r="B515" s="1" t="s">
        <v>147</v>
      </c>
      <c r="C515" s="1" t="s">
        <v>1320</v>
      </c>
      <c r="D515" s="3">
        <v>1.78</v>
      </c>
    </row>
    <row r="516">
      <c r="A516" s="1" t="s">
        <v>725</v>
      </c>
      <c r="B516" s="1" t="s">
        <v>227</v>
      </c>
      <c r="C516" s="1" t="s">
        <v>1321</v>
      </c>
      <c r="D516" s="3">
        <v>0.98</v>
      </c>
    </row>
    <row r="517">
      <c r="A517" s="1" t="s">
        <v>721</v>
      </c>
      <c r="B517" s="1" t="s">
        <v>147</v>
      </c>
      <c r="C517" s="1" t="s">
        <v>1322</v>
      </c>
      <c r="D517" s="3">
        <v>0.94</v>
      </c>
    </row>
    <row r="518">
      <c r="A518" s="1" t="s">
        <v>721</v>
      </c>
      <c r="B518" s="1" t="s">
        <v>147</v>
      </c>
      <c r="C518" s="1" t="s">
        <v>1323</v>
      </c>
      <c r="D518" s="3">
        <v>1.6</v>
      </c>
    </row>
    <row r="519">
      <c r="A519" s="1" t="s">
        <v>721</v>
      </c>
      <c r="B519" s="1" t="s">
        <v>147</v>
      </c>
      <c r="C519" s="1" t="s">
        <v>920</v>
      </c>
      <c r="D519" s="3">
        <v>0.87</v>
      </c>
    </row>
    <row r="520">
      <c r="A520" s="1" t="s">
        <v>735</v>
      </c>
      <c r="B520" s="1" t="s">
        <v>680</v>
      </c>
      <c r="C520" s="1" t="s">
        <v>1324</v>
      </c>
      <c r="D520" s="3">
        <v>2.23</v>
      </c>
    </row>
    <row r="521">
      <c r="A521" s="1" t="s">
        <v>740</v>
      </c>
      <c r="B521" s="1" t="s">
        <v>508</v>
      </c>
      <c r="C521" s="1" t="s">
        <v>1325</v>
      </c>
      <c r="D521" s="3">
        <v>2.03</v>
      </c>
    </row>
    <row r="522">
      <c r="A522" s="1" t="s">
        <v>777</v>
      </c>
      <c r="B522" s="1" t="s">
        <v>617</v>
      </c>
      <c r="C522" s="1" t="s">
        <v>1326</v>
      </c>
      <c r="D522" s="3">
        <v>2.16</v>
      </c>
    </row>
    <row r="523">
      <c r="A523" s="1" t="s">
        <v>733</v>
      </c>
      <c r="B523" s="1" t="s">
        <v>300</v>
      </c>
      <c r="C523" s="1" t="s">
        <v>1327</v>
      </c>
      <c r="D523" s="3">
        <v>1.64</v>
      </c>
    </row>
    <row r="524">
      <c r="A524" s="1" t="s">
        <v>754</v>
      </c>
      <c r="B524" s="1" t="s">
        <v>47</v>
      </c>
      <c r="C524" s="1" t="s">
        <v>1328</v>
      </c>
      <c r="D524" s="3">
        <v>2.12</v>
      </c>
    </row>
    <row r="525">
      <c r="A525" s="1" t="s">
        <v>725</v>
      </c>
      <c r="B525" s="1" t="s">
        <v>227</v>
      </c>
      <c r="C525" s="1" t="s">
        <v>1329</v>
      </c>
      <c r="D525" s="3">
        <v>0.9</v>
      </c>
    </row>
    <row r="526">
      <c r="A526" s="1" t="s">
        <v>1330</v>
      </c>
      <c r="B526" s="1" t="s">
        <v>306</v>
      </c>
      <c r="C526" s="1" t="s">
        <v>1331</v>
      </c>
      <c r="D526" s="3">
        <v>1.0</v>
      </c>
    </row>
    <row r="527">
      <c r="A527" s="1" t="s">
        <v>1091</v>
      </c>
      <c r="B527" s="1" t="s">
        <v>466</v>
      </c>
      <c r="C527" s="1" t="s">
        <v>1332</v>
      </c>
      <c r="D527" s="3">
        <v>1.91</v>
      </c>
    </row>
    <row r="528">
      <c r="A528" s="1" t="s">
        <v>721</v>
      </c>
      <c r="B528" s="1" t="s">
        <v>147</v>
      </c>
      <c r="C528" s="1" t="s">
        <v>1333</v>
      </c>
      <c r="D528" s="3">
        <v>1.23</v>
      </c>
    </row>
    <row r="529">
      <c r="A529" s="1" t="s">
        <v>740</v>
      </c>
      <c r="B529" s="1" t="s">
        <v>508</v>
      </c>
      <c r="C529" s="1" t="s">
        <v>1334</v>
      </c>
      <c r="D529" s="3">
        <v>2.02</v>
      </c>
    </row>
    <row r="530">
      <c r="A530" s="1" t="s">
        <v>721</v>
      </c>
      <c r="B530" s="1" t="s">
        <v>147</v>
      </c>
      <c r="C530" s="1" t="s">
        <v>1335</v>
      </c>
      <c r="D530" s="3">
        <v>1.15</v>
      </c>
    </row>
    <row r="531">
      <c r="A531" s="1" t="s">
        <v>740</v>
      </c>
      <c r="B531" s="1" t="s">
        <v>508</v>
      </c>
      <c r="C531" s="1" t="s">
        <v>1336</v>
      </c>
      <c r="D531" s="3">
        <v>1.11</v>
      </c>
    </row>
    <row r="532">
      <c r="A532" s="1" t="s">
        <v>1337</v>
      </c>
      <c r="B532" s="1" t="s">
        <v>159</v>
      </c>
      <c r="C532" s="1" t="s">
        <v>1338</v>
      </c>
      <c r="D532" s="3">
        <v>1.29</v>
      </c>
    </row>
    <row r="533">
      <c r="A533" s="1" t="s">
        <v>727</v>
      </c>
      <c r="B533" s="1" t="s">
        <v>532</v>
      </c>
      <c r="C533" s="1" t="s">
        <v>1339</v>
      </c>
      <c r="D533" s="3">
        <v>1.69</v>
      </c>
    </row>
    <row r="534">
      <c r="A534" s="1" t="s">
        <v>769</v>
      </c>
      <c r="B534" s="1" t="s">
        <v>105</v>
      </c>
      <c r="C534" s="1" t="s">
        <v>1340</v>
      </c>
      <c r="D534" s="3">
        <v>1.85</v>
      </c>
    </row>
    <row r="535">
      <c r="A535" s="1" t="s">
        <v>733</v>
      </c>
      <c r="B535" s="1" t="s">
        <v>300</v>
      </c>
      <c r="C535" s="1" t="s">
        <v>1149</v>
      </c>
      <c r="D535" s="3">
        <v>1.69</v>
      </c>
    </row>
    <row r="536">
      <c r="A536" s="1" t="s">
        <v>1341</v>
      </c>
      <c r="B536" s="1" t="s">
        <v>709</v>
      </c>
      <c r="C536" s="1" t="s">
        <v>1342</v>
      </c>
      <c r="D536" s="3">
        <v>1.63</v>
      </c>
    </row>
    <row r="537">
      <c r="A537" s="1" t="s">
        <v>748</v>
      </c>
      <c r="B537" s="1" t="s">
        <v>129</v>
      </c>
      <c r="C537" s="1" t="s">
        <v>1343</v>
      </c>
      <c r="D537" s="3">
        <v>2.04</v>
      </c>
    </row>
    <row r="538">
      <c r="A538" s="1" t="s">
        <v>925</v>
      </c>
      <c r="B538" s="1" t="s">
        <v>51</v>
      </c>
      <c r="C538" s="1" t="s">
        <v>1344</v>
      </c>
      <c r="D538" s="3">
        <v>1.2</v>
      </c>
    </row>
    <row r="539">
      <c r="A539" s="1" t="s">
        <v>723</v>
      </c>
      <c r="B539" s="1" t="s">
        <v>511</v>
      </c>
      <c r="C539" s="1" t="s">
        <v>1345</v>
      </c>
      <c r="D539" s="3">
        <v>1.06</v>
      </c>
    </row>
    <row r="540">
      <c r="A540" s="1" t="s">
        <v>942</v>
      </c>
      <c r="B540" s="1" t="s">
        <v>150</v>
      </c>
      <c r="C540" s="1" t="s">
        <v>1346</v>
      </c>
      <c r="D540" s="3">
        <v>1.85</v>
      </c>
    </row>
    <row r="541">
      <c r="A541" s="1" t="s">
        <v>727</v>
      </c>
      <c r="B541" s="1" t="s">
        <v>532</v>
      </c>
      <c r="C541" s="1" t="s">
        <v>1347</v>
      </c>
      <c r="D541" s="3">
        <v>1.47</v>
      </c>
    </row>
    <row r="542">
      <c r="A542" s="1" t="s">
        <v>727</v>
      </c>
      <c r="B542" s="1" t="s">
        <v>532</v>
      </c>
      <c r="C542" s="1" t="s">
        <v>1348</v>
      </c>
      <c r="D542" s="3">
        <v>1.33</v>
      </c>
    </row>
    <row r="543">
      <c r="A543" s="1" t="s">
        <v>1043</v>
      </c>
      <c r="B543" s="1" t="s">
        <v>632</v>
      </c>
      <c r="C543" s="1" t="s">
        <v>1349</v>
      </c>
      <c r="D543" s="3">
        <v>1.26</v>
      </c>
    </row>
    <row r="544">
      <c r="A544" s="1" t="s">
        <v>779</v>
      </c>
      <c r="B544" s="1" t="s">
        <v>700</v>
      </c>
      <c r="C544" s="1" t="s">
        <v>1350</v>
      </c>
      <c r="D544" s="3">
        <v>1.06</v>
      </c>
    </row>
    <row r="545">
      <c r="A545" s="1" t="s">
        <v>733</v>
      </c>
      <c r="B545" s="1" t="s">
        <v>300</v>
      </c>
      <c r="C545" s="1" t="s">
        <v>1351</v>
      </c>
      <c r="D545" s="3">
        <v>1.19</v>
      </c>
    </row>
    <row r="546">
      <c r="A546" s="1" t="s">
        <v>733</v>
      </c>
      <c r="B546" s="1" t="s">
        <v>300</v>
      </c>
      <c r="C546" s="1" t="s">
        <v>1352</v>
      </c>
      <c r="D546" s="3">
        <v>1.53</v>
      </c>
    </row>
    <row r="547">
      <c r="A547" s="1" t="s">
        <v>721</v>
      </c>
      <c r="B547" s="1" t="s">
        <v>147</v>
      </c>
      <c r="C547" s="1" t="s">
        <v>1353</v>
      </c>
      <c r="D547" s="3">
        <v>1.44</v>
      </c>
    </row>
    <row r="548">
      <c r="A548" s="1" t="s">
        <v>763</v>
      </c>
      <c r="B548" s="1" t="s">
        <v>327</v>
      </c>
      <c r="C548" s="1" t="s">
        <v>1354</v>
      </c>
      <c r="D548" s="3">
        <v>0.86</v>
      </c>
    </row>
    <row r="549">
      <c r="A549" s="1" t="s">
        <v>729</v>
      </c>
      <c r="B549" s="1" t="s">
        <v>514</v>
      </c>
      <c r="C549" s="1" t="s">
        <v>1355</v>
      </c>
      <c r="D549" s="3">
        <v>1.42</v>
      </c>
    </row>
    <row r="550">
      <c r="A550" s="1" t="s">
        <v>727</v>
      </c>
      <c r="B550" s="1" t="s">
        <v>532</v>
      </c>
      <c r="C550" s="1" t="s">
        <v>1356</v>
      </c>
      <c r="D550" s="3">
        <v>1.24</v>
      </c>
    </row>
    <row r="551">
      <c r="A551" s="1" t="s">
        <v>1357</v>
      </c>
      <c r="B551" s="1" t="s">
        <v>375</v>
      </c>
      <c r="C551" s="1" t="s">
        <v>1358</v>
      </c>
      <c r="D551" s="3">
        <v>1.6</v>
      </c>
    </row>
    <row r="552">
      <c r="A552" s="1" t="s">
        <v>727</v>
      </c>
      <c r="B552" s="1" t="s">
        <v>532</v>
      </c>
      <c r="C552" s="1" t="s">
        <v>1359</v>
      </c>
      <c r="D552" s="3">
        <v>0.85</v>
      </c>
    </row>
    <row r="553">
      <c r="A553" s="1" t="s">
        <v>733</v>
      </c>
      <c r="B553" s="1" t="s">
        <v>300</v>
      </c>
      <c r="C553" s="1" t="s">
        <v>1360</v>
      </c>
      <c r="D553" s="3">
        <v>1.21</v>
      </c>
    </row>
    <row r="554">
      <c r="A554" s="1" t="s">
        <v>735</v>
      </c>
      <c r="B554" s="1" t="s">
        <v>680</v>
      </c>
      <c r="C554" s="1" t="s">
        <v>1361</v>
      </c>
      <c r="D554" s="3">
        <v>1.39</v>
      </c>
    </row>
    <row r="555">
      <c r="A555" s="1" t="s">
        <v>721</v>
      </c>
      <c r="B555" s="1" t="s">
        <v>147</v>
      </c>
      <c r="C555" s="1" t="s">
        <v>1362</v>
      </c>
      <c r="D555" s="3">
        <v>0.93</v>
      </c>
    </row>
    <row r="556">
      <c r="A556" s="1" t="s">
        <v>1363</v>
      </c>
      <c r="B556" s="1" t="s">
        <v>99</v>
      </c>
      <c r="C556" s="1" t="s">
        <v>1364</v>
      </c>
      <c r="D556" s="3">
        <v>1.45</v>
      </c>
    </row>
    <row r="557">
      <c r="A557" s="1" t="s">
        <v>721</v>
      </c>
      <c r="B557" s="1" t="s">
        <v>147</v>
      </c>
      <c r="C557" s="1" t="s">
        <v>1365</v>
      </c>
      <c r="D557" s="3">
        <v>1.55</v>
      </c>
    </row>
    <row r="558">
      <c r="A558" s="1" t="s">
        <v>731</v>
      </c>
      <c r="B558" s="1" t="s">
        <v>78</v>
      </c>
      <c r="C558" s="1" t="s">
        <v>1366</v>
      </c>
      <c r="D558" s="3">
        <v>2.24</v>
      </c>
    </row>
    <row r="559">
      <c r="A559" s="1" t="s">
        <v>733</v>
      </c>
      <c r="B559" s="1" t="s">
        <v>300</v>
      </c>
      <c r="C559" s="1" t="s">
        <v>1367</v>
      </c>
      <c r="D559" s="3">
        <v>1.23</v>
      </c>
    </row>
    <row r="560">
      <c r="A560" s="1" t="s">
        <v>754</v>
      </c>
      <c r="B560" s="1" t="s">
        <v>47</v>
      </c>
      <c r="C560" s="1" t="s">
        <v>1368</v>
      </c>
      <c r="D560" s="3">
        <v>1.22</v>
      </c>
    </row>
    <row r="561">
      <c r="A561" s="1" t="s">
        <v>777</v>
      </c>
      <c r="B561" s="1" t="s">
        <v>617</v>
      </c>
      <c r="C561" s="1" t="s">
        <v>1369</v>
      </c>
      <c r="D561" s="3">
        <v>1.46</v>
      </c>
    </row>
    <row r="562">
      <c r="A562" s="1" t="s">
        <v>1037</v>
      </c>
      <c r="B562" s="1" t="s">
        <v>424</v>
      </c>
      <c r="C562" s="1" t="s">
        <v>1370</v>
      </c>
      <c r="D562" s="3">
        <v>1.81</v>
      </c>
    </row>
    <row r="563">
      <c r="A563" s="1" t="s">
        <v>729</v>
      </c>
      <c r="B563" s="1" t="s">
        <v>514</v>
      </c>
      <c r="C563" s="1" t="s">
        <v>1371</v>
      </c>
      <c r="D563" s="3">
        <v>1.51</v>
      </c>
    </row>
    <row r="564">
      <c r="A564" s="1" t="s">
        <v>836</v>
      </c>
      <c r="B564" s="1" t="s">
        <v>570</v>
      </c>
      <c r="C564" s="1" t="s">
        <v>1372</v>
      </c>
      <c r="D564" s="3">
        <v>1.61</v>
      </c>
    </row>
    <row r="565">
      <c r="A565" s="1" t="s">
        <v>1373</v>
      </c>
      <c r="B565" s="1" t="s">
        <v>239</v>
      </c>
      <c r="C565" s="1" t="s">
        <v>1374</v>
      </c>
      <c r="D565" s="3">
        <v>1.62</v>
      </c>
    </row>
    <row r="566">
      <c r="A566" s="1" t="s">
        <v>733</v>
      </c>
      <c r="B566" s="1" t="s">
        <v>300</v>
      </c>
      <c r="C566" s="1" t="s">
        <v>1375</v>
      </c>
      <c r="D566" s="3">
        <v>0.93</v>
      </c>
    </row>
    <row r="567">
      <c r="A567" s="1" t="s">
        <v>735</v>
      </c>
      <c r="B567" s="1" t="s">
        <v>680</v>
      </c>
      <c r="C567" s="1" t="s">
        <v>1376</v>
      </c>
      <c r="D567" s="3">
        <v>1.75</v>
      </c>
    </row>
    <row r="568">
      <c r="A568" s="1" t="s">
        <v>721</v>
      </c>
      <c r="B568" s="1" t="s">
        <v>147</v>
      </c>
      <c r="C568" s="1" t="s">
        <v>1377</v>
      </c>
      <c r="D568" s="3">
        <v>1.3</v>
      </c>
    </row>
    <row r="569">
      <c r="A569" s="1" t="s">
        <v>733</v>
      </c>
      <c r="B569" s="1" t="s">
        <v>300</v>
      </c>
      <c r="C569" s="1" t="s">
        <v>1378</v>
      </c>
      <c r="D569" s="3">
        <v>0.98</v>
      </c>
    </row>
    <row r="570">
      <c r="A570" s="1" t="s">
        <v>721</v>
      </c>
      <c r="B570" s="1" t="s">
        <v>147</v>
      </c>
      <c r="C570" s="1" t="s">
        <v>1379</v>
      </c>
      <c r="D570" s="3">
        <v>1.64</v>
      </c>
    </row>
    <row r="571">
      <c r="A571" s="1" t="s">
        <v>763</v>
      </c>
      <c r="B571" s="1" t="s">
        <v>327</v>
      </c>
      <c r="C571" s="1" t="s">
        <v>1380</v>
      </c>
      <c r="D571" s="3">
        <v>2.08</v>
      </c>
    </row>
    <row r="572">
      <c r="A572" s="1" t="s">
        <v>777</v>
      </c>
      <c r="B572" s="1" t="s">
        <v>617</v>
      </c>
      <c r="C572" s="1" t="s">
        <v>1381</v>
      </c>
      <c r="D572" s="3">
        <v>2.19</v>
      </c>
    </row>
    <row r="573">
      <c r="A573" s="1" t="s">
        <v>721</v>
      </c>
      <c r="B573" s="1" t="s">
        <v>147</v>
      </c>
      <c r="C573" s="1" t="s">
        <v>1382</v>
      </c>
      <c r="D573" s="3">
        <v>1.18</v>
      </c>
    </row>
    <row r="574">
      <c r="A574" s="1" t="s">
        <v>1082</v>
      </c>
      <c r="B574" s="1" t="s">
        <v>72</v>
      </c>
      <c r="C574" s="1" t="s">
        <v>1383</v>
      </c>
      <c r="D574" s="3">
        <v>2.11</v>
      </c>
    </row>
    <row r="575">
      <c r="A575" s="1" t="s">
        <v>791</v>
      </c>
      <c r="B575" s="1" t="s">
        <v>253</v>
      </c>
      <c r="C575" s="1" t="s">
        <v>1384</v>
      </c>
      <c r="D575" s="3">
        <v>1.69</v>
      </c>
    </row>
    <row r="576">
      <c r="A576" s="1" t="s">
        <v>721</v>
      </c>
      <c r="B576" s="1" t="s">
        <v>147</v>
      </c>
      <c r="C576" s="1" t="s">
        <v>1385</v>
      </c>
      <c r="D576" s="3">
        <v>1.27</v>
      </c>
    </row>
    <row r="577">
      <c r="A577" s="1" t="s">
        <v>779</v>
      </c>
      <c r="B577" s="1" t="s">
        <v>700</v>
      </c>
      <c r="C577" s="1" t="s">
        <v>1386</v>
      </c>
      <c r="D577" s="3">
        <v>2.24</v>
      </c>
    </row>
    <row r="578">
      <c r="A578" s="1" t="s">
        <v>725</v>
      </c>
      <c r="B578" s="1" t="s">
        <v>227</v>
      </c>
      <c r="C578" s="1" t="s">
        <v>1387</v>
      </c>
      <c r="D578" s="3">
        <v>1.8</v>
      </c>
    </row>
    <row r="579">
      <c r="A579" s="1" t="s">
        <v>1318</v>
      </c>
      <c r="B579" s="1" t="s">
        <v>487</v>
      </c>
      <c r="C579" s="1" t="s">
        <v>1388</v>
      </c>
      <c r="D579" s="3">
        <v>0.97</v>
      </c>
    </row>
    <row r="580">
      <c r="A580" s="1" t="s">
        <v>769</v>
      </c>
      <c r="B580" s="1" t="s">
        <v>105</v>
      </c>
      <c r="C580" s="1" t="s">
        <v>1389</v>
      </c>
      <c r="D580" s="3">
        <v>2.01</v>
      </c>
    </row>
    <row r="581">
      <c r="A581" s="1" t="s">
        <v>721</v>
      </c>
      <c r="B581" s="1" t="s">
        <v>147</v>
      </c>
      <c r="C581" s="1" t="s">
        <v>1390</v>
      </c>
      <c r="D581" s="3">
        <v>1.04</v>
      </c>
    </row>
    <row r="582">
      <c r="A582" s="1" t="s">
        <v>733</v>
      </c>
      <c r="B582" s="1" t="s">
        <v>300</v>
      </c>
      <c r="C582" s="1" t="s">
        <v>1391</v>
      </c>
      <c r="D582" s="3">
        <v>1.35</v>
      </c>
    </row>
    <row r="583">
      <c r="A583" s="1" t="s">
        <v>1091</v>
      </c>
      <c r="B583" s="1" t="s">
        <v>466</v>
      </c>
      <c r="C583" s="1" t="s">
        <v>1392</v>
      </c>
      <c r="D583" s="3">
        <v>0.93</v>
      </c>
    </row>
    <row r="584">
      <c r="A584" s="1" t="s">
        <v>721</v>
      </c>
      <c r="B584" s="1" t="s">
        <v>147</v>
      </c>
      <c r="C584" s="1" t="s">
        <v>1393</v>
      </c>
      <c r="D584" s="3">
        <v>1.37</v>
      </c>
    </row>
    <row r="585">
      <c r="A585" s="1" t="s">
        <v>733</v>
      </c>
      <c r="B585" s="1" t="s">
        <v>300</v>
      </c>
      <c r="C585" s="1" t="s">
        <v>1394</v>
      </c>
      <c r="D585" s="3">
        <v>1.21</v>
      </c>
    </row>
    <row r="586">
      <c r="A586" s="1" t="s">
        <v>1341</v>
      </c>
      <c r="B586" s="1" t="s">
        <v>709</v>
      </c>
      <c r="C586" s="1" t="s">
        <v>1395</v>
      </c>
      <c r="D586" s="3">
        <v>1.27</v>
      </c>
    </row>
    <row r="587">
      <c r="A587" s="1" t="s">
        <v>729</v>
      </c>
      <c r="B587" s="1" t="s">
        <v>514</v>
      </c>
      <c r="C587" s="1" t="s">
        <v>1396</v>
      </c>
      <c r="D587" s="3">
        <v>2.02</v>
      </c>
    </row>
    <row r="588">
      <c r="A588" s="1" t="s">
        <v>1152</v>
      </c>
      <c r="B588" s="1" t="s">
        <v>336</v>
      </c>
      <c r="C588" s="1" t="s">
        <v>1397</v>
      </c>
      <c r="D588" s="3">
        <v>1.36</v>
      </c>
    </row>
    <row r="589">
      <c r="A589" s="1" t="s">
        <v>721</v>
      </c>
      <c r="B589" s="1" t="s">
        <v>147</v>
      </c>
      <c r="C589" s="1" t="s">
        <v>1398</v>
      </c>
      <c r="D589" s="3">
        <v>1.61</v>
      </c>
    </row>
    <row r="590">
      <c r="A590" s="1" t="s">
        <v>727</v>
      </c>
      <c r="B590" s="1" t="s">
        <v>532</v>
      </c>
      <c r="C590" s="1" t="s">
        <v>1399</v>
      </c>
      <c r="D590" s="3">
        <v>1.41</v>
      </c>
    </row>
    <row r="591">
      <c r="A591" s="1" t="s">
        <v>721</v>
      </c>
      <c r="B591" s="1" t="s">
        <v>147</v>
      </c>
      <c r="C591" s="1" t="s">
        <v>1400</v>
      </c>
      <c r="D591" s="3">
        <v>1.01</v>
      </c>
    </row>
    <row r="592">
      <c r="A592" s="1" t="s">
        <v>723</v>
      </c>
      <c r="B592" s="1" t="s">
        <v>511</v>
      </c>
      <c r="C592" s="1" t="s">
        <v>1401</v>
      </c>
      <c r="D592" s="3">
        <v>1.01</v>
      </c>
    </row>
    <row r="593">
      <c r="A593" s="1" t="s">
        <v>733</v>
      </c>
      <c r="B593" s="1" t="s">
        <v>300</v>
      </c>
      <c r="C593" s="1" t="s">
        <v>1402</v>
      </c>
      <c r="D593" s="3">
        <v>2.19</v>
      </c>
    </row>
    <row r="594">
      <c r="A594" s="1" t="s">
        <v>777</v>
      </c>
      <c r="B594" s="1" t="s">
        <v>617</v>
      </c>
      <c r="C594" s="1" t="s">
        <v>1403</v>
      </c>
      <c r="D594" s="3">
        <v>2.06</v>
      </c>
    </row>
    <row r="595">
      <c r="A595" s="1" t="s">
        <v>1228</v>
      </c>
      <c r="B595" s="1" t="s">
        <v>102</v>
      </c>
      <c r="C595" s="1" t="s">
        <v>1404</v>
      </c>
      <c r="D595" s="3">
        <v>1.99</v>
      </c>
    </row>
    <row r="596">
      <c r="A596" s="1" t="s">
        <v>1037</v>
      </c>
      <c r="B596" s="1" t="s">
        <v>424</v>
      </c>
      <c r="C596" s="1" t="s">
        <v>1405</v>
      </c>
      <c r="D596" s="3">
        <v>1.12</v>
      </c>
    </row>
    <row r="597">
      <c r="A597" s="1" t="s">
        <v>1406</v>
      </c>
      <c r="B597" s="1" t="s">
        <v>567</v>
      </c>
      <c r="C597" s="1" t="s">
        <v>1407</v>
      </c>
      <c r="D597" s="3">
        <v>2.17</v>
      </c>
    </row>
    <row r="598">
      <c r="A598" s="1" t="s">
        <v>721</v>
      </c>
      <c r="B598" s="1" t="s">
        <v>147</v>
      </c>
      <c r="C598" s="1" t="s">
        <v>1408</v>
      </c>
      <c r="D598" s="3">
        <v>1.25</v>
      </c>
    </row>
    <row r="599">
      <c r="A599" s="1" t="s">
        <v>721</v>
      </c>
      <c r="B599" s="1" t="s">
        <v>147</v>
      </c>
      <c r="C599" s="1" t="s">
        <v>1409</v>
      </c>
      <c r="D599" s="3">
        <v>1.75</v>
      </c>
    </row>
    <row r="600">
      <c r="A600" s="1" t="s">
        <v>725</v>
      </c>
      <c r="B600" s="1" t="s">
        <v>227</v>
      </c>
      <c r="C600" s="1" t="s">
        <v>1136</v>
      </c>
      <c r="D600" s="3">
        <v>1.44</v>
      </c>
    </row>
    <row r="601">
      <c r="A601" s="1" t="s">
        <v>727</v>
      </c>
      <c r="B601" s="1" t="s">
        <v>532</v>
      </c>
      <c r="C601" s="1" t="s">
        <v>1410</v>
      </c>
      <c r="D601" s="3">
        <v>1.77</v>
      </c>
    </row>
    <row r="602">
      <c r="A602" s="1" t="s">
        <v>746</v>
      </c>
      <c r="B602" s="1" t="s">
        <v>505</v>
      </c>
      <c r="C602" s="1" t="s">
        <v>1411</v>
      </c>
      <c r="D602" s="3">
        <v>1.3</v>
      </c>
    </row>
    <row r="603">
      <c r="A603" s="1" t="s">
        <v>1318</v>
      </c>
      <c r="B603" s="1" t="s">
        <v>487</v>
      </c>
      <c r="C603" s="1" t="s">
        <v>1412</v>
      </c>
      <c r="D603" s="3">
        <v>1.22</v>
      </c>
    </row>
    <row r="604">
      <c r="A604" s="1" t="s">
        <v>793</v>
      </c>
      <c r="B604" s="1" t="s">
        <v>114</v>
      </c>
      <c r="C604" s="1" t="s">
        <v>1413</v>
      </c>
      <c r="D604" s="3">
        <v>1.57</v>
      </c>
    </row>
    <row r="605">
      <c r="A605" s="1" t="s">
        <v>721</v>
      </c>
      <c r="B605" s="1" t="s">
        <v>147</v>
      </c>
      <c r="C605" s="1" t="s">
        <v>991</v>
      </c>
      <c r="D605" s="3">
        <v>2.21</v>
      </c>
    </row>
    <row r="606">
      <c r="A606" s="1" t="s">
        <v>1414</v>
      </c>
      <c r="B606" s="1" t="s">
        <v>141</v>
      </c>
      <c r="C606" s="1" t="s">
        <v>1415</v>
      </c>
      <c r="D606" s="3">
        <v>1.96</v>
      </c>
    </row>
    <row r="607">
      <c r="A607" s="1" t="s">
        <v>1416</v>
      </c>
      <c r="B607" s="1" t="s">
        <v>93</v>
      </c>
      <c r="C607" s="1" t="s">
        <v>1417</v>
      </c>
      <c r="D607" s="3">
        <v>2.01</v>
      </c>
    </row>
    <row r="608">
      <c r="A608" s="1" t="s">
        <v>721</v>
      </c>
      <c r="B608" s="1" t="s">
        <v>147</v>
      </c>
      <c r="C608" s="1" t="s">
        <v>1418</v>
      </c>
      <c r="D608" s="3">
        <v>1.02</v>
      </c>
    </row>
    <row r="609">
      <c r="A609" s="1" t="s">
        <v>777</v>
      </c>
      <c r="B609" s="1" t="s">
        <v>617</v>
      </c>
      <c r="C609" s="1" t="s">
        <v>1419</v>
      </c>
      <c r="D609" s="3">
        <v>2.25</v>
      </c>
    </row>
    <row r="610">
      <c r="A610" s="1" t="s">
        <v>733</v>
      </c>
      <c r="B610" s="1" t="s">
        <v>300</v>
      </c>
      <c r="C610" s="1" t="s">
        <v>1420</v>
      </c>
      <c r="D610" s="3">
        <v>1.85</v>
      </c>
    </row>
    <row r="611">
      <c r="A611" s="1" t="s">
        <v>964</v>
      </c>
      <c r="B611" s="1" t="s">
        <v>22</v>
      </c>
      <c r="C611" s="1" t="s">
        <v>1421</v>
      </c>
      <c r="D611" s="3">
        <v>1.88</v>
      </c>
    </row>
    <row r="612">
      <c r="A612" s="1" t="s">
        <v>763</v>
      </c>
      <c r="B612" s="1" t="s">
        <v>327</v>
      </c>
      <c r="C612" s="1" t="s">
        <v>1422</v>
      </c>
      <c r="D612" s="3">
        <v>0.95</v>
      </c>
    </row>
    <row r="613">
      <c r="A613" s="1" t="s">
        <v>806</v>
      </c>
      <c r="B613" s="1" t="s">
        <v>635</v>
      </c>
      <c r="C613" s="1" t="s">
        <v>1423</v>
      </c>
      <c r="D613" s="3">
        <v>1.39</v>
      </c>
    </row>
    <row r="614">
      <c r="A614" s="1" t="s">
        <v>725</v>
      </c>
      <c r="B614" s="1" t="s">
        <v>227</v>
      </c>
      <c r="C614" s="1" t="s">
        <v>1424</v>
      </c>
      <c r="D614" s="3">
        <v>1.32</v>
      </c>
    </row>
    <row r="615">
      <c r="A615" s="1" t="s">
        <v>727</v>
      </c>
      <c r="B615" s="1" t="s">
        <v>532</v>
      </c>
      <c r="C615" s="1" t="s">
        <v>1425</v>
      </c>
      <c r="D615" s="3">
        <v>1.32</v>
      </c>
    </row>
    <row r="616">
      <c r="A616" s="1" t="s">
        <v>727</v>
      </c>
      <c r="B616" s="1" t="s">
        <v>532</v>
      </c>
      <c r="C616" s="1" t="s">
        <v>1426</v>
      </c>
      <c r="D616" s="3">
        <v>2.11</v>
      </c>
    </row>
    <row r="617">
      <c r="A617" s="1" t="s">
        <v>735</v>
      </c>
      <c r="B617" s="1" t="s">
        <v>680</v>
      </c>
      <c r="C617" s="1" t="s">
        <v>1427</v>
      </c>
      <c r="D617" s="3">
        <v>1.87</v>
      </c>
    </row>
    <row r="618">
      <c r="A618" s="1" t="s">
        <v>727</v>
      </c>
      <c r="B618" s="1" t="s">
        <v>532</v>
      </c>
      <c r="C618" s="1" t="s">
        <v>1428</v>
      </c>
      <c r="D618" s="3">
        <v>1.78</v>
      </c>
    </row>
    <row r="619">
      <c r="A619" s="1" t="s">
        <v>721</v>
      </c>
      <c r="B619" s="1" t="s">
        <v>147</v>
      </c>
      <c r="C619" s="1" t="s">
        <v>1429</v>
      </c>
      <c r="D619" s="3">
        <v>2.19</v>
      </c>
    </row>
    <row r="620">
      <c r="A620" s="1" t="s">
        <v>1430</v>
      </c>
      <c r="B620" s="1" t="s">
        <v>448</v>
      </c>
      <c r="C620" s="1" t="s">
        <v>1431</v>
      </c>
      <c r="D620" s="3">
        <v>0.97</v>
      </c>
    </row>
    <row r="621">
      <c r="A621" s="1" t="s">
        <v>721</v>
      </c>
      <c r="B621" s="1" t="s">
        <v>147</v>
      </c>
      <c r="C621" s="1" t="s">
        <v>1432</v>
      </c>
      <c r="D621" s="3">
        <v>0.97</v>
      </c>
    </row>
    <row r="622">
      <c r="A622" s="1" t="s">
        <v>1267</v>
      </c>
      <c r="B622" s="1" t="s">
        <v>318</v>
      </c>
      <c r="C622" s="1" t="s">
        <v>1433</v>
      </c>
      <c r="D622" s="3">
        <v>0.94</v>
      </c>
    </row>
    <row r="623">
      <c r="A623" s="1" t="s">
        <v>740</v>
      </c>
      <c r="B623" s="1" t="s">
        <v>508</v>
      </c>
      <c r="C623" s="1" t="s">
        <v>1434</v>
      </c>
      <c r="D623" s="3">
        <v>1.49</v>
      </c>
    </row>
    <row r="624">
      <c r="A624" s="1" t="s">
        <v>721</v>
      </c>
      <c r="B624" s="1" t="s">
        <v>147</v>
      </c>
      <c r="C624" s="1" t="s">
        <v>1435</v>
      </c>
      <c r="D624" s="3">
        <v>1.7</v>
      </c>
    </row>
    <row r="625">
      <c r="A625" s="1" t="s">
        <v>721</v>
      </c>
      <c r="B625" s="1" t="s">
        <v>147</v>
      </c>
      <c r="C625" s="1" t="s">
        <v>1436</v>
      </c>
      <c r="D625" s="3">
        <v>1.77</v>
      </c>
    </row>
    <row r="626">
      <c r="A626" s="1" t="s">
        <v>721</v>
      </c>
      <c r="B626" s="1" t="s">
        <v>147</v>
      </c>
      <c r="C626" s="1" t="s">
        <v>1437</v>
      </c>
      <c r="D626" s="3">
        <v>1.34</v>
      </c>
    </row>
    <row r="627">
      <c r="A627" s="1" t="s">
        <v>721</v>
      </c>
      <c r="B627" s="1" t="s">
        <v>147</v>
      </c>
      <c r="C627" s="1" t="s">
        <v>1438</v>
      </c>
      <c r="D627" s="3">
        <v>1.52</v>
      </c>
    </row>
    <row r="628">
      <c r="A628" s="1" t="s">
        <v>754</v>
      </c>
      <c r="B628" s="1" t="s">
        <v>47</v>
      </c>
      <c r="C628" s="1" t="s">
        <v>1439</v>
      </c>
      <c r="D628" s="3">
        <v>1.97</v>
      </c>
    </row>
    <row r="629">
      <c r="A629" s="1" t="s">
        <v>1018</v>
      </c>
      <c r="B629" s="1" t="s">
        <v>191</v>
      </c>
      <c r="C629" s="1" t="s">
        <v>1440</v>
      </c>
      <c r="D629" s="3">
        <v>2.02</v>
      </c>
    </row>
    <row r="630">
      <c r="A630" s="1" t="s">
        <v>863</v>
      </c>
      <c r="B630" s="1" t="s">
        <v>162</v>
      </c>
      <c r="C630" s="1" t="s">
        <v>1441</v>
      </c>
      <c r="D630" s="3">
        <v>0.86</v>
      </c>
    </row>
    <row r="631">
      <c r="A631" s="1" t="s">
        <v>740</v>
      </c>
      <c r="B631" s="1" t="s">
        <v>508</v>
      </c>
      <c r="C631" s="1" t="s">
        <v>1442</v>
      </c>
      <c r="D631" s="3">
        <v>1.82</v>
      </c>
    </row>
    <row r="632">
      <c r="A632" s="1" t="s">
        <v>725</v>
      </c>
      <c r="B632" s="1" t="s">
        <v>227</v>
      </c>
      <c r="C632" s="1" t="s">
        <v>1443</v>
      </c>
      <c r="D632" s="3">
        <v>1.26</v>
      </c>
    </row>
    <row r="633">
      <c r="A633" s="1" t="s">
        <v>721</v>
      </c>
      <c r="B633" s="1" t="s">
        <v>147</v>
      </c>
      <c r="C633" s="1" t="s">
        <v>1444</v>
      </c>
      <c r="D633" s="3">
        <v>1.05</v>
      </c>
    </row>
    <row r="634">
      <c r="A634" s="1" t="s">
        <v>721</v>
      </c>
      <c r="B634" s="1" t="s">
        <v>147</v>
      </c>
      <c r="C634" s="1" t="s">
        <v>1445</v>
      </c>
      <c r="D634" s="3">
        <v>1.06</v>
      </c>
    </row>
    <row r="635">
      <c r="A635" s="1" t="s">
        <v>1082</v>
      </c>
      <c r="B635" s="1" t="s">
        <v>72</v>
      </c>
      <c r="C635" s="1" t="s">
        <v>1446</v>
      </c>
      <c r="D635" s="3">
        <v>1.19</v>
      </c>
    </row>
    <row r="636">
      <c r="A636" s="1" t="s">
        <v>721</v>
      </c>
      <c r="B636" s="1" t="s">
        <v>147</v>
      </c>
      <c r="C636" s="1" t="s">
        <v>1447</v>
      </c>
      <c r="D636" s="3">
        <v>1.47</v>
      </c>
    </row>
    <row r="637">
      <c r="A637" s="1" t="s">
        <v>748</v>
      </c>
      <c r="B637" s="1" t="s">
        <v>129</v>
      </c>
      <c r="C637" s="1" t="s">
        <v>1448</v>
      </c>
      <c r="D637" s="3">
        <v>1.41</v>
      </c>
    </row>
    <row r="638">
      <c r="A638" s="1" t="s">
        <v>740</v>
      </c>
      <c r="B638" s="1" t="s">
        <v>508</v>
      </c>
      <c r="C638" s="1" t="s">
        <v>1449</v>
      </c>
      <c r="D638" s="3">
        <v>2.15</v>
      </c>
    </row>
    <row r="639">
      <c r="A639" s="1" t="s">
        <v>1100</v>
      </c>
      <c r="B639" s="1" t="s">
        <v>153</v>
      </c>
      <c r="C639" s="1" t="s">
        <v>1450</v>
      </c>
      <c r="D639" s="3">
        <v>0.93</v>
      </c>
    </row>
    <row r="640">
      <c r="A640" s="1" t="s">
        <v>723</v>
      </c>
      <c r="B640" s="1" t="s">
        <v>511</v>
      </c>
      <c r="C640" s="1" t="s">
        <v>1451</v>
      </c>
      <c r="D640" s="3">
        <v>1.21</v>
      </c>
    </row>
    <row r="641">
      <c r="A641" s="1" t="s">
        <v>754</v>
      </c>
      <c r="B641" s="1" t="s">
        <v>47</v>
      </c>
      <c r="C641" s="1" t="s">
        <v>1452</v>
      </c>
      <c r="D641" s="3">
        <v>2.17</v>
      </c>
    </row>
    <row r="642">
      <c r="A642" s="1" t="s">
        <v>721</v>
      </c>
      <c r="B642" s="1" t="s">
        <v>147</v>
      </c>
      <c r="C642" s="1" t="s">
        <v>1453</v>
      </c>
      <c r="D642" s="3">
        <v>1.19</v>
      </c>
    </row>
    <row r="643">
      <c r="A643" s="1" t="s">
        <v>723</v>
      </c>
      <c r="B643" s="1" t="s">
        <v>511</v>
      </c>
      <c r="C643" s="1" t="s">
        <v>1454</v>
      </c>
      <c r="D643" s="3">
        <v>1.29</v>
      </c>
    </row>
    <row r="644">
      <c r="A644" s="1" t="s">
        <v>782</v>
      </c>
      <c r="B644" s="1" t="s">
        <v>413</v>
      </c>
      <c r="C644" s="1" t="s">
        <v>1455</v>
      </c>
      <c r="D644" s="3">
        <v>1.14</v>
      </c>
    </row>
    <row r="645">
      <c r="A645" s="1" t="s">
        <v>740</v>
      </c>
      <c r="B645" s="1" t="s">
        <v>508</v>
      </c>
      <c r="C645" s="1" t="s">
        <v>1456</v>
      </c>
      <c r="D645" s="3">
        <v>1.84</v>
      </c>
    </row>
    <row r="646">
      <c r="A646" s="1" t="s">
        <v>1043</v>
      </c>
      <c r="B646" s="1" t="s">
        <v>632</v>
      </c>
      <c r="C646" s="1" t="s">
        <v>1457</v>
      </c>
      <c r="D646" s="3">
        <v>1.53</v>
      </c>
    </row>
    <row r="647">
      <c r="A647" s="1" t="s">
        <v>729</v>
      </c>
      <c r="B647" s="1" t="s">
        <v>514</v>
      </c>
      <c r="C647" s="1" t="s">
        <v>1458</v>
      </c>
      <c r="D647" s="3">
        <v>2.09</v>
      </c>
    </row>
    <row r="648">
      <c r="A648" s="1" t="s">
        <v>727</v>
      </c>
      <c r="B648" s="1" t="s">
        <v>532</v>
      </c>
      <c r="C648" s="1" t="s">
        <v>1459</v>
      </c>
      <c r="D648" s="3">
        <v>1.06</v>
      </c>
    </row>
    <row r="649">
      <c r="A649" s="1" t="s">
        <v>748</v>
      </c>
      <c r="B649" s="1" t="s">
        <v>129</v>
      </c>
      <c r="C649" s="1" t="s">
        <v>1460</v>
      </c>
      <c r="D649" s="3">
        <v>1.95</v>
      </c>
    </row>
    <row r="650">
      <c r="A650" s="1" t="s">
        <v>727</v>
      </c>
      <c r="B650" s="1" t="s">
        <v>532</v>
      </c>
      <c r="C650" s="1" t="s">
        <v>1461</v>
      </c>
      <c r="D650" s="3">
        <v>1.52</v>
      </c>
    </row>
    <row r="651">
      <c r="A651" s="1" t="s">
        <v>976</v>
      </c>
      <c r="B651" s="1" t="s">
        <v>200</v>
      </c>
      <c r="C651" s="1" t="s">
        <v>1462</v>
      </c>
      <c r="D651" s="3">
        <v>1.1</v>
      </c>
    </row>
    <row r="652">
      <c r="A652" s="1" t="s">
        <v>740</v>
      </c>
      <c r="B652" s="1" t="s">
        <v>508</v>
      </c>
      <c r="C652" s="1" t="s">
        <v>1463</v>
      </c>
      <c r="D652" s="3">
        <v>0.86</v>
      </c>
    </row>
    <row r="653">
      <c r="A653" s="1" t="s">
        <v>1464</v>
      </c>
      <c r="B653" s="1" t="s">
        <v>348</v>
      </c>
      <c r="C653" s="1" t="s">
        <v>1465</v>
      </c>
      <c r="D653" s="3">
        <v>1.29</v>
      </c>
    </row>
    <row r="654">
      <c r="A654" s="1" t="s">
        <v>729</v>
      </c>
      <c r="B654" s="1" t="s">
        <v>514</v>
      </c>
      <c r="C654" s="1" t="s">
        <v>1466</v>
      </c>
      <c r="D654" s="3">
        <v>1.44</v>
      </c>
    </row>
    <row r="655">
      <c r="A655" s="1" t="s">
        <v>733</v>
      </c>
      <c r="B655" s="1" t="s">
        <v>300</v>
      </c>
      <c r="C655" s="1" t="s">
        <v>1467</v>
      </c>
      <c r="D655" s="3">
        <v>1.61</v>
      </c>
    </row>
    <row r="656">
      <c r="A656" s="1" t="s">
        <v>721</v>
      </c>
      <c r="B656" s="1" t="s">
        <v>147</v>
      </c>
      <c r="C656" s="1" t="s">
        <v>1468</v>
      </c>
      <c r="D656" s="3">
        <v>2.2</v>
      </c>
    </row>
    <row r="657">
      <c r="A657" s="1" t="s">
        <v>729</v>
      </c>
      <c r="B657" s="1" t="s">
        <v>514</v>
      </c>
      <c r="C657" s="1" t="s">
        <v>1469</v>
      </c>
      <c r="D657" s="3">
        <v>0.9</v>
      </c>
    </row>
    <row r="658">
      <c r="A658" s="1" t="s">
        <v>733</v>
      </c>
      <c r="B658" s="1" t="s">
        <v>300</v>
      </c>
      <c r="C658" s="1" t="s">
        <v>1470</v>
      </c>
      <c r="D658" s="3">
        <v>1.16</v>
      </c>
    </row>
    <row r="659">
      <c r="A659" s="1" t="s">
        <v>1318</v>
      </c>
      <c r="B659" s="1" t="s">
        <v>487</v>
      </c>
      <c r="C659" s="1" t="s">
        <v>1471</v>
      </c>
      <c r="D659" s="3">
        <v>1.82</v>
      </c>
    </row>
    <row r="660">
      <c r="A660" s="1" t="s">
        <v>733</v>
      </c>
      <c r="B660" s="1" t="s">
        <v>300</v>
      </c>
      <c r="C660" s="1" t="s">
        <v>1472</v>
      </c>
      <c r="D660" s="3">
        <v>1.15</v>
      </c>
    </row>
    <row r="661">
      <c r="A661" s="1" t="s">
        <v>1363</v>
      </c>
      <c r="B661" s="1" t="s">
        <v>99</v>
      </c>
      <c r="C661" s="1" t="s">
        <v>1473</v>
      </c>
      <c r="D661" s="3">
        <v>0.96</v>
      </c>
    </row>
    <row r="662">
      <c r="A662" s="1" t="s">
        <v>863</v>
      </c>
      <c r="B662" s="1" t="s">
        <v>162</v>
      </c>
      <c r="C662" s="1" t="s">
        <v>1474</v>
      </c>
      <c r="D662" s="3">
        <v>2.14</v>
      </c>
    </row>
    <row r="663">
      <c r="A663" s="1" t="s">
        <v>733</v>
      </c>
      <c r="B663" s="1" t="s">
        <v>300</v>
      </c>
      <c r="C663" s="1" t="s">
        <v>1475</v>
      </c>
      <c r="D663" s="3">
        <v>1.82</v>
      </c>
    </row>
    <row r="664">
      <c r="A664" s="1" t="s">
        <v>721</v>
      </c>
      <c r="B664" s="1" t="s">
        <v>147</v>
      </c>
      <c r="C664" s="1" t="s">
        <v>1476</v>
      </c>
      <c r="D664" s="3">
        <v>2.12</v>
      </c>
    </row>
    <row r="665">
      <c r="A665" s="1" t="s">
        <v>721</v>
      </c>
      <c r="B665" s="1" t="s">
        <v>147</v>
      </c>
      <c r="C665" s="1" t="s">
        <v>1477</v>
      </c>
      <c r="D665" s="3">
        <v>1.55</v>
      </c>
    </row>
    <row r="666">
      <c r="A666" s="1" t="s">
        <v>908</v>
      </c>
      <c r="B666" s="1" t="s">
        <v>309</v>
      </c>
      <c r="C666" s="1" t="s">
        <v>1478</v>
      </c>
      <c r="D666" s="3">
        <v>2.03</v>
      </c>
    </row>
    <row r="667">
      <c r="A667" s="1" t="s">
        <v>746</v>
      </c>
      <c r="B667" s="1" t="s">
        <v>505</v>
      </c>
      <c r="C667" s="1" t="s">
        <v>1166</v>
      </c>
      <c r="D667" s="3">
        <v>1.41</v>
      </c>
    </row>
    <row r="668">
      <c r="A668" s="1" t="s">
        <v>769</v>
      </c>
      <c r="B668" s="1" t="s">
        <v>105</v>
      </c>
      <c r="C668" s="1" t="s">
        <v>1479</v>
      </c>
      <c r="D668" s="3">
        <v>1.18</v>
      </c>
    </row>
    <row r="669">
      <c r="A669" s="1" t="s">
        <v>748</v>
      </c>
      <c r="B669" s="1" t="s">
        <v>129</v>
      </c>
      <c r="C669" s="1" t="s">
        <v>1480</v>
      </c>
      <c r="D669" s="3">
        <v>2.04</v>
      </c>
    </row>
    <row r="670">
      <c r="A670" s="1" t="s">
        <v>729</v>
      </c>
      <c r="B670" s="1" t="s">
        <v>514</v>
      </c>
      <c r="C670" s="1" t="s">
        <v>1481</v>
      </c>
      <c r="D670" s="3">
        <v>1.34</v>
      </c>
    </row>
    <row r="671">
      <c r="A671" s="1" t="s">
        <v>727</v>
      </c>
      <c r="B671" s="1" t="s">
        <v>532</v>
      </c>
      <c r="C671" s="1" t="s">
        <v>1482</v>
      </c>
      <c r="D671" s="3">
        <v>1.96</v>
      </c>
    </row>
    <row r="672">
      <c r="A672" s="1" t="s">
        <v>740</v>
      </c>
      <c r="B672" s="1" t="s">
        <v>508</v>
      </c>
      <c r="C672" s="1" t="s">
        <v>1483</v>
      </c>
      <c r="D672" s="3">
        <v>0.92</v>
      </c>
    </row>
    <row r="673">
      <c r="A673" s="1" t="s">
        <v>735</v>
      </c>
      <c r="B673" s="1" t="s">
        <v>680</v>
      </c>
      <c r="C673" s="1" t="s">
        <v>1484</v>
      </c>
      <c r="D673" s="3">
        <v>2.11</v>
      </c>
    </row>
    <row r="674">
      <c r="A674" s="1" t="s">
        <v>765</v>
      </c>
      <c r="B674" s="1" t="s">
        <v>174</v>
      </c>
      <c r="C674" s="1" t="s">
        <v>1485</v>
      </c>
      <c r="D674" s="3">
        <v>1.27</v>
      </c>
    </row>
    <row r="675">
      <c r="A675" s="1" t="s">
        <v>1414</v>
      </c>
      <c r="B675" s="1" t="s">
        <v>141</v>
      </c>
      <c r="C675" s="1" t="s">
        <v>1486</v>
      </c>
      <c r="D675" s="3">
        <v>0.85</v>
      </c>
    </row>
    <row r="676">
      <c r="A676" s="1" t="s">
        <v>769</v>
      </c>
      <c r="B676" s="1" t="s">
        <v>105</v>
      </c>
      <c r="C676" s="1" t="s">
        <v>1487</v>
      </c>
      <c r="D676" s="3">
        <v>1.56</v>
      </c>
    </row>
    <row r="677">
      <c r="A677" s="1" t="s">
        <v>721</v>
      </c>
      <c r="B677" s="1" t="s">
        <v>147</v>
      </c>
      <c r="C677" s="1" t="s">
        <v>1488</v>
      </c>
      <c r="D677" s="3">
        <v>1.8</v>
      </c>
    </row>
    <row r="678">
      <c r="A678" s="1" t="s">
        <v>721</v>
      </c>
      <c r="B678" s="1" t="s">
        <v>147</v>
      </c>
      <c r="C678" s="1" t="s">
        <v>1489</v>
      </c>
      <c r="D678" s="3">
        <v>2.04</v>
      </c>
    </row>
    <row r="679">
      <c r="A679" s="1" t="s">
        <v>1128</v>
      </c>
      <c r="B679" s="1" t="s">
        <v>303</v>
      </c>
      <c r="C679" s="1" t="s">
        <v>1490</v>
      </c>
      <c r="D679" s="3">
        <v>2.09</v>
      </c>
    </row>
    <row r="680">
      <c r="A680" s="1" t="s">
        <v>727</v>
      </c>
      <c r="B680" s="1" t="s">
        <v>532</v>
      </c>
      <c r="C680" s="1" t="s">
        <v>1491</v>
      </c>
      <c r="D680" s="3">
        <v>1.04</v>
      </c>
    </row>
    <row r="681">
      <c r="A681" s="1" t="s">
        <v>831</v>
      </c>
      <c r="B681" s="1" t="s">
        <v>623</v>
      </c>
      <c r="C681" s="1" t="s">
        <v>1492</v>
      </c>
      <c r="D681" s="3">
        <v>1.78</v>
      </c>
    </row>
    <row r="682">
      <c r="A682" s="1" t="s">
        <v>723</v>
      </c>
      <c r="B682" s="1" t="s">
        <v>511</v>
      </c>
      <c r="C682" s="1" t="s">
        <v>1054</v>
      </c>
      <c r="D682" s="3">
        <v>1.24</v>
      </c>
    </row>
    <row r="683">
      <c r="A683" s="1" t="s">
        <v>1493</v>
      </c>
      <c r="B683" s="1" t="s">
        <v>544</v>
      </c>
      <c r="C683" s="1" t="s">
        <v>1494</v>
      </c>
      <c r="D683" s="3">
        <v>2.07</v>
      </c>
    </row>
    <row r="684">
      <c r="A684" s="1" t="s">
        <v>1241</v>
      </c>
      <c r="B684" s="1" t="s">
        <v>372</v>
      </c>
      <c r="C684" s="1" t="s">
        <v>1495</v>
      </c>
      <c r="D684" s="3">
        <v>1.33</v>
      </c>
    </row>
    <row r="685">
      <c r="A685" s="1" t="s">
        <v>729</v>
      </c>
      <c r="B685" s="1" t="s">
        <v>514</v>
      </c>
      <c r="C685" s="1" t="s">
        <v>1496</v>
      </c>
      <c r="D685" s="3">
        <v>1.73</v>
      </c>
    </row>
    <row r="686">
      <c r="A686" s="1" t="s">
        <v>884</v>
      </c>
      <c r="B686" s="1" t="s">
        <v>671</v>
      </c>
      <c r="C686" s="1" t="s">
        <v>1497</v>
      </c>
      <c r="D686" s="3">
        <v>1.56</v>
      </c>
    </row>
    <row r="687">
      <c r="A687" s="1" t="s">
        <v>740</v>
      </c>
      <c r="B687" s="1" t="s">
        <v>508</v>
      </c>
      <c r="C687" s="1" t="s">
        <v>1498</v>
      </c>
      <c r="D687" s="3">
        <v>0.98</v>
      </c>
    </row>
    <row r="688">
      <c r="A688" s="1" t="s">
        <v>740</v>
      </c>
      <c r="B688" s="1" t="s">
        <v>508</v>
      </c>
      <c r="C688" s="1" t="s">
        <v>1499</v>
      </c>
      <c r="D688" s="3">
        <v>2.18</v>
      </c>
    </row>
    <row r="689">
      <c r="A689" s="1" t="s">
        <v>723</v>
      </c>
      <c r="B689" s="1" t="s">
        <v>511</v>
      </c>
      <c r="C689" s="1" t="s">
        <v>1233</v>
      </c>
      <c r="D689" s="3">
        <v>1.14</v>
      </c>
    </row>
    <row r="690">
      <c r="A690" s="1" t="s">
        <v>721</v>
      </c>
      <c r="B690" s="1" t="s">
        <v>147</v>
      </c>
      <c r="C690" s="1" t="s">
        <v>1500</v>
      </c>
      <c r="D690" s="3">
        <v>1.54</v>
      </c>
    </row>
    <row r="691">
      <c r="A691" s="1" t="s">
        <v>721</v>
      </c>
      <c r="B691" s="1" t="s">
        <v>147</v>
      </c>
      <c r="C691" s="1" t="s">
        <v>1501</v>
      </c>
      <c r="D691" s="3">
        <v>1.0</v>
      </c>
    </row>
    <row r="692">
      <c r="A692" s="1" t="s">
        <v>925</v>
      </c>
      <c r="B692" s="1" t="s">
        <v>51</v>
      </c>
      <c r="C692" s="1" t="s">
        <v>1502</v>
      </c>
      <c r="D692" s="3">
        <v>2.16</v>
      </c>
    </row>
    <row r="693">
      <c r="A693" s="1" t="s">
        <v>723</v>
      </c>
      <c r="B693" s="1" t="s">
        <v>511</v>
      </c>
      <c r="C693" s="1" t="s">
        <v>1503</v>
      </c>
      <c r="D693" s="3">
        <v>1.91</v>
      </c>
    </row>
    <row r="694">
      <c r="A694" s="1" t="s">
        <v>721</v>
      </c>
      <c r="B694" s="1" t="s">
        <v>147</v>
      </c>
      <c r="C694" s="1" t="s">
        <v>1504</v>
      </c>
      <c r="D694" s="3">
        <v>2.13</v>
      </c>
    </row>
    <row r="695">
      <c r="A695" s="1" t="s">
        <v>1505</v>
      </c>
      <c r="B695" s="1" t="s">
        <v>689</v>
      </c>
      <c r="C695" s="1" t="s">
        <v>1506</v>
      </c>
      <c r="D695" s="3">
        <v>1.97</v>
      </c>
    </row>
    <row r="696">
      <c r="A696" s="1" t="s">
        <v>727</v>
      </c>
      <c r="B696" s="1" t="s">
        <v>532</v>
      </c>
      <c r="C696" s="1" t="s">
        <v>1020</v>
      </c>
      <c r="D696" s="3">
        <v>1.34</v>
      </c>
    </row>
    <row r="697">
      <c r="A697" s="1" t="s">
        <v>769</v>
      </c>
      <c r="B697" s="1" t="s">
        <v>105</v>
      </c>
      <c r="C697" s="1" t="s">
        <v>1282</v>
      </c>
      <c r="D697" s="3">
        <v>0.94</v>
      </c>
    </row>
    <row r="698">
      <c r="A698" s="1" t="s">
        <v>1507</v>
      </c>
      <c r="B698" s="1" t="s">
        <v>63</v>
      </c>
      <c r="C698" s="1" t="s">
        <v>1508</v>
      </c>
      <c r="D698" s="3">
        <v>1.03</v>
      </c>
    </row>
    <row r="699">
      <c r="A699" s="1" t="s">
        <v>733</v>
      </c>
      <c r="B699" s="1" t="s">
        <v>300</v>
      </c>
      <c r="C699" s="1" t="s">
        <v>1509</v>
      </c>
      <c r="D699" s="3">
        <v>2.16</v>
      </c>
    </row>
    <row r="700">
      <c r="A700" s="1" t="s">
        <v>754</v>
      </c>
      <c r="B700" s="1" t="s">
        <v>47</v>
      </c>
      <c r="C700" s="1" t="s">
        <v>1510</v>
      </c>
      <c r="D700" s="3">
        <v>1.67</v>
      </c>
    </row>
    <row r="701">
      <c r="A701" s="1" t="s">
        <v>740</v>
      </c>
      <c r="B701" s="1" t="s">
        <v>508</v>
      </c>
      <c r="C701" s="1" t="s">
        <v>1511</v>
      </c>
      <c r="D701" s="3">
        <v>0.89</v>
      </c>
    </row>
    <row r="702">
      <c r="A702" s="1" t="s">
        <v>729</v>
      </c>
      <c r="B702" s="1" t="s">
        <v>514</v>
      </c>
      <c r="C702" s="1" t="s">
        <v>1512</v>
      </c>
      <c r="D702" s="3">
        <v>2.07</v>
      </c>
    </row>
    <row r="703">
      <c r="A703" s="1" t="s">
        <v>777</v>
      </c>
      <c r="B703" s="1" t="s">
        <v>617</v>
      </c>
      <c r="C703" s="1" t="s">
        <v>1513</v>
      </c>
      <c r="D703" s="3">
        <v>1.8</v>
      </c>
    </row>
    <row r="704">
      <c r="A704" s="1" t="s">
        <v>727</v>
      </c>
      <c r="B704" s="1" t="s">
        <v>532</v>
      </c>
      <c r="C704" s="1" t="s">
        <v>1514</v>
      </c>
      <c r="D704" s="3">
        <v>0.94</v>
      </c>
    </row>
    <row r="705">
      <c r="A705" s="1" t="s">
        <v>721</v>
      </c>
      <c r="B705" s="1" t="s">
        <v>147</v>
      </c>
      <c r="C705" s="1" t="s">
        <v>1515</v>
      </c>
      <c r="D705" s="3">
        <v>1.19</v>
      </c>
    </row>
    <row r="706">
      <c r="A706" s="1" t="s">
        <v>938</v>
      </c>
      <c r="B706" s="1" t="s">
        <v>268</v>
      </c>
      <c r="C706" s="1" t="s">
        <v>1516</v>
      </c>
      <c r="D706" s="3">
        <v>1.53</v>
      </c>
    </row>
    <row r="707">
      <c r="A707" s="1" t="s">
        <v>1297</v>
      </c>
      <c r="B707" s="1" t="s">
        <v>18</v>
      </c>
      <c r="C707" s="1" t="s">
        <v>1517</v>
      </c>
      <c r="D707" s="3">
        <v>1.69</v>
      </c>
    </row>
    <row r="708">
      <c r="A708" s="1" t="s">
        <v>721</v>
      </c>
      <c r="B708" s="1" t="s">
        <v>147</v>
      </c>
      <c r="C708" s="1" t="s">
        <v>1518</v>
      </c>
      <c r="D708" s="3">
        <v>0.97</v>
      </c>
    </row>
    <row r="709">
      <c r="A709" s="1" t="s">
        <v>777</v>
      </c>
      <c r="B709" s="1" t="s">
        <v>617</v>
      </c>
      <c r="C709" s="1" t="s">
        <v>1519</v>
      </c>
      <c r="D709" s="3">
        <v>2.11</v>
      </c>
    </row>
    <row r="710">
      <c r="A710" s="1" t="s">
        <v>1178</v>
      </c>
      <c r="B710" s="1" t="s">
        <v>460</v>
      </c>
      <c r="C710" s="1" t="s">
        <v>1520</v>
      </c>
      <c r="D710" s="3">
        <v>1.66</v>
      </c>
    </row>
    <row r="711">
      <c r="A711" s="1" t="s">
        <v>1521</v>
      </c>
      <c r="B711" s="1" t="s">
        <v>608</v>
      </c>
      <c r="C711" s="1" t="s">
        <v>1522</v>
      </c>
      <c r="D711" s="3">
        <v>2.09</v>
      </c>
    </row>
    <row r="712">
      <c r="A712" s="1" t="s">
        <v>782</v>
      </c>
      <c r="B712" s="1" t="s">
        <v>413</v>
      </c>
      <c r="C712" s="1" t="s">
        <v>734</v>
      </c>
      <c r="D712" s="3">
        <v>1.73</v>
      </c>
    </row>
    <row r="713">
      <c r="A713" s="1" t="s">
        <v>831</v>
      </c>
      <c r="B713" s="1" t="s">
        <v>623</v>
      </c>
      <c r="C713" s="1" t="s">
        <v>1523</v>
      </c>
      <c r="D713" s="3">
        <v>1.88</v>
      </c>
    </row>
    <row r="714">
      <c r="A714" s="1" t="s">
        <v>782</v>
      </c>
      <c r="B714" s="1" t="s">
        <v>413</v>
      </c>
      <c r="C714" s="1" t="s">
        <v>1524</v>
      </c>
      <c r="D714" s="3">
        <v>1.13</v>
      </c>
    </row>
    <row r="715">
      <c r="A715" s="1" t="s">
        <v>740</v>
      </c>
      <c r="B715" s="1" t="s">
        <v>508</v>
      </c>
      <c r="C715" s="1" t="s">
        <v>1525</v>
      </c>
      <c r="D715" s="3">
        <v>0.96</v>
      </c>
    </row>
    <row r="716">
      <c r="A716" s="1" t="s">
        <v>1107</v>
      </c>
      <c r="B716" s="1" t="s">
        <v>283</v>
      </c>
      <c r="C716" s="1" t="s">
        <v>1526</v>
      </c>
      <c r="D716" s="3">
        <v>1.75</v>
      </c>
    </row>
    <row r="717">
      <c r="A717" s="1" t="s">
        <v>733</v>
      </c>
      <c r="B717" s="1" t="s">
        <v>300</v>
      </c>
      <c r="C717" s="1" t="s">
        <v>1042</v>
      </c>
      <c r="D717" s="3">
        <v>0.92</v>
      </c>
    </row>
    <row r="718">
      <c r="A718" s="1" t="s">
        <v>1241</v>
      </c>
      <c r="B718" s="1" t="s">
        <v>372</v>
      </c>
      <c r="C718" s="1" t="s">
        <v>1527</v>
      </c>
      <c r="D718" s="3">
        <v>2.15</v>
      </c>
    </row>
    <row r="719">
      <c r="A719" s="1" t="s">
        <v>721</v>
      </c>
      <c r="B719" s="1" t="s">
        <v>147</v>
      </c>
      <c r="C719" s="1" t="s">
        <v>1528</v>
      </c>
      <c r="D719" s="3">
        <v>1.3</v>
      </c>
    </row>
    <row r="720">
      <c r="A720" s="1" t="s">
        <v>727</v>
      </c>
      <c r="B720" s="1" t="s">
        <v>532</v>
      </c>
      <c r="C720" s="1" t="s">
        <v>1529</v>
      </c>
      <c r="D720" s="3">
        <v>2.14</v>
      </c>
    </row>
    <row r="721">
      <c r="A721" s="1" t="s">
        <v>763</v>
      </c>
      <c r="B721" s="1" t="s">
        <v>327</v>
      </c>
      <c r="C721" s="1" t="s">
        <v>1530</v>
      </c>
      <c r="D721" s="3">
        <v>1.54</v>
      </c>
    </row>
    <row r="722">
      <c r="A722" s="1" t="s">
        <v>727</v>
      </c>
      <c r="B722" s="1" t="s">
        <v>532</v>
      </c>
      <c r="C722" s="1" t="s">
        <v>1531</v>
      </c>
      <c r="D722" s="3">
        <v>1.46</v>
      </c>
    </row>
    <row r="723">
      <c r="A723" s="1" t="s">
        <v>763</v>
      </c>
      <c r="B723" s="1" t="s">
        <v>327</v>
      </c>
      <c r="C723" s="1" t="s">
        <v>1532</v>
      </c>
      <c r="D723" s="3">
        <v>2.23</v>
      </c>
    </row>
    <row r="724">
      <c r="A724" s="1" t="s">
        <v>884</v>
      </c>
      <c r="B724" s="1" t="s">
        <v>671</v>
      </c>
      <c r="C724" s="1" t="s">
        <v>1533</v>
      </c>
      <c r="D724" s="3">
        <v>1.29</v>
      </c>
    </row>
    <row r="725">
      <c r="A725" s="1" t="s">
        <v>721</v>
      </c>
      <c r="B725" s="1" t="s">
        <v>147</v>
      </c>
      <c r="C725" s="1" t="s">
        <v>1534</v>
      </c>
      <c r="D725" s="3">
        <v>2.22</v>
      </c>
    </row>
    <row r="726">
      <c r="A726" s="1" t="s">
        <v>769</v>
      </c>
      <c r="B726" s="1" t="s">
        <v>105</v>
      </c>
      <c r="C726" s="1" t="s">
        <v>1535</v>
      </c>
      <c r="D726" s="3">
        <v>1.43</v>
      </c>
    </row>
    <row r="727">
      <c r="A727" s="1" t="s">
        <v>936</v>
      </c>
      <c r="B727" s="1" t="s">
        <v>697</v>
      </c>
      <c r="C727" s="1" t="s">
        <v>1536</v>
      </c>
      <c r="D727" s="3">
        <v>1.81</v>
      </c>
    </row>
    <row r="728">
      <c r="A728" s="1" t="s">
        <v>733</v>
      </c>
      <c r="B728" s="1" t="s">
        <v>300</v>
      </c>
      <c r="C728" s="1" t="s">
        <v>1537</v>
      </c>
      <c r="D728" s="3">
        <v>1.45</v>
      </c>
    </row>
    <row r="729">
      <c r="A729" s="1" t="s">
        <v>721</v>
      </c>
      <c r="B729" s="1" t="s">
        <v>147</v>
      </c>
      <c r="C729" s="1" t="s">
        <v>1538</v>
      </c>
      <c r="D729" s="3">
        <v>1.51</v>
      </c>
    </row>
    <row r="730">
      <c r="A730" s="1" t="s">
        <v>964</v>
      </c>
      <c r="B730" s="1" t="s">
        <v>22</v>
      </c>
      <c r="C730" s="1" t="s">
        <v>755</v>
      </c>
      <c r="D730" s="3">
        <v>1.41</v>
      </c>
    </row>
    <row r="731">
      <c r="A731" s="1" t="s">
        <v>721</v>
      </c>
      <c r="B731" s="1" t="s">
        <v>147</v>
      </c>
      <c r="C731" s="1" t="s">
        <v>1539</v>
      </c>
      <c r="D731" s="3">
        <v>1.5</v>
      </c>
    </row>
    <row r="732">
      <c r="A732" s="1" t="s">
        <v>733</v>
      </c>
      <c r="B732" s="1" t="s">
        <v>300</v>
      </c>
      <c r="C732" s="1" t="s">
        <v>1540</v>
      </c>
      <c r="D732" s="3">
        <v>1.24</v>
      </c>
    </row>
    <row r="733">
      <c r="A733" s="1" t="s">
        <v>1541</v>
      </c>
      <c r="B733" s="1" t="s">
        <v>472</v>
      </c>
      <c r="C733" s="1" t="s">
        <v>1542</v>
      </c>
      <c r="D733" s="3">
        <v>1.59</v>
      </c>
    </row>
    <row r="734">
      <c r="A734" s="1" t="s">
        <v>740</v>
      </c>
      <c r="B734" s="1" t="s">
        <v>508</v>
      </c>
      <c r="C734" s="1" t="s">
        <v>1543</v>
      </c>
      <c r="D734" s="3">
        <v>1.77</v>
      </c>
    </row>
    <row r="735">
      <c r="A735" s="1" t="s">
        <v>733</v>
      </c>
      <c r="B735" s="1" t="s">
        <v>300</v>
      </c>
      <c r="C735" s="1" t="s">
        <v>1544</v>
      </c>
      <c r="D735" s="3">
        <v>0.99</v>
      </c>
    </row>
    <row r="736">
      <c r="A736" s="1" t="s">
        <v>721</v>
      </c>
      <c r="B736" s="1" t="s">
        <v>147</v>
      </c>
      <c r="C736" s="1" t="s">
        <v>1545</v>
      </c>
      <c r="D736" s="3">
        <v>1.52</v>
      </c>
    </row>
    <row r="737">
      <c r="A737" s="1" t="s">
        <v>721</v>
      </c>
      <c r="B737" s="1" t="s">
        <v>147</v>
      </c>
      <c r="C737" s="1" t="s">
        <v>1546</v>
      </c>
      <c r="D737" s="3">
        <v>1.33</v>
      </c>
    </row>
    <row r="738">
      <c r="A738" s="1" t="s">
        <v>769</v>
      </c>
      <c r="B738" s="1" t="s">
        <v>105</v>
      </c>
      <c r="C738" s="1" t="s">
        <v>1547</v>
      </c>
      <c r="D738" s="3">
        <v>1.32</v>
      </c>
    </row>
    <row r="739">
      <c r="A739" s="1" t="s">
        <v>725</v>
      </c>
      <c r="B739" s="1" t="s">
        <v>227</v>
      </c>
      <c r="C739" s="1" t="s">
        <v>1548</v>
      </c>
      <c r="D739" s="3">
        <v>1.6</v>
      </c>
    </row>
    <row r="740">
      <c r="A740" s="1" t="s">
        <v>723</v>
      </c>
      <c r="B740" s="1" t="s">
        <v>511</v>
      </c>
      <c r="C740" s="1" t="s">
        <v>1327</v>
      </c>
      <c r="D740" s="3">
        <v>0.85</v>
      </c>
    </row>
    <row r="741">
      <c r="A741" s="1" t="s">
        <v>731</v>
      </c>
      <c r="B741" s="1" t="s">
        <v>78</v>
      </c>
      <c r="C741" s="1" t="s">
        <v>1549</v>
      </c>
      <c r="D741" s="3">
        <v>1.6</v>
      </c>
    </row>
    <row r="742">
      <c r="A742" s="1" t="s">
        <v>1550</v>
      </c>
      <c r="B742" s="1" t="s">
        <v>194</v>
      </c>
      <c r="C742" s="1" t="s">
        <v>1551</v>
      </c>
      <c r="D742" s="3">
        <v>1.89</v>
      </c>
    </row>
    <row r="743">
      <c r="A743" s="1" t="s">
        <v>733</v>
      </c>
      <c r="B743" s="1" t="s">
        <v>300</v>
      </c>
      <c r="C743" s="1" t="s">
        <v>1552</v>
      </c>
      <c r="D743" s="3">
        <v>1.61</v>
      </c>
    </row>
    <row r="744">
      <c r="A744" s="1" t="s">
        <v>1553</v>
      </c>
      <c r="B744" s="1" t="s">
        <v>111</v>
      </c>
      <c r="C744" s="1" t="s">
        <v>1554</v>
      </c>
      <c r="D744" s="3">
        <v>1.41</v>
      </c>
    </row>
    <row r="745">
      <c r="A745" s="1" t="s">
        <v>731</v>
      </c>
      <c r="B745" s="1" t="s">
        <v>78</v>
      </c>
      <c r="C745" s="1" t="s">
        <v>1555</v>
      </c>
      <c r="D745" s="3">
        <v>1.72</v>
      </c>
    </row>
    <row r="746">
      <c r="A746" s="1" t="s">
        <v>735</v>
      </c>
      <c r="B746" s="1" t="s">
        <v>680</v>
      </c>
      <c r="C746" s="1" t="s">
        <v>1556</v>
      </c>
      <c r="D746" s="3">
        <v>2.13</v>
      </c>
    </row>
    <row r="747">
      <c r="A747" s="1" t="s">
        <v>721</v>
      </c>
      <c r="B747" s="1" t="s">
        <v>147</v>
      </c>
      <c r="C747" s="1" t="s">
        <v>1557</v>
      </c>
      <c r="D747" s="3">
        <v>0.94</v>
      </c>
    </row>
    <row r="748">
      <c r="A748" s="1" t="s">
        <v>777</v>
      </c>
      <c r="B748" s="1" t="s">
        <v>617</v>
      </c>
      <c r="C748" s="1" t="s">
        <v>1558</v>
      </c>
      <c r="D748" s="3">
        <v>1.81</v>
      </c>
    </row>
    <row r="749">
      <c r="A749" s="1" t="s">
        <v>1559</v>
      </c>
      <c r="B749" s="1" t="s">
        <v>66</v>
      </c>
      <c r="C749" s="1" t="s">
        <v>1560</v>
      </c>
      <c r="D749" s="3">
        <v>1.61</v>
      </c>
    </row>
    <row r="750">
      <c r="A750" s="1" t="s">
        <v>779</v>
      </c>
      <c r="B750" s="1" t="s">
        <v>700</v>
      </c>
      <c r="C750" s="1" t="s">
        <v>1561</v>
      </c>
      <c r="D750" s="3">
        <v>1.98</v>
      </c>
    </row>
    <row r="751">
      <c r="A751" s="1" t="s">
        <v>884</v>
      </c>
      <c r="B751" s="1" t="s">
        <v>671</v>
      </c>
      <c r="C751" s="1" t="s">
        <v>1562</v>
      </c>
      <c r="D751" s="3">
        <v>2.08</v>
      </c>
    </row>
    <row r="752">
      <c r="A752" s="1" t="s">
        <v>748</v>
      </c>
      <c r="B752" s="1" t="s">
        <v>129</v>
      </c>
      <c r="C752" s="1" t="s">
        <v>1563</v>
      </c>
      <c r="D752" s="3">
        <v>1.96</v>
      </c>
    </row>
    <row r="753">
      <c r="A753" s="1" t="s">
        <v>746</v>
      </c>
      <c r="B753" s="1" t="s">
        <v>505</v>
      </c>
      <c r="C753" s="1" t="s">
        <v>1564</v>
      </c>
      <c r="D753" s="3">
        <v>1.41</v>
      </c>
    </row>
    <row r="754">
      <c r="A754" s="1" t="s">
        <v>966</v>
      </c>
      <c r="B754" s="1" t="s">
        <v>481</v>
      </c>
      <c r="C754" s="1" t="s">
        <v>1404</v>
      </c>
      <c r="D754" s="3">
        <v>1.73</v>
      </c>
    </row>
    <row r="755">
      <c r="A755" s="1" t="s">
        <v>721</v>
      </c>
      <c r="B755" s="1" t="s">
        <v>147</v>
      </c>
      <c r="C755" s="1" t="s">
        <v>1565</v>
      </c>
      <c r="D755" s="3">
        <v>0.87</v>
      </c>
    </row>
    <row r="756">
      <c r="A756" s="1" t="s">
        <v>769</v>
      </c>
      <c r="B756" s="1" t="s">
        <v>105</v>
      </c>
      <c r="C756" s="1" t="s">
        <v>1566</v>
      </c>
      <c r="D756" s="3">
        <v>0.86</v>
      </c>
    </row>
    <row r="757">
      <c r="A757" s="1" t="s">
        <v>908</v>
      </c>
      <c r="B757" s="1" t="s">
        <v>309</v>
      </c>
      <c r="C757" s="1" t="s">
        <v>1567</v>
      </c>
      <c r="D757" s="3">
        <v>2.13</v>
      </c>
    </row>
    <row r="758">
      <c r="A758" s="1" t="s">
        <v>740</v>
      </c>
      <c r="B758" s="1" t="s">
        <v>508</v>
      </c>
      <c r="C758" s="1" t="s">
        <v>1568</v>
      </c>
      <c r="D758" s="3">
        <v>1.64</v>
      </c>
    </row>
    <row r="759">
      <c r="A759" s="1" t="s">
        <v>721</v>
      </c>
      <c r="B759" s="1" t="s">
        <v>147</v>
      </c>
      <c r="C759" s="1" t="s">
        <v>1569</v>
      </c>
      <c r="D759" s="3">
        <v>2.11</v>
      </c>
    </row>
    <row r="760">
      <c r="A760" s="1" t="s">
        <v>721</v>
      </c>
      <c r="B760" s="1" t="s">
        <v>147</v>
      </c>
      <c r="C760" s="1" t="s">
        <v>1570</v>
      </c>
      <c r="D760" s="3">
        <v>2.01</v>
      </c>
    </row>
    <row r="761">
      <c r="A761" s="1" t="s">
        <v>763</v>
      </c>
      <c r="B761" s="1" t="s">
        <v>327</v>
      </c>
      <c r="C761" s="1" t="s">
        <v>1571</v>
      </c>
      <c r="D761" s="3">
        <v>2.22</v>
      </c>
    </row>
    <row r="762">
      <c r="A762" s="1" t="s">
        <v>735</v>
      </c>
      <c r="B762" s="1" t="s">
        <v>680</v>
      </c>
      <c r="C762" s="1" t="s">
        <v>1572</v>
      </c>
      <c r="D762" s="3">
        <v>1.13</v>
      </c>
    </row>
    <row r="763">
      <c r="A763" s="1" t="s">
        <v>721</v>
      </c>
      <c r="B763" s="1" t="s">
        <v>147</v>
      </c>
      <c r="C763" s="1" t="s">
        <v>1573</v>
      </c>
      <c r="D763" s="3">
        <v>1.66</v>
      </c>
    </row>
    <row r="764">
      <c r="A764" s="1" t="s">
        <v>723</v>
      </c>
      <c r="B764" s="1" t="s">
        <v>511</v>
      </c>
      <c r="C764" s="1" t="s">
        <v>1574</v>
      </c>
      <c r="D764" s="3">
        <v>1.33</v>
      </c>
    </row>
    <row r="765">
      <c r="A765" s="1" t="s">
        <v>721</v>
      </c>
      <c r="B765" s="1" t="s">
        <v>147</v>
      </c>
      <c r="C765" s="1" t="s">
        <v>1575</v>
      </c>
      <c r="D765" s="3">
        <v>1.5</v>
      </c>
    </row>
    <row r="766">
      <c r="A766" s="1" t="s">
        <v>863</v>
      </c>
      <c r="B766" s="1" t="s">
        <v>162</v>
      </c>
      <c r="C766" s="1" t="s">
        <v>1576</v>
      </c>
      <c r="D766" s="3">
        <v>2.1</v>
      </c>
    </row>
    <row r="767">
      <c r="A767" s="1" t="s">
        <v>763</v>
      </c>
      <c r="B767" s="1" t="s">
        <v>327</v>
      </c>
      <c r="C767" s="1" t="s">
        <v>1577</v>
      </c>
      <c r="D767" s="3">
        <v>1.28</v>
      </c>
    </row>
    <row r="768">
      <c r="A768" s="1" t="s">
        <v>740</v>
      </c>
      <c r="B768" s="1" t="s">
        <v>508</v>
      </c>
      <c r="C768" s="1" t="s">
        <v>1578</v>
      </c>
      <c r="D768" s="3">
        <v>1.26</v>
      </c>
    </row>
    <row r="769">
      <c r="A769" s="1" t="s">
        <v>1091</v>
      </c>
      <c r="B769" s="1" t="s">
        <v>466</v>
      </c>
      <c r="C769" s="1" t="s">
        <v>1579</v>
      </c>
      <c r="D769" s="3">
        <v>1.89</v>
      </c>
    </row>
    <row r="770">
      <c r="A770" s="1" t="s">
        <v>1414</v>
      </c>
      <c r="B770" s="1" t="s">
        <v>141</v>
      </c>
      <c r="C770" s="1" t="s">
        <v>1580</v>
      </c>
      <c r="D770" s="3">
        <v>1.7</v>
      </c>
    </row>
    <row r="771">
      <c r="A771" s="1" t="s">
        <v>1581</v>
      </c>
      <c r="B771" s="1" t="s">
        <v>324</v>
      </c>
      <c r="C771" s="1" t="s">
        <v>1582</v>
      </c>
      <c r="D771" s="3">
        <v>1.85</v>
      </c>
    </row>
    <row r="772">
      <c r="A772" s="1" t="s">
        <v>765</v>
      </c>
      <c r="B772" s="1" t="s">
        <v>174</v>
      </c>
      <c r="C772" s="1" t="s">
        <v>1583</v>
      </c>
      <c r="D772" s="3">
        <v>1.57</v>
      </c>
    </row>
    <row r="773">
      <c r="A773" s="1" t="s">
        <v>733</v>
      </c>
      <c r="B773" s="1" t="s">
        <v>300</v>
      </c>
      <c r="C773" s="1" t="s">
        <v>1584</v>
      </c>
      <c r="D773" s="3">
        <v>1.8</v>
      </c>
    </row>
    <row r="774">
      <c r="A774" s="1" t="s">
        <v>727</v>
      </c>
      <c r="B774" s="1" t="s">
        <v>532</v>
      </c>
      <c r="C774" s="1" t="s">
        <v>1585</v>
      </c>
      <c r="D774" s="3">
        <v>1.78</v>
      </c>
    </row>
    <row r="775">
      <c r="A775" s="1" t="s">
        <v>1507</v>
      </c>
      <c r="B775" s="1" t="s">
        <v>63</v>
      </c>
      <c r="C775" s="1" t="s">
        <v>1586</v>
      </c>
      <c r="D775" s="3">
        <v>1.74</v>
      </c>
    </row>
    <row r="776">
      <c r="A776" s="1" t="s">
        <v>1091</v>
      </c>
      <c r="B776" s="1" t="s">
        <v>466</v>
      </c>
      <c r="C776" s="1" t="s">
        <v>1587</v>
      </c>
      <c r="D776" s="3">
        <v>1.75</v>
      </c>
    </row>
    <row r="777">
      <c r="A777" s="1" t="s">
        <v>1588</v>
      </c>
      <c r="B777" s="1" t="s">
        <v>165</v>
      </c>
      <c r="C777" s="1" t="s">
        <v>1589</v>
      </c>
      <c r="D777" s="3">
        <v>1.88</v>
      </c>
    </row>
    <row r="778">
      <c r="A778" s="1" t="s">
        <v>721</v>
      </c>
      <c r="B778" s="1" t="s">
        <v>147</v>
      </c>
      <c r="C778" s="1" t="s">
        <v>1590</v>
      </c>
      <c r="D778" s="3">
        <v>1.62</v>
      </c>
    </row>
    <row r="779">
      <c r="A779" s="1" t="s">
        <v>735</v>
      </c>
      <c r="B779" s="1" t="s">
        <v>680</v>
      </c>
      <c r="C779" s="1" t="s">
        <v>1591</v>
      </c>
      <c r="D779" s="3">
        <v>2.0</v>
      </c>
    </row>
    <row r="780">
      <c r="A780" s="1" t="s">
        <v>723</v>
      </c>
      <c r="B780" s="1" t="s">
        <v>511</v>
      </c>
      <c r="C780" s="1" t="s">
        <v>1592</v>
      </c>
      <c r="D780" s="3">
        <v>1.86</v>
      </c>
    </row>
    <row r="781">
      <c r="A781" s="1" t="s">
        <v>727</v>
      </c>
      <c r="B781" s="1" t="s">
        <v>532</v>
      </c>
      <c r="C781" s="1" t="s">
        <v>1593</v>
      </c>
      <c r="D781" s="3">
        <v>1.58</v>
      </c>
    </row>
    <row r="782">
      <c r="A782" s="1" t="s">
        <v>836</v>
      </c>
      <c r="B782" s="1" t="s">
        <v>570</v>
      </c>
      <c r="C782" s="1" t="s">
        <v>1594</v>
      </c>
      <c r="D782" s="3">
        <v>1.47</v>
      </c>
    </row>
    <row r="783">
      <c r="A783" s="1" t="s">
        <v>721</v>
      </c>
      <c r="B783" s="1" t="s">
        <v>147</v>
      </c>
      <c r="C783" s="1" t="s">
        <v>1595</v>
      </c>
      <c r="D783" s="3">
        <v>1.56</v>
      </c>
    </row>
    <row r="784">
      <c r="A784" s="1" t="s">
        <v>721</v>
      </c>
      <c r="B784" s="1" t="s">
        <v>147</v>
      </c>
      <c r="C784" s="1" t="s">
        <v>1596</v>
      </c>
      <c r="D784" s="3">
        <v>1.39</v>
      </c>
    </row>
    <row r="785">
      <c r="A785" s="1" t="s">
        <v>727</v>
      </c>
      <c r="B785" s="1" t="s">
        <v>532</v>
      </c>
      <c r="C785" s="1" t="s">
        <v>1597</v>
      </c>
      <c r="D785" s="3">
        <v>0.98</v>
      </c>
    </row>
    <row r="786">
      <c r="A786" s="1" t="s">
        <v>721</v>
      </c>
      <c r="B786" s="1" t="s">
        <v>147</v>
      </c>
      <c r="C786" s="1" t="s">
        <v>1598</v>
      </c>
      <c r="D786" s="3">
        <v>1.19</v>
      </c>
    </row>
    <row r="787">
      <c r="A787" s="1" t="s">
        <v>725</v>
      </c>
      <c r="B787" s="1" t="s">
        <v>227</v>
      </c>
      <c r="C787" s="1" t="s">
        <v>1599</v>
      </c>
      <c r="D787" s="3">
        <v>1.33</v>
      </c>
    </row>
    <row r="788">
      <c r="A788" s="1" t="s">
        <v>1232</v>
      </c>
      <c r="B788" s="1" t="s">
        <v>593</v>
      </c>
      <c r="C788" s="1" t="s">
        <v>1600</v>
      </c>
      <c r="D788" s="3">
        <v>1.94</v>
      </c>
    </row>
    <row r="789">
      <c r="A789" s="1" t="s">
        <v>765</v>
      </c>
      <c r="B789" s="1" t="s">
        <v>174</v>
      </c>
      <c r="C789" s="1" t="s">
        <v>1601</v>
      </c>
      <c r="D789" s="3">
        <v>1.73</v>
      </c>
    </row>
    <row r="790">
      <c r="A790" s="1" t="s">
        <v>727</v>
      </c>
      <c r="B790" s="1" t="s">
        <v>532</v>
      </c>
      <c r="C790" s="1" t="s">
        <v>1602</v>
      </c>
      <c r="D790" s="3">
        <v>0.96</v>
      </c>
    </row>
    <row r="791">
      <c r="A791" s="1" t="s">
        <v>748</v>
      </c>
      <c r="B791" s="1" t="s">
        <v>129</v>
      </c>
      <c r="C791" s="1" t="s">
        <v>1603</v>
      </c>
      <c r="D791" s="3">
        <v>0.98</v>
      </c>
    </row>
    <row r="792">
      <c r="A792" s="1" t="s">
        <v>1091</v>
      </c>
      <c r="B792" s="1" t="s">
        <v>466</v>
      </c>
      <c r="C792" s="1" t="s">
        <v>1604</v>
      </c>
      <c r="D792" s="3">
        <v>1.33</v>
      </c>
    </row>
    <row r="793">
      <c r="A793" s="1" t="s">
        <v>727</v>
      </c>
      <c r="B793" s="1" t="s">
        <v>532</v>
      </c>
      <c r="C793" s="1" t="s">
        <v>1605</v>
      </c>
      <c r="D793" s="3">
        <v>1.05</v>
      </c>
    </row>
    <row r="794">
      <c r="A794" s="1" t="s">
        <v>721</v>
      </c>
      <c r="B794" s="1" t="s">
        <v>147</v>
      </c>
      <c r="C794" s="1" t="s">
        <v>1606</v>
      </c>
      <c r="D794" s="3">
        <v>1.3</v>
      </c>
    </row>
    <row r="795">
      <c r="A795" s="1" t="s">
        <v>721</v>
      </c>
      <c r="B795" s="1" t="s">
        <v>147</v>
      </c>
      <c r="C795" s="1" t="s">
        <v>1607</v>
      </c>
      <c r="D795" s="3">
        <v>1.55</v>
      </c>
    </row>
    <row r="796">
      <c r="A796" s="1" t="s">
        <v>1337</v>
      </c>
      <c r="B796" s="1" t="s">
        <v>159</v>
      </c>
      <c r="C796" s="1" t="s">
        <v>1608</v>
      </c>
      <c r="D796" s="3">
        <v>1.82</v>
      </c>
    </row>
    <row r="797">
      <c r="A797" s="1" t="s">
        <v>827</v>
      </c>
      <c r="B797" s="1" t="s">
        <v>286</v>
      </c>
      <c r="C797" s="1" t="s">
        <v>1609</v>
      </c>
      <c r="D797" s="3">
        <v>1.63</v>
      </c>
    </row>
    <row r="798">
      <c r="A798" s="1" t="s">
        <v>721</v>
      </c>
      <c r="B798" s="1" t="s">
        <v>147</v>
      </c>
      <c r="C798" s="1" t="s">
        <v>1610</v>
      </c>
      <c r="D798" s="3">
        <v>1.38</v>
      </c>
    </row>
    <row r="799">
      <c r="A799" s="1" t="s">
        <v>740</v>
      </c>
      <c r="B799" s="1" t="s">
        <v>508</v>
      </c>
      <c r="C799" s="1" t="s">
        <v>1611</v>
      </c>
      <c r="D799" s="3">
        <v>1.04</v>
      </c>
    </row>
    <row r="800">
      <c r="A800" s="1" t="s">
        <v>942</v>
      </c>
      <c r="B800" s="1" t="s">
        <v>150</v>
      </c>
      <c r="C800" s="1" t="s">
        <v>1612</v>
      </c>
      <c r="D800" s="3">
        <v>1.71</v>
      </c>
    </row>
    <row r="801">
      <c r="A801" s="1" t="s">
        <v>1613</v>
      </c>
      <c r="B801" s="1" t="s">
        <v>360</v>
      </c>
      <c r="C801" s="1" t="s">
        <v>1614</v>
      </c>
      <c r="D801" s="3">
        <v>1.29</v>
      </c>
    </row>
    <row r="802">
      <c r="A802" s="1" t="s">
        <v>729</v>
      </c>
      <c r="B802" s="1" t="s">
        <v>514</v>
      </c>
      <c r="C802" s="1" t="s">
        <v>1615</v>
      </c>
      <c r="D802" s="3">
        <v>1.01</v>
      </c>
    </row>
    <row r="803">
      <c r="A803" s="1" t="s">
        <v>721</v>
      </c>
      <c r="B803" s="1" t="s">
        <v>147</v>
      </c>
      <c r="C803" s="1" t="s">
        <v>1616</v>
      </c>
      <c r="D803" s="3">
        <v>1.26</v>
      </c>
    </row>
    <row r="804">
      <c r="A804" s="1" t="s">
        <v>740</v>
      </c>
      <c r="B804" s="1" t="s">
        <v>508</v>
      </c>
      <c r="C804" s="1" t="s">
        <v>1617</v>
      </c>
      <c r="D804" s="3">
        <v>1.49</v>
      </c>
    </row>
    <row r="805">
      <c r="A805" s="1" t="s">
        <v>721</v>
      </c>
      <c r="B805" s="1" t="s">
        <v>147</v>
      </c>
      <c r="C805" s="1" t="s">
        <v>1618</v>
      </c>
      <c r="D805" s="3">
        <v>1.93</v>
      </c>
    </row>
    <row r="806">
      <c r="A806" s="1" t="s">
        <v>723</v>
      </c>
      <c r="B806" s="1" t="s">
        <v>511</v>
      </c>
      <c r="C806" s="1" t="s">
        <v>1619</v>
      </c>
      <c r="D806" s="3">
        <v>1.48</v>
      </c>
    </row>
    <row r="807">
      <c r="A807" s="1" t="s">
        <v>723</v>
      </c>
      <c r="B807" s="1" t="s">
        <v>511</v>
      </c>
      <c r="C807" s="1" t="s">
        <v>1620</v>
      </c>
      <c r="D807" s="3">
        <v>1.81</v>
      </c>
    </row>
    <row r="808">
      <c r="A808" s="1" t="s">
        <v>721</v>
      </c>
      <c r="B808" s="1" t="s">
        <v>147</v>
      </c>
      <c r="C808" s="1" t="s">
        <v>1621</v>
      </c>
      <c r="D808" s="3">
        <v>2.21</v>
      </c>
    </row>
    <row r="809">
      <c r="A809" s="1" t="s">
        <v>740</v>
      </c>
      <c r="B809" s="1" t="s">
        <v>508</v>
      </c>
      <c r="C809" s="1" t="s">
        <v>1622</v>
      </c>
      <c r="D809" s="3">
        <v>1.98</v>
      </c>
    </row>
    <row r="810">
      <c r="A810" s="1" t="s">
        <v>1043</v>
      </c>
      <c r="B810" s="1" t="s">
        <v>632</v>
      </c>
      <c r="C810" s="1" t="s">
        <v>1623</v>
      </c>
      <c r="D810" s="3">
        <v>1.54</v>
      </c>
    </row>
    <row r="811">
      <c r="A811" s="1" t="s">
        <v>721</v>
      </c>
      <c r="B811" s="1" t="s">
        <v>147</v>
      </c>
      <c r="C811" s="1" t="s">
        <v>1624</v>
      </c>
      <c r="D811" s="3">
        <v>1.07</v>
      </c>
    </row>
    <row r="812">
      <c r="A812" s="1" t="s">
        <v>740</v>
      </c>
      <c r="B812" s="1" t="s">
        <v>508</v>
      </c>
      <c r="C812" s="1" t="s">
        <v>1625</v>
      </c>
      <c r="D812" s="3">
        <v>2.07</v>
      </c>
    </row>
    <row r="813">
      <c r="A813" s="1" t="s">
        <v>725</v>
      </c>
      <c r="B813" s="1" t="s">
        <v>227</v>
      </c>
      <c r="C813" s="1" t="s">
        <v>1626</v>
      </c>
      <c r="D813" s="3">
        <v>0.93</v>
      </c>
    </row>
    <row r="814">
      <c r="A814" s="1" t="s">
        <v>729</v>
      </c>
      <c r="B814" s="1" t="s">
        <v>514</v>
      </c>
      <c r="C814" s="1" t="s">
        <v>1627</v>
      </c>
      <c r="D814" s="3">
        <v>1.97</v>
      </c>
    </row>
    <row r="815">
      <c r="A815" s="1" t="s">
        <v>754</v>
      </c>
      <c r="B815" s="1" t="s">
        <v>47</v>
      </c>
      <c r="C815" s="1" t="s">
        <v>845</v>
      </c>
      <c r="D815" s="3">
        <v>2.13</v>
      </c>
    </row>
    <row r="816">
      <c r="A816" s="1" t="s">
        <v>1628</v>
      </c>
      <c r="B816" s="1" t="s">
        <v>502</v>
      </c>
      <c r="C816" s="1" t="s">
        <v>1629</v>
      </c>
      <c r="D816" s="3">
        <v>1.55</v>
      </c>
    </row>
    <row r="817">
      <c r="A817" s="1" t="s">
        <v>769</v>
      </c>
      <c r="B817" s="1" t="s">
        <v>105</v>
      </c>
      <c r="C817" s="1" t="s">
        <v>1630</v>
      </c>
      <c r="D817" s="3">
        <v>0.98</v>
      </c>
    </row>
    <row r="818">
      <c r="A818" s="1" t="s">
        <v>735</v>
      </c>
      <c r="B818" s="1" t="s">
        <v>680</v>
      </c>
      <c r="C818" s="1" t="s">
        <v>1631</v>
      </c>
      <c r="D818" s="3">
        <v>1.56</v>
      </c>
    </row>
    <row r="819">
      <c r="A819" s="1" t="s">
        <v>740</v>
      </c>
      <c r="B819" s="1" t="s">
        <v>508</v>
      </c>
      <c r="C819" s="1" t="s">
        <v>1632</v>
      </c>
      <c r="D819" s="3">
        <v>1.96</v>
      </c>
    </row>
    <row r="820">
      <c r="A820" s="1" t="s">
        <v>1588</v>
      </c>
      <c r="B820" s="1" t="s">
        <v>165</v>
      </c>
      <c r="C820" s="1" t="s">
        <v>1633</v>
      </c>
      <c r="D820" s="3">
        <v>2.11</v>
      </c>
    </row>
    <row r="821">
      <c r="A821" s="1" t="s">
        <v>740</v>
      </c>
      <c r="B821" s="1" t="s">
        <v>508</v>
      </c>
      <c r="C821" s="1" t="s">
        <v>1634</v>
      </c>
      <c r="D821" s="3">
        <v>2.11</v>
      </c>
    </row>
    <row r="822">
      <c r="A822" s="1" t="s">
        <v>721</v>
      </c>
      <c r="B822" s="1" t="s">
        <v>147</v>
      </c>
      <c r="C822" s="1" t="s">
        <v>1635</v>
      </c>
      <c r="D822" s="3">
        <v>2.17</v>
      </c>
    </row>
    <row r="823">
      <c r="A823" s="1" t="s">
        <v>938</v>
      </c>
      <c r="B823" s="1" t="s">
        <v>268</v>
      </c>
      <c r="C823" s="1" t="s">
        <v>1636</v>
      </c>
      <c r="D823" s="3">
        <v>1.65</v>
      </c>
    </row>
    <row r="824">
      <c r="A824" s="1" t="s">
        <v>733</v>
      </c>
      <c r="B824" s="1" t="s">
        <v>300</v>
      </c>
      <c r="C824" s="1" t="s">
        <v>1637</v>
      </c>
      <c r="D824" s="3">
        <v>1.86</v>
      </c>
    </row>
    <row r="825">
      <c r="A825" s="1" t="s">
        <v>721</v>
      </c>
      <c r="B825" s="1" t="s">
        <v>147</v>
      </c>
      <c r="C825" s="1" t="s">
        <v>1638</v>
      </c>
      <c r="D825" s="3">
        <v>0.97</v>
      </c>
    </row>
    <row r="826">
      <c r="A826" s="1" t="s">
        <v>746</v>
      </c>
      <c r="B826" s="1" t="s">
        <v>505</v>
      </c>
      <c r="C826" s="1" t="s">
        <v>1639</v>
      </c>
      <c r="D826" s="3">
        <v>1.88</v>
      </c>
    </row>
    <row r="827">
      <c r="A827" s="1" t="s">
        <v>763</v>
      </c>
      <c r="B827" s="1" t="s">
        <v>327</v>
      </c>
      <c r="C827" s="1" t="s">
        <v>1640</v>
      </c>
      <c r="D827" s="3">
        <v>1.17</v>
      </c>
    </row>
    <row r="828">
      <c r="A828" s="1" t="s">
        <v>733</v>
      </c>
      <c r="B828" s="1" t="s">
        <v>300</v>
      </c>
      <c r="C828" s="1" t="s">
        <v>1641</v>
      </c>
      <c r="D828" s="3">
        <v>1.86</v>
      </c>
    </row>
    <row r="829">
      <c r="A829" s="1" t="s">
        <v>721</v>
      </c>
      <c r="B829" s="1" t="s">
        <v>147</v>
      </c>
      <c r="C829" s="1" t="s">
        <v>1642</v>
      </c>
      <c r="D829" s="3">
        <v>2.13</v>
      </c>
    </row>
    <row r="830">
      <c r="A830" s="1" t="s">
        <v>827</v>
      </c>
      <c r="B830" s="1" t="s">
        <v>286</v>
      </c>
      <c r="C830" s="1" t="s">
        <v>1643</v>
      </c>
      <c r="D830" s="3">
        <v>0.95</v>
      </c>
    </row>
    <row r="831">
      <c r="A831" s="1" t="s">
        <v>748</v>
      </c>
      <c r="B831" s="1" t="s">
        <v>129</v>
      </c>
      <c r="C831" s="1" t="s">
        <v>1644</v>
      </c>
      <c r="D831" s="3">
        <v>1.64</v>
      </c>
    </row>
    <row r="832">
      <c r="A832" s="1" t="s">
        <v>798</v>
      </c>
      <c r="B832" s="1" t="s">
        <v>224</v>
      </c>
      <c r="C832" s="1" t="s">
        <v>1645</v>
      </c>
      <c r="D832" s="3">
        <v>2.06</v>
      </c>
    </row>
    <row r="833">
      <c r="A833" s="1" t="s">
        <v>777</v>
      </c>
      <c r="B833" s="1" t="s">
        <v>617</v>
      </c>
      <c r="C833" s="1" t="s">
        <v>1646</v>
      </c>
      <c r="D833" s="3">
        <v>0.95</v>
      </c>
    </row>
    <row r="834">
      <c r="A834" s="1" t="s">
        <v>769</v>
      </c>
      <c r="B834" s="1" t="s">
        <v>105</v>
      </c>
      <c r="C834" s="1" t="s">
        <v>1647</v>
      </c>
      <c r="D834" s="3">
        <v>1.59</v>
      </c>
    </row>
    <row r="835">
      <c r="A835" s="1" t="s">
        <v>729</v>
      </c>
      <c r="B835" s="1" t="s">
        <v>514</v>
      </c>
      <c r="C835" s="1" t="s">
        <v>1648</v>
      </c>
      <c r="D835" s="3">
        <v>1.63</v>
      </c>
    </row>
    <row r="836">
      <c r="A836" s="1" t="s">
        <v>791</v>
      </c>
      <c r="B836" s="1" t="s">
        <v>253</v>
      </c>
      <c r="C836" s="1" t="s">
        <v>1649</v>
      </c>
      <c r="D836" s="3">
        <v>1.73</v>
      </c>
    </row>
    <row r="837">
      <c r="A837" s="1" t="s">
        <v>942</v>
      </c>
      <c r="B837" s="1" t="s">
        <v>150</v>
      </c>
      <c r="C837" s="1" t="s">
        <v>1650</v>
      </c>
      <c r="D837" s="3">
        <v>1.88</v>
      </c>
    </row>
    <row r="838">
      <c r="A838" s="1" t="s">
        <v>827</v>
      </c>
      <c r="B838" s="1" t="s">
        <v>286</v>
      </c>
      <c r="C838" s="1" t="s">
        <v>1651</v>
      </c>
      <c r="D838" s="3">
        <v>1.31</v>
      </c>
    </row>
    <row r="839">
      <c r="A839" s="1" t="s">
        <v>740</v>
      </c>
      <c r="B839" s="1" t="s">
        <v>508</v>
      </c>
      <c r="C839" s="1" t="s">
        <v>1652</v>
      </c>
      <c r="D839" s="3">
        <v>2.02</v>
      </c>
    </row>
    <row r="840">
      <c r="A840" s="1" t="s">
        <v>721</v>
      </c>
      <c r="B840" s="1" t="s">
        <v>147</v>
      </c>
      <c r="C840" s="1" t="s">
        <v>1653</v>
      </c>
      <c r="D840" s="3">
        <v>1.25</v>
      </c>
    </row>
    <row r="841">
      <c r="A841" s="1" t="s">
        <v>733</v>
      </c>
      <c r="B841" s="1" t="s">
        <v>300</v>
      </c>
      <c r="C841" s="1" t="s">
        <v>1654</v>
      </c>
      <c r="D841" s="3">
        <v>2.12</v>
      </c>
    </row>
    <row r="842">
      <c r="A842" s="1" t="s">
        <v>782</v>
      </c>
      <c r="B842" s="1" t="s">
        <v>413</v>
      </c>
      <c r="C842" s="1" t="s">
        <v>1655</v>
      </c>
      <c r="D842" s="3">
        <v>1.79</v>
      </c>
    </row>
    <row r="843">
      <c r="A843" s="1" t="s">
        <v>1656</v>
      </c>
      <c r="B843" s="1" t="s">
        <v>496</v>
      </c>
      <c r="C843" s="1" t="s">
        <v>1657</v>
      </c>
      <c r="D843" s="3">
        <v>1.6</v>
      </c>
    </row>
    <row r="844">
      <c r="A844" s="1" t="s">
        <v>942</v>
      </c>
      <c r="B844" s="1" t="s">
        <v>150</v>
      </c>
      <c r="C844" s="1" t="s">
        <v>1658</v>
      </c>
      <c r="D844" s="3">
        <v>1.68</v>
      </c>
    </row>
    <row r="845">
      <c r="A845" s="1" t="s">
        <v>961</v>
      </c>
      <c r="B845" s="1" t="s">
        <v>386</v>
      </c>
      <c r="C845" s="1" t="s">
        <v>1659</v>
      </c>
      <c r="D845" s="3">
        <v>2.05</v>
      </c>
    </row>
    <row r="846">
      <c r="A846" s="1" t="s">
        <v>721</v>
      </c>
      <c r="B846" s="1" t="s">
        <v>147</v>
      </c>
      <c r="C846" s="1" t="s">
        <v>1660</v>
      </c>
      <c r="D846" s="3">
        <v>1.94</v>
      </c>
    </row>
    <row r="847">
      <c r="A847" s="1" t="s">
        <v>782</v>
      </c>
      <c r="B847" s="1" t="s">
        <v>413</v>
      </c>
      <c r="C847" s="1" t="s">
        <v>1661</v>
      </c>
      <c r="D847" s="3">
        <v>0.89</v>
      </c>
    </row>
    <row r="848">
      <c r="A848" s="1" t="s">
        <v>966</v>
      </c>
      <c r="B848" s="1" t="s">
        <v>481</v>
      </c>
      <c r="C848" s="1" t="s">
        <v>1662</v>
      </c>
      <c r="D848" s="3">
        <v>1.28</v>
      </c>
    </row>
    <row r="849">
      <c r="A849" s="1" t="s">
        <v>733</v>
      </c>
      <c r="B849" s="1" t="s">
        <v>300</v>
      </c>
      <c r="C849" s="1" t="s">
        <v>1663</v>
      </c>
      <c r="D849" s="3">
        <v>1.43</v>
      </c>
    </row>
    <row r="850">
      <c r="A850" s="1" t="s">
        <v>733</v>
      </c>
      <c r="B850" s="1" t="s">
        <v>300</v>
      </c>
      <c r="C850" s="1" t="s">
        <v>1664</v>
      </c>
      <c r="D850" s="3">
        <v>1.21</v>
      </c>
    </row>
    <row r="851">
      <c r="A851" s="1" t="s">
        <v>740</v>
      </c>
      <c r="B851" s="1" t="s">
        <v>508</v>
      </c>
      <c r="C851" s="1" t="s">
        <v>1665</v>
      </c>
      <c r="D851" s="3">
        <v>2.05</v>
      </c>
    </row>
    <row r="852">
      <c r="A852" s="1" t="s">
        <v>791</v>
      </c>
      <c r="B852" s="1" t="s">
        <v>253</v>
      </c>
      <c r="C852" s="1" t="s">
        <v>1666</v>
      </c>
      <c r="D852" s="3">
        <v>1.08</v>
      </c>
    </row>
    <row r="853">
      <c r="A853" s="1" t="s">
        <v>740</v>
      </c>
      <c r="B853" s="1" t="s">
        <v>508</v>
      </c>
      <c r="C853" s="1" t="s">
        <v>1667</v>
      </c>
      <c r="D853" s="3">
        <v>1.99</v>
      </c>
    </row>
    <row r="854">
      <c r="A854" s="1" t="s">
        <v>721</v>
      </c>
      <c r="B854" s="1" t="s">
        <v>147</v>
      </c>
      <c r="C854" s="1" t="s">
        <v>1668</v>
      </c>
      <c r="D854" s="3">
        <v>1.37</v>
      </c>
    </row>
    <row r="855">
      <c r="A855" s="1" t="s">
        <v>721</v>
      </c>
      <c r="B855" s="1" t="s">
        <v>147</v>
      </c>
      <c r="C855" s="1" t="s">
        <v>1669</v>
      </c>
      <c r="D855" s="3">
        <v>1.53</v>
      </c>
    </row>
    <row r="856">
      <c r="A856" s="1" t="s">
        <v>791</v>
      </c>
      <c r="B856" s="1" t="s">
        <v>253</v>
      </c>
      <c r="C856" s="1" t="s">
        <v>1670</v>
      </c>
      <c r="D856" s="3">
        <v>1.12</v>
      </c>
    </row>
    <row r="857">
      <c r="A857" s="1" t="s">
        <v>729</v>
      </c>
      <c r="B857" s="1" t="s">
        <v>514</v>
      </c>
      <c r="C857" s="1" t="s">
        <v>1671</v>
      </c>
      <c r="D857" s="3">
        <v>0.87</v>
      </c>
    </row>
    <row r="858">
      <c r="A858" s="1" t="s">
        <v>1672</v>
      </c>
      <c r="B858" s="1" t="s">
        <v>463</v>
      </c>
      <c r="C858" s="1" t="s">
        <v>1673</v>
      </c>
      <c r="D858" s="3">
        <v>2.2</v>
      </c>
    </row>
    <row r="859">
      <c r="A859" s="1" t="s">
        <v>740</v>
      </c>
      <c r="B859" s="1" t="s">
        <v>508</v>
      </c>
      <c r="C859" s="1" t="s">
        <v>1674</v>
      </c>
      <c r="D859" s="3">
        <v>2.13</v>
      </c>
    </row>
    <row r="860">
      <c r="A860" s="1" t="s">
        <v>740</v>
      </c>
      <c r="B860" s="1" t="s">
        <v>508</v>
      </c>
      <c r="C860" s="1" t="s">
        <v>1675</v>
      </c>
      <c r="D860" s="3">
        <v>1.36</v>
      </c>
    </row>
    <row r="861">
      <c r="A861" s="1" t="s">
        <v>729</v>
      </c>
      <c r="B861" s="1" t="s">
        <v>514</v>
      </c>
      <c r="C861" s="1" t="s">
        <v>1676</v>
      </c>
      <c r="D861" s="3">
        <v>1.55</v>
      </c>
    </row>
    <row r="862">
      <c r="A862" s="1" t="s">
        <v>740</v>
      </c>
      <c r="B862" s="1" t="s">
        <v>508</v>
      </c>
      <c r="C862" s="1" t="s">
        <v>1677</v>
      </c>
      <c r="D862" s="3">
        <v>1.94</v>
      </c>
    </row>
    <row r="863">
      <c r="A863" s="1" t="s">
        <v>1043</v>
      </c>
      <c r="B863" s="1" t="s">
        <v>632</v>
      </c>
      <c r="C863" s="1" t="s">
        <v>1678</v>
      </c>
      <c r="D863" s="3">
        <v>1.74</v>
      </c>
    </row>
    <row r="864">
      <c r="A864" s="1" t="s">
        <v>777</v>
      </c>
      <c r="B864" s="1" t="s">
        <v>617</v>
      </c>
      <c r="C864" s="1" t="s">
        <v>1679</v>
      </c>
      <c r="D864" s="3">
        <v>1.07</v>
      </c>
    </row>
    <row r="865">
      <c r="A865" s="1" t="s">
        <v>731</v>
      </c>
      <c r="B865" s="1" t="s">
        <v>78</v>
      </c>
      <c r="C865" s="1" t="s">
        <v>1680</v>
      </c>
      <c r="D865" s="3">
        <v>2.11</v>
      </c>
    </row>
    <row r="866">
      <c r="A866" s="1" t="s">
        <v>721</v>
      </c>
      <c r="B866" s="1" t="s">
        <v>147</v>
      </c>
      <c r="C866" s="1" t="s">
        <v>1371</v>
      </c>
      <c r="D866" s="3">
        <v>1.23</v>
      </c>
    </row>
    <row r="867">
      <c r="A867" s="1" t="s">
        <v>1043</v>
      </c>
      <c r="B867" s="1" t="s">
        <v>632</v>
      </c>
      <c r="C867" s="1" t="s">
        <v>1681</v>
      </c>
      <c r="D867" s="3">
        <v>0.88</v>
      </c>
    </row>
    <row r="868">
      <c r="A868" s="1" t="s">
        <v>721</v>
      </c>
      <c r="B868" s="1" t="s">
        <v>147</v>
      </c>
      <c r="C868" s="1" t="s">
        <v>1682</v>
      </c>
      <c r="D868" s="3">
        <v>1.23</v>
      </c>
    </row>
    <row r="869">
      <c r="A869" s="1" t="s">
        <v>733</v>
      </c>
      <c r="B869" s="1" t="s">
        <v>300</v>
      </c>
      <c r="C869" s="1" t="s">
        <v>1683</v>
      </c>
      <c r="D869" s="3">
        <v>1.42</v>
      </c>
    </row>
    <row r="870">
      <c r="A870" s="1" t="s">
        <v>723</v>
      </c>
      <c r="B870" s="1" t="s">
        <v>511</v>
      </c>
      <c r="C870" s="1" t="s">
        <v>1684</v>
      </c>
      <c r="D870" s="3">
        <v>1.24</v>
      </c>
    </row>
    <row r="871">
      <c r="A871" s="1" t="s">
        <v>769</v>
      </c>
      <c r="B871" s="1" t="s">
        <v>105</v>
      </c>
      <c r="C871" s="1" t="s">
        <v>1685</v>
      </c>
      <c r="D871" s="3">
        <v>1.61</v>
      </c>
    </row>
    <row r="872">
      <c r="A872" s="1" t="s">
        <v>733</v>
      </c>
      <c r="B872" s="1" t="s">
        <v>300</v>
      </c>
      <c r="C872" s="1" t="s">
        <v>1686</v>
      </c>
      <c r="D872" s="3">
        <v>2.0</v>
      </c>
    </row>
    <row r="873">
      <c r="A873" s="1" t="s">
        <v>777</v>
      </c>
      <c r="B873" s="1" t="s">
        <v>617</v>
      </c>
      <c r="C873" s="1" t="s">
        <v>1687</v>
      </c>
      <c r="D873" s="3">
        <v>1.49</v>
      </c>
    </row>
    <row r="874">
      <c r="A874" s="1" t="s">
        <v>733</v>
      </c>
      <c r="B874" s="1" t="s">
        <v>300</v>
      </c>
      <c r="C874" s="1" t="s">
        <v>1688</v>
      </c>
      <c r="D874" s="3">
        <v>1.1</v>
      </c>
    </row>
    <row r="875">
      <c r="A875" s="1" t="s">
        <v>1318</v>
      </c>
      <c r="B875" s="1" t="s">
        <v>487</v>
      </c>
      <c r="C875" s="1" t="s">
        <v>1689</v>
      </c>
      <c r="D875" s="3">
        <v>1.97</v>
      </c>
    </row>
    <row r="876">
      <c r="A876" s="1" t="s">
        <v>1588</v>
      </c>
      <c r="B876" s="1" t="s">
        <v>165</v>
      </c>
      <c r="C876" s="1" t="s">
        <v>1690</v>
      </c>
      <c r="D876" s="3">
        <v>1.88</v>
      </c>
    </row>
    <row r="877">
      <c r="A877" s="1" t="s">
        <v>733</v>
      </c>
      <c r="B877" s="1" t="s">
        <v>300</v>
      </c>
      <c r="C877" s="1" t="s">
        <v>1691</v>
      </c>
      <c r="D877" s="3">
        <v>1.87</v>
      </c>
    </row>
    <row r="878">
      <c r="A878" s="1" t="s">
        <v>966</v>
      </c>
      <c r="B878" s="1" t="s">
        <v>481</v>
      </c>
      <c r="C878" s="1" t="s">
        <v>1175</v>
      </c>
      <c r="D878" s="3">
        <v>1.3</v>
      </c>
    </row>
    <row r="879">
      <c r="A879" s="1" t="s">
        <v>729</v>
      </c>
      <c r="B879" s="1" t="s">
        <v>514</v>
      </c>
      <c r="C879" s="1" t="s">
        <v>1692</v>
      </c>
      <c r="D879" s="3">
        <v>1.75</v>
      </c>
    </row>
    <row r="880">
      <c r="A880" s="1" t="s">
        <v>727</v>
      </c>
      <c r="B880" s="1" t="s">
        <v>532</v>
      </c>
      <c r="C880" s="1" t="s">
        <v>1693</v>
      </c>
      <c r="D880" s="3">
        <v>1.04</v>
      </c>
    </row>
    <row r="881">
      <c r="A881" s="1" t="s">
        <v>769</v>
      </c>
      <c r="B881" s="1" t="s">
        <v>105</v>
      </c>
      <c r="C881" s="1" t="s">
        <v>1694</v>
      </c>
      <c r="D881" s="3">
        <v>1.77</v>
      </c>
    </row>
    <row r="882">
      <c r="A882" s="1" t="s">
        <v>733</v>
      </c>
      <c r="B882" s="1" t="s">
        <v>300</v>
      </c>
      <c r="C882" s="1" t="s">
        <v>1695</v>
      </c>
      <c r="D882" s="3">
        <v>2.21</v>
      </c>
    </row>
    <row r="883">
      <c r="A883" s="1" t="s">
        <v>733</v>
      </c>
      <c r="B883" s="1" t="s">
        <v>300</v>
      </c>
      <c r="C883" s="1" t="s">
        <v>1696</v>
      </c>
      <c r="D883" s="3">
        <v>1.47</v>
      </c>
    </row>
    <row r="884">
      <c r="A884" s="1" t="s">
        <v>1030</v>
      </c>
      <c r="B884" s="1" t="s">
        <v>177</v>
      </c>
      <c r="C884" s="1" t="s">
        <v>1697</v>
      </c>
      <c r="D884" s="3">
        <v>1.72</v>
      </c>
    </row>
    <row r="885">
      <c r="A885" s="1" t="s">
        <v>964</v>
      </c>
      <c r="B885" s="1" t="s">
        <v>22</v>
      </c>
      <c r="C885" s="1" t="s">
        <v>1698</v>
      </c>
      <c r="D885" s="3">
        <v>1.0</v>
      </c>
    </row>
    <row r="886">
      <c r="A886" s="1" t="s">
        <v>733</v>
      </c>
      <c r="B886" s="1" t="s">
        <v>300</v>
      </c>
      <c r="C886" s="1" t="s">
        <v>1699</v>
      </c>
      <c r="D886" s="3">
        <v>0.91</v>
      </c>
    </row>
    <row r="887">
      <c r="A887" s="1" t="s">
        <v>721</v>
      </c>
      <c r="B887" s="1" t="s">
        <v>147</v>
      </c>
      <c r="C887" s="1" t="s">
        <v>1700</v>
      </c>
      <c r="D887" s="3">
        <v>1.25</v>
      </c>
    </row>
    <row r="888">
      <c r="A888" s="1" t="s">
        <v>729</v>
      </c>
      <c r="B888" s="1" t="s">
        <v>514</v>
      </c>
      <c r="C888" s="1" t="s">
        <v>1701</v>
      </c>
      <c r="D888" s="3">
        <v>2.14</v>
      </c>
    </row>
    <row r="889">
      <c r="A889" s="1" t="s">
        <v>733</v>
      </c>
      <c r="B889" s="1" t="s">
        <v>300</v>
      </c>
      <c r="C889" s="1" t="s">
        <v>1702</v>
      </c>
      <c r="D889" s="3">
        <v>0.89</v>
      </c>
    </row>
    <row r="890">
      <c r="A890" s="1" t="s">
        <v>740</v>
      </c>
      <c r="B890" s="1" t="s">
        <v>508</v>
      </c>
      <c r="C890" s="1" t="s">
        <v>1703</v>
      </c>
      <c r="D890" s="3">
        <v>1.67</v>
      </c>
    </row>
    <row r="891">
      <c r="A891" s="1" t="s">
        <v>884</v>
      </c>
      <c r="B891" s="1" t="s">
        <v>671</v>
      </c>
      <c r="C891" s="1" t="s">
        <v>1704</v>
      </c>
      <c r="D891" s="3">
        <v>2.0</v>
      </c>
    </row>
    <row r="892">
      <c r="A892" s="1" t="s">
        <v>740</v>
      </c>
      <c r="B892" s="1" t="s">
        <v>508</v>
      </c>
      <c r="C892" s="1" t="s">
        <v>1705</v>
      </c>
      <c r="D892" s="3">
        <v>2.06</v>
      </c>
    </row>
    <row r="893">
      <c r="A893" s="1" t="s">
        <v>721</v>
      </c>
      <c r="B893" s="1" t="s">
        <v>147</v>
      </c>
      <c r="C893" s="1" t="s">
        <v>1706</v>
      </c>
      <c r="D893" s="3">
        <v>1.07</v>
      </c>
    </row>
    <row r="894">
      <c r="A894" s="1" t="s">
        <v>733</v>
      </c>
      <c r="B894" s="1" t="s">
        <v>300</v>
      </c>
      <c r="C894" s="1" t="s">
        <v>1707</v>
      </c>
      <c r="D894" s="3">
        <v>1.9</v>
      </c>
    </row>
    <row r="895">
      <c r="A895" s="1" t="s">
        <v>782</v>
      </c>
      <c r="B895" s="1" t="s">
        <v>413</v>
      </c>
      <c r="C895" s="1" t="s">
        <v>1708</v>
      </c>
      <c r="D895" s="3">
        <v>1.36</v>
      </c>
    </row>
    <row r="896">
      <c r="A896" s="1" t="s">
        <v>1373</v>
      </c>
      <c r="B896" s="1" t="s">
        <v>239</v>
      </c>
      <c r="C896" s="1" t="s">
        <v>1709</v>
      </c>
      <c r="D896" s="3">
        <v>1.94</v>
      </c>
    </row>
    <row r="897">
      <c r="A897" s="1" t="s">
        <v>733</v>
      </c>
      <c r="B897" s="1" t="s">
        <v>300</v>
      </c>
      <c r="C897" s="1" t="s">
        <v>1710</v>
      </c>
      <c r="D897" s="3">
        <v>1.71</v>
      </c>
    </row>
    <row r="898">
      <c r="A898" s="1" t="s">
        <v>721</v>
      </c>
      <c r="B898" s="1" t="s">
        <v>147</v>
      </c>
      <c r="C898" s="1" t="s">
        <v>1711</v>
      </c>
      <c r="D898" s="3">
        <v>1.63</v>
      </c>
    </row>
    <row r="899">
      <c r="A899" s="1" t="s">
        <v>964</v>
      </c>
      <c r="B899" s="1" t="s">
        <v>22</v>
      </c>
      <c r="C899" s="1" t="s">
        <v>1712</v>
      </c>
      <c r="D899" s="3">
        <v>1.94</v>
      </c>
    </row>
    <row r="900">
      <c r="A900" s="1" t="s">
        <v>721</v>
      </c>
      <c r="B900" s="1" t="s">
        <v>147</v>
      </c>
      <c r="C900" s="1" t="s">
        <v>1713</v>
      </c>
      <c r="D900" s="3">
        <v>1.35</v>
      </c>
    </row>
    <row r="901">
      <c r="A901" s="1" t="s">
        <v>1241</v>
      </c>
      <c r="B901" s="1" t="s">
        <v>372</v>
      </c>
      <c r="C901" s="1" t="s">
        <v>1714</v>
      </c>
      <c r="D901" s="3">
        <v>1.96</v>
      </c>
    </row>
    <row r="902">
      <c r="A902" s="1" t="s">
        <v>733</v>
      </c>
      <c r="B902" s="1" t="s">
        <v>300</v>
      </c>
      <c r="C902" s="1" t="s">
        <v>1715</v>
      </c>
      <c r="D902" s="3">
        <v>1.6</v>
      </c>
    </row>
    <row r="903">
      <c r="A903" s="1" t="s">
        <v>733</v>
      </c>
      <c r="B903" s="1" t="s">
        <v>300</v>
      </c>
      <c r="C903" s="1" t="s">
        <v>1716</v>
      </c>
      <c r="D903" s="3">
        <v>0.86</v>
      </c>
    </row>
    <row r="904">
      <c r="A904" s="1" t="s">
        <v>1717</v>
      </c>
      <c r="B904" s="1" t="s">
        <v>57</v>
      </c>
      <c r="C904" s="1" t="s">
        <v>1718</v>
      </c>
      <c r="D904" s="3">
        <v>1.91</v>
      </c>
    </row>
    <row r="905">
      <c r="A905" s="1" t="s">
        <v>1341</v>
      </c>
      <c r="B905" s="1" t="s">
        <v>709</v>
      </c>
      <c r="C905" s="1" t="s">
        <v>1719</v>
      </c>
      <c r="D905" s="3">
        <v>2.02</v>
      </c>
    </row>
    <row r="906">
      <c r="A906" s="1" t="s">
        <v>721</v>
      </c>
      <c r="B906" s="1" t="s">
        <v>147</v>
      </c>
      <c r="C906" s="1" t="s">
        <v>1720</v>
      </c>
      <c r="D906" s="3">
        <v>1.77</v>
      </c>
    </row>
    <row r="907">
      <c r="A907" s="1" t="s">
        <v>884</v>
      </c>
      <c r="B907" s="1" t="s">
        <v>671</v>
      </c>
      <c r="C907" s="1" t="s">
        <v>1721</v>
      </c>
      <c r="D907" s="3">
        <v>1.91</v>
      </c>
    </row>
    <row r="908">
      <c r="A908" s="1" t="s">
        <v>806</v>
      </c>
      <c r="B908" s="1" t="s">
        <v>635</v>
      </c>
      <c r="C908" s="1" t="s">
        <v>1722</v>
      </c>
      <c r="D908" s="3">
        <v>1.79</v>
      </c>
    </row>
    <row r="909">
      <c r="A909" s="1" t="s">
        <v>765</v>
      </c>
      <c r="B909" s="1" t="s">
        <v>174</v>
      </c>
      <c r="C909" s="1" t="s">
        <v>1723</v>
      </c>
      <c r="D909" s="3">
        <v>1.73</v>
      </c>
    </row>
    <row r="910">
      <c r="A910" s="1" t="s">
        <v>806</v>
      </c>
      <c r="B910" s="1" t="s">
        <v>635</v>
      </c>
      <c r="C910" s="1" t="s">
        <v>1724</v>
      </c>
      <c r="D910" s="3">
        <v>1.44</v>
      </c>
    </row>
    <row r="911">
      <c r="A911" s="1" t="s">
        <v>721</v>
      </c>
      <c r="B911" s="1" t="s">
        <v>147</v>
      </c>
      <c r="C911" s="1" t="s">
        <v>1725</v>
      </c>
      <c r="D911" s="3">
        <v>1.2</v>
      </c>
    </row>
    <row r="912">
      <c r="A912" s="1" t="s">
        <v>1726</v>
      </c>
      <c r="B912" s="1" t="s">
        <v>117</v>
      </c>
      <c r="C912" s="1" t="s">
        <v>1727</v>
      </c>
      <c r="D912" s="3">
        <v>1.12</v>
      </c>
    </row>
    <row r="913">
      <c r="A913" s="1" t="s">
        <v>791</v>
      </c>
      <c r="B913" s="1" t="s">
        <v>253</v>
      </c>
      <c r="C913" s="1" t="s">
        <v>1728</v>
      </c>
      <c r="D913" s="3">
        <v>1.86</v>
      </c>
    </row>
    <row r="914">
      <c r="A914" s="1" t="s">
        <v>735</v>
      </c>
      <c r="B914" s="1" t="s">
        <v>680</v>
      </c>
      <c r="C914" s="1" t="s">
        <v>1729</v>
      </c>
      <c r="D914" s="3">
        <v>0.94</v>
      </c>
    </row>
    <row r="915">
      <c r="A915" s="1" t="s">
        <v>721</v>
      </c>
      <c r="B915" s="1" t="s">
        <v>147</v>
      </c>
      <c r="C915" s="1" t="s">
        <v>1730</v>
      </c>
      <c r="D915" s="3">
        <v>2.04</v>
      </c>
    </row>
    <row r="916">
      <c r="A916" s="1" t="s">
        <v>884</v>
      </c>
      <c r="B916" s="1" t="s">
        <v>671</v>
      </c>
      <c r="C916" s="1" t="s">
        <v>1731</v>
      </c>
      <c r="D916" s="3">
        <v>1.54</v>
      </c>
    </row>
    <row r="917">
      <c r="A917" s="1" t="s">
        <v>942</v>
      </c>
      <c r="B917" s="1" t="s">
        <v>150</v>
      </c>
      <c r="C917" s="1" t="s">
        <v>1732</v>
      </c>
      <c r="D917" s="3">
        <v>1.4</v>
      </c>
    </row>
    <row r="918">
      <c r="A918" s="1" t="s">
        <v>884</v>
      </c>
      <c r="B918" s="1" t="s">
        <v>671</v>
      </c>
      <c r="C918" s="1" t="s">
        <v>1733</v>
      </c>
      <c r="D918" s="3">
        <v>1.78</v>
      </c>
    </row>
    <row r="919">
      <c r="A919" s="1" t="s">
        <v>769</v>
      </c>
      <c r="B919" s="1" t="s">
        <v>105</v>
      </c>
      <c r="C919" s="1" t="s">
        <v>1734</v>
      </c>
      <c r="D919" s="3">
        <v>1.68</v>
      </c>
    </row>
    <row r="920">
      <c r="A920" s="1" t="s">
        <v>746</v>
      </c>
      <c r="B920" s="1" t="s">
        <v>505</v>
      </c>
      <c r="C920" s="1" t="s">
        <v>1735</v>
      </c>
      <c r="D920" s="3">
        <v>1.72</v>
      </c>
    </row>
    <row r="921">
      <c r="A921" s="1" t="s">
        <v>1178</v>
      </c>
      <c r="B921" s="1" t="s">
        <v>460</v>
      </c>
      <c r="C921" s="1" t="s">
        <v>1736</v>
      </c>
      <c r="D921" s="3">
        <v>2.11</v>
      </c>
    </row>
    <row r="922">
      <c r="A922" s="1" t="s">
        <v>733</v>
      </c>
      <c r="B922" s="1" t="s">
        <v>300</v>
      </c>
      <c r="C922" s="1" t="s">
        <v>1737</v>
      </c>
      <c r="D922" s="3">
        <v>0.85</v>
      </c>
    </row>
    <row r="923">
      <c r="A923" s="1" t="s">
        <v>769</v>
      </c>
      <c r="B923" s="1" t="s">
        <v>105</v>
      </c>
      <c r="C923" s="1" t="s">
        <v>1738</v>
      </c>
      <c r="D923" s="3">
        <v>1.77</v>
      </c>
    </row>
    <row r="924">
      <c r="A924" s="1" t="s">
        <v>721</v>
      </c>
      <c r="B924" s="1" t="s">
        <v>147</v>
      </c>
      <c r="C924" s="1" t="s">
        <v>1739</v>
      </c>
      <c r="D924" s="3">
        <v>2.16</v>
      </c>
    </row>
    <row r="925">
      <c r="A925" s="1" t="s">
        <v>777</v>
      </c>
      <c r="B925" s="1" t="s">
        <v>617</v>
      </c>
      <c r="C925" s="1" t="s">
        <v>1740</v>
      </c>
      <c r="D925" s="3">
        <v>1.91</v>
      </c>
    </row>
    <row r="926">
      <c r="A926" s="1" t="s">
        <v>769</v>
      </c>
      <c r="B926" s="1" t="s">
        <v>105</v>
      </c>
      <c r="C926" s="1" t="s">
        <v>1741</v>
      </c>
      <c r="D926" s="3">
        <v>1.68</v>
      </c>
    </row>
    <row r="927">
      <c r="A927" s="1" t="s">
        <v>782</v>
      </c>
      <c r="B927" s="1" t="s">
        <v>413</v>
      </c>
      <c r="C927" s="1" t="s">
        <v>1742</v>
      </c>
      <c r="D927" s="3">
        <v>1.92</v>
      </c>
    </row>
    <row r="928">
      <c r="A928" s="1" t="s">
        <v>763</v>
      </c>
      <c r="B928" s="1" t="s">
        <v>327</v>
      </c>
      <c r="C928" s="1" t="s">
        <v>1743</v>
      </c>
      <c r="D928" s="3">
        <v>1.5</v>
      </c>
    </row>
    <row r="929">
      <c r="A929" s="1" t="s">
        <v>729</v>
      </c>
      <c r="B929" s="1" t="s">
        <v>514</v>
      </c>
      <c r="C929" s="1" t="s">
        <v>1744</v>
      </c>
      <c r="D929" s="3">
        <v>1.36</v>
      </c>
    </row>
    <row r="930">
      <c r="A930" s="1" t="s">
        <v>733</v>
      </c>
      <c r="B930" s="1" t="s">
        <v>300</v>
      </c>
      <c r="C930" s="1" t="s">
        <v>1745</v>
      </c>
      <c r="D930" s="3">
        <v>1.06</v>
      </c>
    </row>
    <row r="931">
      <c r="A931" s="1" t="s">
        <v>1746</v>
      </c>
      <c r="B931" s="1" t="s">
        <v>126</v>
      </c>
      <c r="C931" s="1" t="s">
        <v>1747</v>
      </c>
      <c r="D931" s="3">
        <v>1.43</v>
      </c>
    </row>
    <row r="932">
      <c r="A932" s="1" t="s">
        <v>1318</v>
      </c>
      <c r="B932" s="1" t="s">
        <v>487</v>
      </c>
      <c r="C932" s="1" t="s">
        <v>1748</v>
      </c>
      <c r="D932" s="3">
        <v>1.7</v>
      </c>
    </row>
    <row r="933">
      <c r="A933" s="1" t="s">
        <v>721</v>
      </c>
      <c r="B933" s="1" t="s">
        <v>147</v>
      </c>
      <c r="C933" s="1" t="s">
        <v>1749</v>
      </c>
      <c r="D933" s="3">
        <v>1.38</v>
      </c>
    </row>
    <row r="934">
      <c r="A934" s="1" t="s">
        <v>1018</v>
      </c>
      <c r="B934" s="1" t="s">
        <v>191</v>
      </c>
      <c r="C934" s="1" t="s">
        <v>1750</v>
      </c>
      <c r="D934" s="3">
        <v>1.52</v>
      </c>
    </row>
    <row r="935">
      <c r="A935" s="1" t="s">
        <v>723</v>
      </c>
      <c r="B935" s="1" t="s">
        <v>511</v>
      </c>
      <c r="C935" s="1" t="s">
        <v>1751</v>
      </c>
      <c r="D935" s="3">
        <v>2.24</v>
      </c>
    </row>
    <row r="936">
      <c r="A936" s="1" t="s">
        <v>777</v>
      </c>
      <c r="B936" s="1" t="s">
        <v>617</v>
      </c>
      <c r="C936" s="1" t="s">
        <v>1752</v>
      </c>
      <c r="D936" s="3">
        <v>2.15</v>
      </c>
    </row>
    <row r="937">
      <c r="A937" s="1" t="s">
        <v>1341</v>
      </c>
      <c r="B937" s="1" t="s">
        <v>709</v>
      </c>
      <c r="C937" s="1" t="s">
        <v>1753</v>
      </c>
      <c r="D937" s="3">
        <v>1.05</v>
      </c>
    </row>
    <row r="938">
      <c r="A938" s="1" t="s">
        <v>904</v>
      </c>
      <c r="B938" s="1" t="s">
        <v>653</v>
      </c>
      <c r="C938" s="1" t="s">
        <v>1754</v>
      </c>
      <c r="D938" s="3">
        <v>1.11</v>
      </c>
    </row>
    <row r="939">
      <c r="A939" s="1" t="s">
        <v>721</v>
      </c>
      <c r="B939" s="1" t="s">
        <v>147</v>
      </c>
      <c r="C939" s="1" t="s">
        <v>1755</v>
      </c>
      <c r="D939" s="3">
        <v>1.17</v>
      </c>
    </row>
    <row r="940">
      <c r="A940" s="1" t="s">
        <v>733</v>
      </c>
      <c r="B940" s="1" t="s">
        <v>300</v>
      </c>
      <c r="C940" s="1" t="s">
        <v>1756</v>
      </c>
      <c r="D940" s="3">
        <v>1.74</v>
      </c>
    </row>
    <row r="941">
      <c r="A941" s="1" t="s">
        <v>1357</v>
      </c>
      <c r="B941" s="1" t="s">
        <v>375</v>
      </c>
      <c r="C941" s="1" t="s">
        <v>1176</v>
      </c>
      <c r="D941" s="3">
        <v>1.45</v>
      </c>
    </row>
    <row r="942">
      <c r="A942" s="1" t="s">
        <v>725</v>
      </c>
      <c r="B942" s="1" t="s">
        <v>227</v>
      </c>
      <c r="C942" s="1" t="s">
        <v>1757</v>
      </c>
      <c r="D942" s="3">
        <v>2.19</v>
      </c>
    </row>
    <row r="943">
      <c r="A943" s="1" t="s">
        <v>779</v>
      </c>
      <c r="B943" s="1" t="s">
        <v>700</v>
      </c>
      <c r="C943" s="1" t="s">
        <v>1758</v>
      </c>
      <c r="D943" s="3">
        <v>2.19</v>
      </c>
    </row>
    <row r="944">
      <c r="A944" s="1" t="s">
        <v>721</v>
      </c>
      <c r="B944" s="1" t="s">
        <v>147</v>
      </c>
      <c r="C944" s="1" t="s">
        <v>1759</v>
      </c>
      <c r="D944" s="3">
        <v>1.02</v>
      </c>
    </row>
    <row r="945">
      <c r="A945" s="1" t="s">
        <v>774</v>
      </c>
      <c r="B945" s="1" t="s">
        <v>185</v>
      </c>
      <c r="C945" s="1" t="s">
        <v>1760</v>
      </c>
      <c r="D945" s="3">
        <v>0.94</v>
      </c>
    </row>
    <row r="946">
      <c r="A946" s="1" t="s">
        <v>725</v>
      </c>
      <c r="B946" s="1" t="s">
        <v>227</v>
      </c>
      <c r="C946" s="1" t="s">
        <v>1761</v>
      </c>
      <c r="D946" s="3">
        <v>1.8</v>
      </c>
    </row>
    <row r="947">
      <c r="A947" s="1" t="s">
        <v>721</v>
      </c>
      <c r="B947" s="1" t="s">
        <v>147</v>
      </c>
      <c r="C947" s="1" t="s">
        <v>1762</v>
      </c>
      <c r="D947" s="3">
        <v>1.65</v>
      </c>
    </row>
    <row r="948">
      <c r="A948" s="1" t="s">
        <v>723</v>
      </c>
      <c r="B948" s="1" t="s">
        <v>511</v>
      </c>
      <c r="C948" s="1" t="s">
        <v>1763</v>
      </c>
      <c r="D948" s="3">
        <v>1.1</v>
      </c>
    </row>
    <row r="949">
      <c r="A949" s="1" t="s">
        <v>727</v>
      </c>
      <c r="B949" s="1" t="s">
        <v>532</v>
      </c>
      <c r="C949" s="1" t="s">
        <v>1764</v>
      </c>
      <c r="D949" s="3">
        <v>0.86</v>
      </c>
    </row>
    <row r="950">
      <c r="A950" s="1" t="s">
        <v>729</v>
      </c>
      <c r="B950" s="1" t="s">
        <v>514</v>
      </c>
      <c r="C950" s="1" t="s">
        <v>1765</v>
      </c>
      <c r="D950" s="3">
        <v>1.03</v>
      </c>
    </row>
    <row r="951">
      <c r="A951" s="1" t="s">
        <v>777</v>
      </c>
      <c r="B951" s="1" t="s">
        <v>617</v>
      </c>
      <c r="C951" s="1" t="s">
        <v>1766</v>
      </c>
      <c r="D951" s="3">
        <v>0.87</v>
      </c>
    </row>
    <row r="952">
      <c r="A952" s="1" t="s">
        <v>721</v>
      </c>
      <c r="B952" s="1" t="s">
        <v>147</v>
      </c>
      <c r="C952" s="1" t="s">
        <v>1767</v>
      </c>
      <c r="D952" s="3">
        <v>1.74</v>
      </c>
    </row>
    <row r="953">
      <c r="A953" s="1" t="s">
        <v>727</v>
      </c>
      <c r="B953" s="1" t="s">
        <v>532</v>
      </c>
      <c r="C953" s="1" t="s">
        <v>1768</v>
      </c>
      <c r="D953" s="3">
        <v>0.89</v>
      </c>
    </row>
    <row r="954">
      <c r="A954" s="1" t="s">
        <v>735</v>
      </c>
      <c r="B954" s="1" t="s">
        <v>680</v>
      </c>
      <c r="C954" s="1" t="s">
        <v>1769</v>
      </c>
      <c r="D954" s="3">
        <v>1.84</v>
      </c>
    </row>
    <row r="955">
      <c r="A955" s="1" t="s">
        <v>1082</v>
      </c>
      <c r="B955" s="1" t="s">
        <v>72</v>
      </c>
      <c r="C955" s="1" t="s">
        <v>1770</v>
      </c>
      <c r="D955" s="3">
        <v>1.84</v>
      </c>
    </row>
    <row r="956">
      <c r="A956" s="1" t="s">
        <v>765</v>
      </c>
      <c r="B956" s="1" t="s">
        <v>174</v>
      </c>
      <c r="C956" s="1" t="s">
        <v>1771</v>
      </c>
      <c r="D956" s="3">
        <v>2.23</v>
      </c>
    </row>
    <row r="957">
      <c r="A957" s="1" t="s">
        <v>746</v>
      </c>
      <c r="B957" s="1" t="s">
        <v>505</v>
      </c>
      <c r="C957" s="1" t="s">
        <v>1772</v>
      </c>
      <c r="D957" s="3">
        <v>2.01</v>
      </c>
    </row>
    <row r="958">
      <c r="A958" s="1" t="s">
        <v>740</v>
      </c>
      <c r="B958" s="1" t="s">
        <v>508</v>
      </c>
      <c r="C958" s="1" t="s">
        <v>1773</v>
      </c>
      <c r="D958" s="3">
        <v>1.34</v>
      </c>
    </row>
    <row r="959">
      <c r="A959" s="1" t="s">
        <v>727</v>
      </c>
      <c r="B959" s="1" t="s">
        <v>532</v>
      </c>
      <c r="C959" s="1" t="s">
        <v>1774</v>
      </c>
      <c r="D959" s="3">
        <v>1.4</v>
      </c>
    </row>
    <row r="960">
      <c r="A960" s="1" t="s">
        <v>733</v>
      </c>
      <c r="B960" s="1" t="s">
        <v>300</v>
      </c>
      <c r="C960" s="1" t="s">
        <v>1775</v>
      </c>
      <c r="D960" s="3">
        <v>1.01</v>
      </c>
    </row>
    <row r="961">
      <c r="A961" s="1" t="s">
        <v>740</v>
      </c>
      <c r="B961" s="1" t="s">
        <v>508</v>
      </c>
      <c r="C961" s="1" t="s">
        <v>1776</v>
      </c>
      <c r="D961" s="3">
        <v>2.14</v>
      </c>
    </row>
    <row r="962">
      <c r="A962" s="1" t="s">
        <v>727</v>
      </c>
      <c r="B962" s="1" t="s">
        <v>532</v>
      </c>
      <c r="C962" s="1" t="s">
        <v>824</v>
      </c>
      <c r="D962" s="3">
        <v>2.21</v>
      </c>
    </row>
    <row r="963">
      <c r="A963" s="1" t="s">
        <v>735</v>
      </c>
      <c r="B963" s="1" t="s">
        <v>680</v>
      </c>
      <c r="C963" s="1" t="s">
        <v>1777</v>
      </c>
      <c r="D963" s="3">
        <v>1.53</v>
      </c>
    </row>
    <row r="964">
      <c r="A964" s="1" t="s">
        <v>729</v>
      </c>
      <c r="B964" s="1" t="s">
        <v>514</v>
      </c>
      <c r="C964" s="1" t="s">
        <v>1778</v>
      </c>
      <c r="D964" s="3">
        <v>2.18</v>
      </c>
    </row>
    <row r="965">
      <c r="A965" s="1" t="s">
        <v>725</v>
      </c>
      <c r="B965" s="1" t="s">
        <v>227</v>
      </c>
      <c r="C965" s="1" t="s">
        <v>1779</v>
      </c>
      <c r="D965" s="3">
        <v>1.98</v>
      </c>
    </row>
    <row r="966">
      <c r="A966" s="1" t="s">
        <v>884</v>
      </c>
      <c r="B966" s="1" t="s">
        <v>671</v>
      </c>
      <c r="C966" s="1" t="s">
        <v>760</v>
      </c>
      <c r="D966" s="3">
        <v>0.86</v>
      </c>
    </row>
    <row r="967">
      <c r="A967" s="1" t="s">
        <v>1178</v>
      </c>
      <c r="B967" s="1" t="s">
        <v>460</v>
      </c>
      <c r="C967" s="1" t="s">
        <v>1780</v>
      </c>
      <c r="D967" s="3">
        <v>1.38</v>
      </c>
    </row>
    <row r="968">
      <c r="A968" s="1" t="s">
        <v>966</v>
      </c>
      <c r="B968" s="1" t="s">
        <v>481</v>
      </c>
      <c r="C968" s="1" t="s">
        <v>1781</v>
      </c>
      <c r="D968" s="3">
        <v>2.09</v>
      </c>
    </row>
    <row r="969">
      <c r="A969" s="1" t="s">
        <v>733</v>
      </c>
      <c r="B969" s="1" t="s">
        <v>300</v>
      </c>
      <c r="C969" s="1" t="s">
        <v>1782</v>
      </c>
      <c r="D969" s="3">
        <v>1.34</v>
      </c>
    </row>
    <row r="970">
      <c r="A970" s="1" t="s">
        <v>884</v>
      </c>
      <c r="B970" s="1" t="s">
        <v>671</v>
      </c>
      <c r="C970" s="1" t="s">
        <v>1783</v>
      </c>
      <c r="D970" s="3">
        <v>2.18</v>
      </c>
    </row>
    <row r="971">
      <c r="A971" s="1" t="s">
        <v>863</v>
      </c>
      <c r="B971" s="1" t="s">
        <v>162</v>
      </c>
      <c r="C971" s="1" t="s">
        <v>1784</v>
      </c>
      <c r="D971" s="3">
        <v>2.0</v>
      </c>
    </row>
    <row r="972">
      <c r="A972" s="1" t="s">
        <v>727</v>
      </c>
      <c r="B972" s="1" t="s">
        <v>532</v>
      </c>
      <c r="C972" s="1" t="s">
        <v>1785</v>
      </c>
      <c r="D972" s="3">
        <v>0.89</v>
      </c>
    </row>
    <row r="973">
      <c r="A973" s="1" t="s">
        <v>729</v>
      </c>
      <c r="B973" s="1" t="s">
        <v>514</v>
      </c>
      <c r="C973" s="1" t="s">
        <v>1786</v>
      </c>
      <c r="D973" s="3">
        <v>2.23</v>
      </c>
    </row>
    <row r="974">
      <c r="A974" s="1" t="s">
        <v>733</v>
      </c>
      <c r="B974" s="1" t="s">
        <v>300</v>
      </c>
      <c r="C974" s="1" t="s">
        <v>1787</v>
      </c>
      <c r="D974" s="3">
        <v>1.94</v>
      </c>
    </row>
    <row r="975">
      <c r="A975" s="1" t="s">
        <v>727</v>
      </c>
      <c r="B975" s="1" t="s">
        <v>532</v>
      </c>
      <c r="C975" s="1" t="s">
        <v>1788</v>
      </c>
      <c r="D975" s="3">
        <v>1.16</v>
      </c>
    </row>
    <row r="976">
      <c r="A976" s="1" t="s">
        <v>733</v>
      </c>
      <c r="B976" s="1" t="s">
        <v>300</v>
      </c>
      <c r="C976" s="1" t="s">
        <v>1789</v>
      </c>
      <c r="D976" s="3">
        <v>2.1</v>
      </c>
    </row>
    <row r="977">
      <c r="A977" s="1" t="s">
        <v>763</v>
      </c>
      <c r="B977" s="1" t="s">
        <v>327</v>
      </c>
      <c r="C977" s="1" t="s">
        <v>1302</v>
      </c>
      <c r="D977" s="3">
        <v>1.84</v>
      </c>
    </row>
    <row r="978">
      <c r="A978" s="1" t="s">
        <v>884</v>
      </c>
      <c r="B978" s="1" t="s">
        <v>671</v>
      </c>
      <c r="C978" s="1" t="s">
        <v>891</v>
      </c>
      <c r="D978" s="3">
        <v>1.72</v>
      </c>
    </row>
    <row r="979">
      <c r="A979" s="1" t="s">
        <v>1047</v>
      </c>
      <c r="B979" s="1" t="s">
        <v>380</v>
      </c>
      <c r="C979" s="1" t="s">
        <v>1790</v>
      </c>
      <c r="D979" s="3">
        <v>0.94</v>
      </c>
    </row>
    <row r="980">
      <c r="A980" s="1" t="s">
        <v>966</v>
      </c>
      <c r="B980" s="1" t="s">
        <v>481</v>
      </c>
      <c r="C980" s="1" t="s">
        <v>1791</v>
      </c>
      <c r="D980" s="3">
        <v>1.29</v>
      </c>
    </row>
    <row r="981">
      <c r="A981" s="1" t="s">
        <v>769</v>
      </c>
      <c r="B981" s="1" t="s">
        <v>105</v>
      </c>
      <c r="C981" s="1" t="s">
        <v>1792</v>
      </c>
      <c r="D981" s="3">
        <v>1.27</v>
      </c>
    </row>
    <row r="982">
      <c r="A982" s="1" t="s">
        <v>733</v>
      </c>
      <c r="B982" s="1" t="s">
        <v>300</v>
      </c>
      <c r="C982" s="1" t="s">
        <v>1793</v>
      </c>
      <c r="D982" s="3">
        <v>0.88</v>
      </c>
    </row>
    <row r="983">
      <c r="A983" s="1" t="s">
        <v>765</v>
      </c>
      <c r="B983" s="1" t="s">
        <v>174</v>
      </c>
      <c r="C983" s="1" t="s">
        <v>1794</v>
      </c>
      <c r="D983" s="3">
        <v>1.0</v>
      </c>
    </row>
    <row r="984">
      <c r="A984" s="1" t="s">
        <v>721</v>
      </c>
      <c r="B984" s="1" t="s">
        <v>147</v>
      </c>
      <c r="C984" s="1" t="s">
        <v>1795</v>
      </c>
      <c r="D984" s="3">
        <v>0.88</v>
      </c>
    </row>
    <row r="985">
      <c r="A985" s="1" t="s">
        <v>1507</v>
      </c>
      <c r="B985" s="1" t="s">
        <v>63</v>
      </c>
      <c r="C985" s="1" t="s">
        <v>1796</v>
      </c>
      <c r="D985" s="3">
        <v>1.25</v>
      </c>
    </row>
    <row r="986">
      <c r="A986" s="1" t="s">
        <v>721</v>
      </c>
      <c r="B986" s="1" t="s">
        <v>147</v>
      </c>
      <c r="C986" s="1" t="s">
        <v>1797</v>
      </c>
      <c r="D986" s="3">
        <v>1.97</v>
      </c>
    </row>
    <row r="987">
      <c r="A987" s="1" t="s">
        <v>1581</v>
      </c>
      <c r="B987" s="1" t="s">
        <v>324</v>
      </c>
      <c r="C987" s="1" t="s">
        <v>1798</v>
      </c>
      <c r="D987" s="3">
        <v>1.82</v>
      </c>
    </row>
    <row r="988">
      <c r="A988" s="1" t="s">
        <v>721</v>
      </c>
      <c r="B988" s="1" t="s">
        <v>147</v>
      </c>
      <c r="C988" s="1" t="s">
        <v>1799</v>
      </c>
      <c r="D988" s="3">
        <v>1.8</v>
      </c>
    </row>
    <row r="989">
      <c r="A989" s="1" t="s">
        <v>746</v>
      </c>
      <c r="B989" s="1" t="s">
        <v>505</v>
      </c>
      <c r="C989" s="1" t="s">
        <v>1800</v>
      </c>
      <c r="D989" s="3">
        <v>1.34</v>
      </c>
    </row>
    <row r="990">
      <c r="A990" s="1" t="s">
        <v>964</v>
      </c>
      <c r="B990" s="1" t="s">
        <v>22</v>
      </c>
      <c r="C990" s="1" t="s">
        <v>1801</v>
      </c>
      <c r="D990" s="3">
        <v>1.67</v>
      </c>
    </row>
    <row r="991">
      <c r="A991" s="1" t="s">
        <v>884</v>
      </c>
      <c r="B991" s="1" t="s">
        <v>671</v>
      </c>
      <c r="C991" s="1" t="s">
        <v>1802</v>
      </c>
      <c r="D991" s="3">
        <v>1.54</v>
      </c>
    </row>
    <row r="992">
      <c r="A992" s="1" t="s">
        <v>746</v>
      </c>
      <c r="B992" s="1" t="s">
        <v>505</v>
      </c>
      <c r="C992" s="1" t="s">
        <v>1803</v>
      </c>
      <c r="D992" s="3">
        <v>2.06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0"/>
    <col customWidth="1" min="4" max="4" width="15.13"/>
    <col customWidth="1" min="5" max="5" width="13.5"/>
  </cols>
  <sheetData>
    <row r="1">
      <c r="A1" s="7" t="str">
        <f>IFERROR(__xludf.DUMMYFUNCTION("query(partners,""select B,C,D"")"),"country_name")</f>
        <v>country_name</v>
      </c>
      <c r="B1" s="7" t="str">
        <f>IFERROR(__xludf.DUMMYFUNCTION("""COMPUTED_VALUE"""),"partner_company")</f>
        <v>partner_company</v>
      </c>
      <c r="C1" s="7" t="str">
        <f>IFERROR(__xludf.DUMMYFUNCTION("""COMPUTED_VALUE"""),"daily_profit_per_inhabitant_USD")</f>
        <v>daily_profit_per_inhabitant_USD</v>
      </c>
      <c r="D1" s="1" t="s">
        <v>1804</v>
      </c>
      <c r="E1" s="3" t="s">
        <v>1805</v>
      </c>
      <c r="G1" s="1" t="s">
        <v>1806</v>
      </c>
      <c r="H1" s="1" t="s">
        <v>1807</v>
      </c>
    </row>
    <row r="2">
      <c r="A2" s="7" t="str">
        <f>IFERROR(__xludf.DUMMYFUNCTION("""COMPUTED_VALUE"""),"China")</f>
        <v>China</v>
      </c>
      <c r="B2" s="7" t="str">
        <f>IFERROR(__xludf.DUMMYFUNCTION("""COMPUTED_VALUE"""),"Bashirian, Emmerich and Kuhn")</f>
        <v>Bashirian, Emmerich and Kuhn</v>
      </c>
      <c r="C2" s="8">
        <f>IFERROR(__xludf.DUMMYFUNCTION("""COMPUTED_VALUE"""),1.34)</f>
        <v>1.34</v>
      </c>
      <c r="D2" s="7">
        <f t="array" ref="D2:D992">VLOOKUP(A2:A992,world,4)</f>
        <v>1425887337</v>
      </c>
      <c r="E2" s="8">
        <f t="array" ref="E2:E992">C2:C992*D2:D992</f>
        <v>1910689032</v>
      </c>
      <c r="G2" s="7" t="str">
        <f>IFERROR(__xludf.DUMMYFUNCTION("unique(A2:A992)"),"China")</f>
        <v>China</v>
      </c>
      <c r="H2" s="7">
        <f t="array" ref="H2:H119">VLOOKUP(G2:G119,world,4)</f>
        <v>1425887337</v>
      </c>
    </row>
    <row r="3">
      <c r="A3" s="7" t="str">
        <f>IFERROR(__xludf.DUMMYFUNCTION("""COMPUTED_VALUE"""),"Poland")</f>
        <v>Poland</v>
      </c>
      <c r="B3" s="7" t="str">
        <f>IFERROR(__xludf.DUMMYFUNCTION("""COMPUTED_VALUE"""),"Treutel-Moore")</f>
        <v>Treutel-Moore</v>
      </c>
      <c r="C3" s="8">
        <f>IFERROR(__xludf.DUMMYFUNCTION("""COMPUTED_VALUE"""),2.22)</f>
        <v>2.22</v>
      </c>
      <c r="D3" s="7">
        <v>3.9857145E7</v>
      </c>
      <c r="E3" s="8">
        <v>8.84828619E7</v>
      </c>
      <c r="G3" s="7" t="str">
        <f>IFERROR(__xludf.DUMMYFUNCTION("""COMPUTED_VALUE"""),"Poland")</f>
        <v>Poland</v>
      </c>
      <c r="H3" s="7">
        <v>3.9857145E7</v>
      </c>
    </row>
    <row r="4">
      <c r="A4" s="7" t="str">
        <f>IFERROR(__xludf.DUMMYFUNCTION("""COMPUTED_VALUE"""),"France")</f>
        <v>France</v>
      </c>
      <c r="B4" s="7" t="str">
        <f>IFERROR(__xludf.DUMMYFUNCTION("""COMPUTED_VALUE"""),"Moore Group")</f>
        <v>Moore Group</v>
      </c>
      <c r="C4" s="8">
        <f>IFERROR(__xludf.DUMMYFUNCTION("""COMPUTED_VALUE"""),2.02)</f>
        <v>2.02</v>
      </c>
      <c r="D4" s="7">
        <v>6.4626628E7</v>
      </c>
      <c r="E4" s="8">
        <v>1.3054578856E8</v>
      </c>
      <c r="G4" s="7" t="str">
        <f>IFERROR(__xludf.DUMMYFUNCTION("""COMPUTED_VALUE"""),"France")</f>
        <v>France</v>
      </c>
      <c r="H4" s="7">
        <v>6.4626628E7</v>
      </c>
    </row>
    <row r="5">
      <c r="A5" s="7" t="str">
        <f>IFERROR(__xludf.DUMMYFUNCTION("""COMPUTED_VALUE"""),"Russia")</f>
        <v>Russia</v>
      </c>
      <c r="B5" s="7" t="str">
        <f>IFERROR(__xludf.DUMMYFUNCTION("""COMPUTED_VALUE"""),"Lakin, Schultz and Balistreri")</f>
        <v>Lakin, Schultz and Balistreri</v>
      </c>
      <c r="C5" s="8">
        <f>IFERROR(__xludf.DUMMYFUNCTION("""COMPUTED_VALUE"""),1.24)</f>
        <v>1.24</v>
      </c>
      <c r="D5" s="7">
        <v>1.44713314E8</v>
      </c>
      <c r="E5" s="8">
        <v>1.7944450935999998E8</v>
      </c>
      <c r="G5" s="7" t="str">
        <f>IFERROR(__xludf.DUMMYFUNCTION("""COMPUTED_VALUE"""),"Russia")</f>
        <v>Russia</v>
      </c>
      <c r="H5" s="7">
        <v>1.44713314E8</v>
      </c>
    </row>
    <row r="6">
      <c r="A6" s="7" t="str">
        <f>IFERROR(__xludf.DUMMYFUNCTION("""COMPUTED_VALUE"""),"Portugal")</f>
        <v>Portugal</v>
      </c>
      <c r="B6" s="7" t="str">
        <f>IFERROR(__xludf.DUMMYFUNCTION("""COMPUTED_VALUE"""),"Feeney LLC")</f>
        <v>Feeney LLC</v>
      </c>
      <c r="C6" s="8">
        <f>IFERROR(__xludf.DUMMYFUNCTION("""COMPUTED_VALUE"""),1.1)</f>
        <v>1.1</v>
      </c>
      <c r="D6" s="7">
        <v>1.0270865E7</v>
      </c>
      <c r="E6" s="8">
        <v>1.12979515E7</v>
      </c>
      <c r="G6" s="7" t="str">
        <f>IFERROR(__xludf.DUMMYFUNCTION("""COMPUTED_VALUE"""),"Portugal")</f>
        <v>Portugal</v>
      </c>
      <c r="H6" s="7">
        <v>1.0270865E7</v>
      </c>
    </row>
    <row r="7">
      <c r="A7" s="7" t="str">
        <f>IFERROR(__xludf.DUMMYFUNCTION("""COMPUTED_VALUE"""),"Belarus")</f>
        <v>Belarus</v>
      </c>
      <c r="B7" s="7" t="str">
        <f>IFERROR(__xludf.DUMMYFUNCTION("""COMPUTED_VALUE"""),"Flatley-O'Keefe")</f>
        <v>Flatley-O'Keefe</v>
      </c>
      <c r="C7" s="8">
        <f>IFERROR(__xludf.DUMMYFUNCTION("""COMPUTED_VALUE"""),1.65)</f>
        <v>1.65</v>
      </c>
      <c r="D7" s="7">
        <v>9534954.0</v>
      </c>
      <c r="E7" s="8">
        <v>1.57326741E7</v>
      </c>
      <c r="G7" s="7" t="str">
        <f>IFERROR(__xludf.DUMMYFUNCTION("""COMPUTED_VALUE"""),"Belarus")</f>
        <v>Belarus</v>
      </c>
      <c r="H7" s="7">
        <v>9534954.0</v>
      </c>
    </row>
    <row r="8">
      <c r="A8" s="7" t="str">
        <f>IFERROR(__xludf.DUMMYFUNCTION("""COMPUTED_VALUE"""),"Indonesia")</f>
        <v>Indonesia</v>
      </c>
      <c r="B8" s="7" t="str">
        <f>IFERROR(__xludf.DUMMYFUNCTION("""COMPUTED_VALUE"""),"Jaskolski Inc")</f>
        <v>Jaskolski Inc</v>
      </c>
      <c r="C8" s="8">
        <f>IFERROR(__xludf.DUMMYFUNCTION("""COMPUTED_VALUE"""),1.34)</f>
        <v>1.34</v>
      </c>
      <c r="D8" s="7">
        <v>2.75501339E8</v>
      </c>
      <c r="E8" s="8">
        <v>3.6917179426000005E8</v>
      </c>
      <c r="G8" s="7" t="str">
        <f>IFERROR(__xludf.DUMMYFUNCTION("""COMPUTED_VALUE"""),"Indonesia")</f>
        <v>Indonesia</v>
      </c>
      <c r="H8" s="7">
        <v>2.75501339E8</v>
      </c>
    </row>
    <row r="9">
      <c r="A9" s="7" t="str">
        <f>IFERROR(__xludf.DUMMYFUNCTION("""COMPUTED_VALUE"""),"United States")</f>
        <v>United States</v>
      </c>
      <c r="B9" s="7" t="str">
        <f>IFERROR(__xludf.DUMMYFUNCTION("""COMPUTED_VALUE"""),"Fisher-Mayert")</f>
        <v>Fisher-Mayert</v>
      </c>
      <c r="C9" s="8">
        <f>IFERROR(__xludf.DUMMYFUNCTION("""COMPUTED_VALUE"""),2.0)</f>
        <v>2</v>
      </c>
      <c r="D9" s="7">
        <v>3.38289857E8</v>
      </c>
      <c r="E9" s="8">
        <v>6.76579714E8</v>
      </c>
      <c r="G9" s="7" t="str">
        <f>IFERROR(__xludf.DUMMYFUNCTION("""COMPUTED_VALUE"""),"United States")</f>
        <v>United States</v>
      </c>
      <c r="H9" s="7">
        <v>3.38289857E8</v>
      </c>
    </row>
    <row r="10">
      <c r="A10" s="7" t="str">
        <f>IFERROR(__xludf.DUMMYFUNCTION("""COMPUTED_VALUE"""),"Poland")</f>
        <v>Poland</v>
      </c>
      <c r="B10" s="7" t="str">
        <f>IFERROR(__xludf.DUMMYFUNCTION("""COMPUTED_VALUE"""),"Deckow-Dibbert")</f>
        <v>Deckow-Dibbert</v>
      </c>
      <c r="C10" s="8">
        <f>IFERROR(__xludf.DUMMYFUNCTION("""COMPUTED_VALUE"""),0.97)</f>
        <v>0.97</v>
      </c>
      <c r="D10" s="7">
        <v>3.9857145E7</v>
      </c>
      <c r="E10" s="8">
        <v>3.866143065E7</v>
      </c>
      <c r="G10" s="7" t="str">
        <f>IFERROR(__xludf.DUMMYFUNCTION("""COMPUTED_VALUE"""),"Cyprus")</f>
        <v>Cyprus</v>
      </c>
      <c r="H10" s="7">
        <v>1251488.0</v>
      </c>
    </row>
    <row r="11">
      <c r="A11" s="7" t="str">
        <f>IFERROR(__xludf.DUMMYFUNCTION("""COMPUTED_VALUE"""),"Cyprus")</f>
        <v>Cyprus</v>
      </c>
      <c r="B11" s="7" t="str">
        <f>IFERROR(__xludf.DUMMYFUNCTION("""COMPUTED_VALUE"""),"Breitenberg-Nikolaus")</f>
        <v>Breitenberg-Nikolaus</v>
      </c>
      <c r="C11" s="8">
        <f>IFERROR(__xludf.DUMMYFUNCTION("""COMPUTED_VALUE"""),1.85)</f>
        <v>1.85</v>
      </c>
      <c r="D11" s="7">
        <v>1251488.0</v>
      </c>
      <c r="E11" s="8">
        <v>2315252.8000000003</v>
      </c>
      <c r="G11" s="7" t="str">
        <f>IFERROR(__xludf.DUMMYFUNCTION("""COMPUTED_VALUE"""),"Philippines")</f>
        <v>Philippines</v>
      </c>
      <c r="H11" s="7">
        <v>1.15559009E8</v>
      </c>
    </row>
    <row r="12">
      <c r="A12" s="7" t="str">
        <f>IFERROR(__xludf.DUMMYFUNCTION("""COMPUTED_VALUE"""),"Philippines")</f>
        <v>Philippines</v>
      </c>
      <c r="B12" s="7" t="str">
        <f>IFERROR(__xludf.DUMMYFUNCTION("""COMPUTED_VALUE"""),"Murphy LLC")</f>
        <v>Murphy LLC</v>
      </c>
      <c r="C12" s="8">
        <f>IFERROR(__xludf.DUMMYFUNCTION("""COMPUTED_VALUE"""),1.16)</f>
        <v>1.16</v>
      </c>
      <c r="D12" s="7">
        <v>1.15559009E8</v>
      </c>
      <c r="E12" s="8">
        <v>1.3404845044E8</v>
      </c>
      <c r="G12" s="7" t="str">
        <f>IFERROR(__xludf.DUMMYFUNCTION("""COMPUTED_VALUE"""),"Peru")</f>
        <v>Peru</v>
      </c>
      <c r="H12" s="7">
        <v>3.4049588E7</v>
      </c>
    </row>
    <row r="13">
      <c r="A13" s="7" t="str">
        <f>IFERROR(__xludf.DUMMYFUNCTION("""COMPUTED_VALUE"""),"Indonesia")</f>
        <v>Indonesia</v>
      </c>
      <c r="B13" s="7" t="str">
        <f>IFERROR(__xludf.DUMMYFUNCTION("""COMPUTED_VALUE"""),"Mertz, Jacobs and Wunsch")</f>
        <v>Mertz, Jacobs and Wunsch</v>
      </c>
      <c r="C13" s="8">
        <f>IFERROR(__xludf.DUMMYFUNCTION("""COMPUTED_VALUE"""),1.8)</f>
        <v>1.8</v>
      </c>
      <c r="D13" s="7">
        <v>2.75501339E8</v>
      </c>
      <c r="E13" s="8">
        <v>4.959024102E8</v>
      </c>
      <c r="G13" s="7" t="str">
        <f>IFERROR(__xludf.DUMMYFUNCTION("""COMPUTED_VALUE"""),"Canada")</f>
        <v>Canada</v>
      </c>
      <c r="H13" s="7">
        <v>3.8454327E7</v>
      </c>
    </row>
    <row r="14">
      <c r="A14" s="7" t="str">
        <f>IFERROR(__xludf.DUMMYFUNCTION("""COMPUTED_VALUE"""),"China")</f>
        <v>China</v>
      </c>
      <c r="B14" s="7" t="str">
        <f>IFERROR(__xludf.DUMMYFUNCTION("""COMPUTED_VALUE"""),"Toy-Roberts")</f>
        <v>Toy-Roberts</v>
      </c>
      <c r="C14" s="8">
        <f>IFERROR(__xludf.DUMMYFUNCTION("""COMPUTED_VALUE"""),1.52)</f>
        <v>1.52</v>
      </c>
      <c r="D14" s="7">
        <v>1.425887337E9</v>
      </c>
      <c r="E14" s="8">
        <v>2.1673487522400002E9</v>
      </c>
      <c r="G14" s="7" t="str">
        <f>IFERROR(__xludf.DUMMYFUNCTION("""COMPUTED_VALUE"""),"Argentina")</f>
        <v>Argentina</v>
      </c>
      <c r="H14" s="7">
        <v>4.5510318E7</v>
      </c>
    </row>
    <row r="15">
      <c r="A15" s="7" t="str">
        <f>IFERROR(__xludf.DUMMYFUNCTION("""COMPUTED_VALUE"""),"Indonesia")</f>
        <v>Indonesia</v>
      </c>
      <c r="B15" s="7" t="str">
        <f>IFERROR(__xludf.DUMMYFUNCTION("""COMPUTED_VALUE"""),"Hamill-Wiegand")</f>
        <v>Hamill-Wiegand</v>
      </c>
      <c r="C15" s="8">
        <f>IFERROR(__xludf.DUMMYFUNCTION("""COMPUTED_VALUE"""),1.23)</f>
        <v>1.23</v>
      </c>
      <c r="D15" s="7">
        <v>2.75501339E8</v>
      </c>
      <c r="E15" s="8">
        <v>3.3886664696999997E8</v>
      </c>
      <c r="G15" s="7" t="str">
        <f>IFERROR(__xludf.DUMMYFUNCTION("""COMPUTED_VALUE"""),"Spain")</f>
        <v>Spain</v>
      </c>
      <c r="H15" s="7">
        <v>4.755863E7</v>
      </c>
    </row>
    <row r="16">
      <c r="A16" s="7" t="str">
        <f>IFERROR(__xludf.DUMMYFUNCTION("""COMPUTED_VALUE"""),"United States")</f>
        <v>United States</v>
      </c>
      <c r="B16" s="7" t="str">
        <f>IFERROR(__xludf.DUMMYFUNCTION("""COMPUTED_VALUE"""),"Paucek and Sons")</f>
        <v>Paucek and Sons</v>
      </c>
      <c r="C16" s="8">
        <f>IFERROR(__xludf.DUMMYFUNCTION("""COMPUTED_VALUE"""),1.1)</f>
        <v>1.1</v>
      </c>
      <c r="D16" s="7">
        <v>3.38289857E8</v>
      </c>
      <c r="E16" s="8">
        <v>3.7211884270000005E8</v>
      </c>
      <c r="G16" s="7" t="str">
        <f>IFERROR(__xludf.DUMMYFUNCTION("""COMPUTED_VALUE"""),"Japan")</f>
        <v>Japan</v>
      </c>
      <c r="H16" s="7">
        <v>1.23951692E8</v>
      </c>
    </row>
    <row r="17">
      <c r="A17" s="7" t="str">
        <f>IFERROR(__xludf.DUMMYFUNCTION("""COMPUTED_VALUE"""),"Peru")</f>
        <v>Peru</v>
      </c>
      <c r="B17" s="7" t="str">
        <f>IFERROR(__xludf.DUMMYFUNCTION("""COMPUTED_VALUE"""),"Carroll Inc")</f>
        <v>Carroll Inc</v>
      </c>
      <c r="C17" s="8">
        <f>IFERROR(__xludf.DUMMYFUNCTION("""COMPUTED_VALUE"""),2.19)</f>
        <v>2.19</v>
      </c>
      <c r="D17" s="7">
        <v>3.4049588E7</v>
      </c>
      <c r="E17" s="8">
        <v>7.456859772E7</v>
      </c>
      <c r="G17" s="7" t="str">
        <f>IFERROR(__xludf.DUMMYFUNCTION("""COMPUTED_VALUE"""),"Czech Republic")</f>
        <v>Czech Republic</v>
      </c>
      <c r="H17" s="7">
        <v>1.0493986E7</v>
      </c>
    </row>
    <row r="18">
      <c r="A18" s="7" t="str">
        <f>IFERROR(__xludf.DUMMYFUNCTION("""COMPUTED_VALUE"""),"Canada")</f>
        <v>Canada</v>
      </c>
      <c r="B18" s="7" t="str">
        <f>IFERROR(__xludf.DUMMYFUNCTION("""COMPUTED_VALUE"""),"Rosenbaum Inc")</f>
        <v>Rosenbaum Inc</v>
      </c>
      <c r="C18" s="8">
        <f>IFERROR(__xludf.DUMMYFUNCTION("""COMPUTED_VALUE"""),1.73)</f>
        <v>1.73</v>
      </c>
      <c r="D18" s="7">
        <v>3.8454327E7</v>
      </c>
      <c r="E18" s="8">
        <v>6.652598571E7</v>
      </c>
      <c r="G18" s="7" t="str">
        <f>IFERROR(__xludf.DUMMYFUNCTION("""COMPUTED_VALUE"""),"South Africa")</f>
        <v>South Africa</v>
      </c>
      <c r="H18" s="7">
        <v>5.9893885E7</v>
      </c>
    </row>
    <row r="19">
      <c r="A19" s="7" t="str">
        <f>IFERROR(__xludf.DUMMYFUNCTION("""COMPUTED_VALUE"""),"United States")</f>
        <v>United States</v>
      </c>
      <c r="B19" s="7" t="str">
        <f>IFERROR(__xludf.DUMMYFUNCTION("""COMPUTED_VALUE"""),"Steuber, Tromp and Effertz")</f>
        <v>Steuber, Tromp and Effertz</v>
      </c>
      <c r="C19" s="8">
        <f>IFERROR(__xludf.DUMMYFUNCTION("""COMPUTED_VALUE"""),1.28)</f>
        <v>1.28</v>
      </c>
      <c r="D19" s="7">
        <v>3.38289857E8</v>
      </c>
      <c r="E19" s="8">
        <v>4.3301101696000004E8</v>
      </c>
      <c r="G19" s="7" t="str">
        <f>IFERROR(__xludf.DUMMYFUNCTION("""COMPUTED_VALUE"""),"Brazil")</f>
        <v>Brazil</v>
      </c>
      <c r="H19" s="7">
        <v>2.15313498E8</v>
      </c>
    </row>
    <row r="20">
      <c r="A20" s="7" t="str">
        <f>IFERROR(__xludf.DUMMYFUNCTION("""COMPUTED_VALUE"""),"China")</f>
        <v>China</v>
      </c>
      <c r="B20" s="7" t="str">
        <f>IFERROR(__xludf.DUMMYFUNCTION("""COMPUTED_VALUE"""),"Moen, Adams and Reichel")</f>
        <v>Moen, Adams and Reichel</v>
      </c>
      <c r="C20" s="8">
        <f>IFERROR(__xludf.DUMMYFUNCTION("""COMPUTED_VALUE"""),1.05)</f>
        <v>1.05</v>
      </c>
      <c r="D20" s="7">
        <v>1.425887337E9</v>
      </c>
      <c r="E20" s="8">
        <v>1.4971817038500001E9</v>
      </c>
      <c r="G20" s="7" t="str">
        <f>IFERROR(__xludf.DUMMYFUNCTION("""COMPUTED_VALUE"""),"Dominican Republic")</f>
        <v>Dominican Republic</v>
      </c>
      <c r="H20" s="7">
        <v>1.1228821E7</v>
      </c>
    </row>
    <row r="21">
      <c r="A21" s="7" t="str">
        <f>IFERROR(__xludf.DUMMYFUNCTION("""COMPUTED_VALUE"""),"Indonesia")</f>
        <v>Indonesia</v>
      </c>
      <c r="B21" s="7" t="str">
        <f>IFERROR(__xludf.DUMMYFUNCTION("""COMPUTED_VALUE"""),"Littel-Prohaska")</f>
        <v>Littel-Prohaska</v>
      </c>
      <c r="C21" s="8">
        <f>IFERROR(__xludf.DUMMYFUNCTION("""COMPUTED_VALUE"""),2.07)</f>
        <v>2.07</v>
      </c>
      <c r="D21" s="7">
        <v>2.75501339E8</v>
      </c>
      <c r="E21" s="8">
        <v>5.702877717299999E8</v>
      </c>
      <c r="G21" s="7" t="str">
        <f>IFERROR(__xludf.DUMMYFUNCTION("""COMPUTED_VALUE"""),"Sweden")</f>
        <v>Sweden</v>
      </c>
      <c r="H21" s="7">
        <v>1.0549347E7</v>
      </c>
    </row>
    <row r="22">
      <c r="A22" s="7" t="str">
        <f>IFERROR(__xludf.DUMMYFUNCTION("""COMPUTED_VALUE"""),"China")</f>
        <v>China</v>
      </c>
      <c r="B22" s="7" t="str">
        <f>IFERROR(__xludf.DUMMYFUNCTION("""COMPUTED_VALUE"""),"Hermiston-Greenholt")</f>
        <v>Hermiston-Greenholt</v>
      </c>
      <c r="C22" s="8">
        <f>IFERROR(__xludf.DUMMYFUNCTION("""COMPUTED_VALUE"""),1.99)</f>
        <v>1.99</v>
      </c>
      <c r="D22" s="7">
        <v>1.425887337E9</v>
      </c>
      <c r="E22" s="8">
        <v>2.83751580063E9</v>
      </c>
      <c r="G22" s="7" t="str">
        <f>IFERROR(__xludf.DUMMYFUNCTION("""COMPUTED_VALUE"""),"Vietnam")</f>
        <v>Vietnam</v>
      </c>
      <c r="H22" s="7">
        <v>9.8186856E7</v>
      </c>
    </row>
    <row r="23">
      <c r="A23" s="7" t="str">
        <f>IFERROR(__xludf.DUMMYFUNCTION("""COMPUTED_VALUE"""),"Argentina")</f>
        <v>Argentina</v>
      </c>
      <c r="B23" s="7" t="str">
        <f>IFERROR(__xludf.DUMMYFUNCTION("""COMPUTED_VALUE"""),"Mann Group")</f>
        <v>Mann Group</v>
      </c>
      <c r="C23" s="8">
        <f>IFERROR(__xludf.DUMMYFUNCTION("""COMPUTED_VALUE"""),1.82)</f>
        <v>1.82</v>
      </c>
      <c r="D23" s="7">
        <v>4.5510318E7</v>
      </c>
      <c r="E23" s="8">
        <v>8.282877876E7</v>
      </c>
      <c r="G23" s="7" t="str">
        <f>IFERROR(__xludf.DUMMYFUNCTION("""COMPUTED_VALUE"""),"Mexico")</f>
        <v>Mexico</v>
      </c>
      <c r="H23" s="7">
        <v>1.27504125E8</v>
      </c>
    </row>
    <row r="24">
      <c r="A24" s="7" t="str">
        <f>IFERROR(__xludf.DUMMYFUNCTION("""COMPUTED_VALUE"""),"Spain")</f>
        <v>Spain</v>
      </c>
      <c r="B24" s="7" t="str">
        <f>IFERROR(__xludf.DUMMYFUNCTION("""COMPUTED_VALUE"""),"Grady-Schuppe")</f>
        <v>Grady-Schuppe</v>
      </c>
      <c r="C24" s="8">
        <f>IFERROR(__xludf.DUMMYFUNCTION("""COMPUTED_VALUE"""),1.68)</f>
        <v>1.68</v>
      </c>
      <c r="D24" s="7">
        <v>4.755863E7</v>
      </c>
      <c r="E24" s="8">
        <v>7.989849839999999E7</v>
      </c>
      <c r="G24" s="7" t="str">
        <f>IFERROR(__xludf.DUMMYFUNCTION("""COMPUTED_VALUE"""),"Greece")</f>
        <v>Greece</v>
      </c>
      <c r="H24" s="7">
        <v>1.0384971E7</v>
      </c>
    </row>
    <row r="25">
      <c r="A25" s="7" t="str">
        <f>IFERROR(__xludf.DUMMYFUNCTION("""COMPUTED_VALUE"""),"Russia")</f>
        <v>Russia</v>
      </c>
      <c r="B25" s="7" t="str">
        <f>IFERROR(__xludf.DUMMYFUNCTION("""COMPUTED_VALUE"""),"Sawayn-Barton")</f>
        <v>Sawayn-Barton</v>
      </c>
      <c r="C25" s="8">
        <f>IFERROR(__xludf.DUMMYFUNCTION("""COMPUTED_VALUE"""),1.95)</f>
        <v>1.95</v>
      </c>
      <c r="D25" s="7">
        <v>1.44713314E8</v>
      </c>
      <c r="E25" s="8">
        <v>2.821909623E8</v>
      </c>
      <c r="G25" s="7" t="str">
        <f>IFERROR(__xludf.DUMMYFUNCTION("""COMPUTED_VALUE"""),"Bulgaria")</f>
        <v>Bulgaria</v>
      </c>
      <c r="H25" s="7">
        <v>6781953.0</v>
      </c>
    </row>
    <row r="26">
      <c r="A26" s="7" t="str">
        <f>IFERROR(__xludf.DUMMYFUNCTION("""COMPUTED_VALUE"""),"Russia")</f>
        <v>Russia</v>
      </c>
      <c r="B26" s="7" t="str">
        <f>IFERROR(__xludf.DUMMYFUNCTION("""COMPUTED_VALUE"""),"Klein-Gleason")</f>
        <v>Klein-Gleason</v>
      </c>
      <c r="C26" s="8">
        <f>IFERROR(__xludf.DUMMYFUNCTION("""COMPUTED_VALUE"""),1.83)</f>
        <v>1.83</v>
      </c>
      <c r="D26" s="7">
        <v>1.44713314E8</v>
      </c>
      <c r="E26" s="8">
        <v>2.6482536462E8</v>
      </c>
      <c r="G26" s="7" t="str">
        <f>IFERROR(__xludf.DUMMYFUNCTION("""COMPUTED_VALUE"""),"South Korea")</f>
        <v>South Korea</v>
      </c>
      <c r="H26" s="7">
        <v>5.181581E7</v>
      </c>
    </row>
    <row r="27">
      <c r="A27" s="7" t="str">
        <f>IFERROR(__xludf.DUMMYFUNCTION("""COMPUTED_VALUE"""),"Portugal")</f>
        <v>Portugal</v>
      </c>
      <c r="B27" s="7" t="str">
        <f>IFERROR(__xludf.DUMMYFUNCTION("""COMPUTED_VALUE"""),"Bernier and Sons")</f>
        <v>Bernier and Sons</v>
      </c>
      <c r="C27" s="8">
        <f>IFERROR(__xludf.DUMMYFUNCTION("""COMPUTED_VALUE"""),1.42)</f>
        <v>1.42</v>
      </c>
      <c r="D27" s="7">
        <v>1.0270865E7</v>
      </c>
      <c r="E27" s="8">
        <v>1.4584628299999999E7</v>
      </c>
      <c r="G27" s="7" t="str">
        <f>IFERROR(__xludf.DUMMYFUNCTION("""COMPUTED_VALUE"""),"Finland")</f>
        <v>Finland</v>
      </c>
      <c r="H27" s="7">
        <v>5540745.0</v>
      </c>
    </row>
    <row r="28">
      <c r="A28" s="7" t="str">
        <f>IFERROR(__xludf.DUMMYFUNCTION("""COMPUTED_VALUE"""),"Russia")</f>
        <v>Russia</v>
      </c>
      <c r="B28" s="7" t="str">
        <f>IFERROR(__xludf.DUMMYFUNCTION("""COMPUTED_VALUE"""),"Rogahn Group")</f>
        <v>Rogahn Group</v>
      </c>
      <c r="C28" s="8">
        <f>IFERROR(__xludf.DUMMYFUNCTION("""COMPUTED_VALUE"""),1.58)</f>
        <v>1.58</v>
      </c>
      <c r="D28" s="7">
        <v>1.44713314E8</v>
      </c>
      <c r="E28" s="8">
        <v>2.2864703612E8</v>
      </c>
      <c r="G28" s="7" t="str">
        <f>IFERROR(__xludf.DUMMYFUNCTION("""COMPUTED_VALUE"""),"Morocco")</f>
        <v>Morocco</v>
      </c>
      <c r="H28" s="7">
        <v>3.7457971E7</v>
      </c>
    </row>
    <row r="29">
      <c r="A29" s="7" t="str">
        <f>IFERROR(__xludf.DUMMYFUNCTION("""COMPUTED_VALUE"""),"China")</f>
        <v>China</v>
      </c>
      <c r="B29" s="7" t="str">
        <f>IFERROR(__xludf.DUMMYFUNCTION("""COMPUTED_VALUE"""),"Tromp-Reichel")</f>
        <v>Tromp-Reichel</v>
      </c>
      <c r="C29" s="8">
        <f>IFERROR(__xludf.DUMMYFUNCTION("""COMPUTED_VALUE"""),1.23)</f>
        <v>1.23</v>
      </c>
      <c r="D29" s="7">
        <v>1.425887337E9</v>
      </c>
      <c r="E29" s="8">
        <v>1.75384142451E9</v>
      </c>
      <c r="G29" s="7" t="str">
        <f>IFERROR(__xludf.DUMMYFUNCTION("""COMPUTED_VALUE"""),"Turkmenistan")</f>
        <v>Turkmenistan</v>
      </c>
      <c r="H29" s="7">
        <v>6430770.0</v>
      </c>
    </row>
    <row r="30">
      <c r="A30" s="7" t="str">
        <f>IFERROR(__xludf.DUMMYFUNCTION("""COMPUTED_VALUE"""),"Japan")</f>
        <v>Japan</v>
      </c>
      <c r="B30" s="7" t="str">
        <f>IFERROR(__xludf.DUMMYFUNCTION("""COMPUTED_VALUE"""),"Wunsch Group")</f>
        <v>Wunsch Group</v>
      </c>
      <c r="C30" s="8">
        <f>IFERROR(__xludf.DUMMYFUNCTION("""COMPUTED_VALUE"""),2.23)</f>
        <v>2.23</v>
      </c>
      <c r="D30" s="7">
        <v>1.23951692E8</v>
      </c>
      <c r="E30" s="8">
        <v>2.7641227316E8</v>
      </c>
      <c r="G30" s="7" t="str">
        <f>IFERROR(__xludf.DUMMYFUNCTION("""COMPUTED_VALUE"""),"Thailand")</f>
        <v>Thailand</v>
      </c>
      <c r="H30" s="7">
        <v>7.169703E7</v>
      </c>
    </row>
    <row r="31">
      <c r="A31" s="7" t="str">
        <f>IFERROR(__xludf.DUMMYFUNCTION("""COMPUTED_VALUE"""),"Czech Republic")</f>
        <v>Czech Republic</v>
      </c>
      <c r="B31" s="7" t="str">
        <f>IFERROR(__xludf.DUMMYFUNCTION("""COMPUTED_VALUE"""),"Trantow-Wunsch")</f>
        <v>Trantow-Wunsch</v>
      </c>
      <c r="C31" s="8">
        <f>IFERROR(__xludf.DUMMYFUNCTION("""COMPUTED_VALUE"""),1.56)</f>
        <v>1.56</v>
      </c>
      <c r="D31" s="7">
        <v>1.0493986E7</v>
      </c>
      <c r="E31" s="8">
        <v>1.637061816E7</v>
      </c>
      <c r="G31" s="7" t="str">
        <f>IFERROR(__xludf.DUMMYFUNCTION("""COMPUTED_VALUE"""),"Zimbabwe")</f>
        <v>Zimbabwe</v>
      </c>
      <c r="H31" s="7">
        <v>1.6320537E7</v>
      </c>
    </row>
    <row r="32">
      <c r="A32" s="7" t="str">
        <f>IFERROR(__xludf.DUMMYFUNCTION("""COMPUTED_VALUE"""),"South Africa")</f>
        <v>South Africa</v>
      </c>
      <c r="B32" s="7" t="str">
        <f>IFERROR(__xludf.DUMMYFUNCTION("""COMPUTED_VALUE"""),"Kemmer-Hessel")</f>
        <v>Kemmer-Hessel</v>
      </c>
      <c r="C32" s="8">
        <f>IFERROR(__xludf.DUMMYFUNCTION("""COMPUTED_VALUE"""),1.17)</f>
        <v>1.17</v>
      </c>
      <c r="D32" s="7">
        <v>5.9893885E7</v>
      </c>
      <c r="E32" s="8">
        <v>7.007584545E7</v>
      </c>
      <c r="G32" s="7" t="str">
        <f>IFERROR(__xludf.DUMMYFUNCTION("""COMPUTED_VALUE"""),"Honduras")</f>
        <v>Honduras</v>
      </c>
      <c r="H32" s="7">
        <v>1.043286E7</v>
      </c>
    </row>
    <row r="33">
      <c r="A33" s="7" t="str">
        <f>IFERROR(__xludf.DUMMYFUNCTION("""COMPUTED_VALUE"""),"Brazil")</f>
        <v>Brazil</v>
      </c>
      <c r="B33" s="7" t="str">
        <f>IFERROR(__xludf.DUMMYFUNCTION("""COMPUTED_VALUE"""),"Schmidt Group")</f>
        <v>Schmidt Group</v>
      </c>
      <c r="C33" s="8">
        <f>IFERROR(__xludf.DUMMYFUNCTION("""COMPUTED_VALUE"""),1.26)</f>
        <v>1.26</v>
      </c>
      <c r="D33" s="7">
        <v>2.15313498E8</v>
      </c>
      <c r="E33" s="8">
        <v>2.7129500748E8</v>
      </c>
      <c r="G33" s="7" t="str">
        <f>IFERROR(__xludf.DUMMYFUNCTION("""COMPUTED_VALUE"""),"Syria")</f>
        <v>Syria</v>
      </c>
      <c r="H33" s="7">
        <v>2.2125249E7</v>
      </c>
    </row>
    <row r="34">
      <c r="A34" s="7" t="str">
        <f>IFERROR(__xludf.DUMMYFUNCTION("""COMPUTED_VALUE"""),"Peru")</f>
        <v>Peru</v>
      </c>
      <c r="B34" s="7" t="str">
        <f>IFERROR(__xludf.DUMMYFUNCTION("""COMPUTED_VALUE"""),"Collins-Bernhard")</f>
        <v>Collins-Bernhard</v>
      </c>
      <c r="C34" s="8">
        <f>IFERROR(__xludf.DUMMYFUNCTION("""COMPUTED_VALUE"""),1.05)</f>
        <v>1.05</v>
      </c>
      <c r="D34" s="7">
        <v>3.4049588E7</v>
      </c>
      <c r="E34" s="8">
        <v>3.57520674E7</v>
      </c>
      <c r="G34" s="7" t="str">
        <f>IFERROR(__xludf.DUMMYFUNCTION("""COMPUTED_VALUE"""),"Guyana")</f>
        <v>Guyana</v>
      </c>
      <c r="H34" s="7">
        <v>808726.0</v>
      </c>
    </row>
    <row r="35">
      <c r="A35" s="7" t="str">
        <f>IFERROR(__xludf.DUMMYFUNCTION("""COMPUTED_VALUE"""),"China")</f>
        <v>China</v>
      </c>
      <c r="B35" s="7" t="str">
        <f>IFERROR(__xludf.DUMMYFUNCTION("""COMPUTED_VALUE"""),"Shields, Weissnat and Walker")</f>
        <v>Shields, Weissnat and Walker</v>
      </c>
      <c r="C35" s="8">
        <f>IFERROR(__xludf.DUMMYFUNCTION("""COMPUTED_VALUE"""),2.06)</f>
        <v>2.06</v>
      </c>
      <c r="D35" s="7">
        <v>1.425887337E9</v>
      </c>
      <c r="E35" s="8">
        <v>2.9373279142200003E9</v>
      </c>
      <c r="G35" s="7" t="str">
        <f>IFERROR(__xludf.DUMMYFUNCTION("""COMPUTED_VALUE"""),"Serbia")</f>
        <v>Serbia</v>
      </c>
      <c r="H35" s="7">
        <v>7221365.0</v>
      </c>
    </row>
    <row r="36">
      <c r="A36" s="7" t="str">
        <f>IFERROR(__xludf.DUMMYFUNCTION("""COMPUTED_VALUE"""),"China")</f>
        <v>China</v>
      </c>
      <c r="B36" s="7" t="str">
        <f>IFERROR(__xludf.DUMMYFUNCTION("""COMPUTED_VALUE"""),"Maggio-Ratke")</f>
        <v>Maggio-Ratke</v>
      </c>
      <c r="C36" s="8">
        <f>IFERROR(__xludf.DUMMYFUNCTION("""COMPUTED_VALUE"""),1.94)</f>
        <v>1.94</v>
      </c>
      <c r="D36" s="7">
        <v>1.425887337E9</v>
      </c>
      <c r="E36" s="8">
        <v>2.7662214337799997E9</v>
      </c>
      <c r="G36" s="7" t="str">
        <f>IFERROR(__xludf.DUMMYFUNCTION("""COMPUTED_VALUE"""),"Benin")</f>
        <v>Benin</v>
      </c>
      <c r="H36" s="7">
        <v>1.3352864E7</v>
      </c>
    </row>
    <row r="37">
      <c r="A37" s="7" t="str">
        <f>IFERROR(__xludf.DUMMYFUNCTION("""COMPUTED_VALUE"""),"Dominican Republic")</f>
        <v>Dominican Republic</v>
      </c>
      <c r="B37" s="7" t="str">
        <f>IFERROR(__xludf.DUMMYFUNCTION("""COMPUTED_VALUE"""),"Larson, Dach and Wiza")</f>
        <v>Larson, Dach and Wiza</v>
      </c>
      <c r="C37" s="8">
        <f>IFERROR(__xludf.DUMMYFUNCTION("""COMPUTED_VALUE"""),1.75)</f>
        <v>1.75</v>
      </c>
      <c r="D37" s="7">
        <v>1.1228821E7</v>
      </c>
      <c r="E37" s="8">
        <v>1.965043675E7</v>
      </c>
      <c r="G37" s="7" t="str">
        <f>IFERROR(__xludf.DUMMYFUNCTION("""COMPUTED_VALUE"""),"Sudan")</f>
        <v>Sudan</v>
      </c>
      <c r="H37" s="7">
        <v>4.6874204E7</v>
      </c>
    </row>
    <row r="38">
      <c r="A38" s="7" t="str">
        <f>IFERROR(__xludf.DUMMYFUNCTION("""COMPUTED_VALUE"""),"Indonesia")</f>
        <v>Indonesia</v>
      </c>
      <c r="B38" s="7" t="str">
        <f>IFERROR(__xludf.DUMMYFUNCTION("""COMPUTED_VALUE"""),"Walsh-Bins")</f>
        <v>Walsh-Bins</v>
      </c>
      <c r="C38" s="8">
        <f>IFERROR(__xludf.DUMMYFUNCTION("""COMPUTED_VALUE"""),2.25)</f>
        <v>2.25</v>
      </c>
      <c r="D38" s="7">
        <v>2.75501339E8</v>
      </c>
      <c r="E38" s="8">
        <v>6.1987801275E8</v>
      </c>
      <c r="G38" s="7" t="str">
        <f>IFERROR(__xludf.DUMMYFUNCTION("""COMPUTED_VALUE"""),"Croatia")</f>
        <v>Croatia</v>
      </c>
      <c r="H38" s="7">
        <v>4030358.0</v>
      </c>
    </row>
    <row r="39">
      <c r="A39" s="7" t="str">
        <f>IFERROR(__xludf.DUMMYFUNCTION("""COMPUTED_VALUE"""),"Sweden")</f>
        <v>Sweden</v>
      </c>
      <c r="B39" s="7" t="str">
        <f>IFERROR(__xludf.DUMMYFUNCTION("""COMPUTED_VALUE"""),"Smitham, Johnson and Jakubowski")</f>
        <v>Smitham, Johnson and Jakubowski</v>
      </c>
      <c r="C39" s="8">
        <f>IFERROR(__xludf.DUMMYFUNCTION("""COMPUTED_VALUE"""),0.97)</f>
        <v>0.97</v>
      </c>
      <c r="D39" s="7">
        <v>1.0549347E7</v>
      </c>
      <c r="E39" s="8">
        <v>1.023286659E7</v>
      </c>
      <c r="G39" s="7" t="str">
        <f>IFERROR(__xludf.DUMMYFUNCTION("""COMPUTED_VALUE"""),"Mozambique")</f>
        <v>Mozambique</v>
      </c>
      <c r="H39" s="7">
        <v>3.2969517E7</v>
      </c>
    </row>
    <row r="40">
      <c r="A40" s="7" t="str">
        <f>IFERROR(__xludf.DUMMYFUNCTION("""COMPUTED_VALUE"""),"Vietnam")</f>
        <v>Vietnam</v>
      </c>
      <c r="B40" s="7" t="str">
        <f>IFERROR(__xludf.DUMMYFUNCTION("""COMPUTED_VALUE"""),"Ratke Inc")</f>
        <v>Ratke Inc</v>
      </c>
      <c r="C40" s="8">
        <f>IFERROR(__xludf.DUMMYFUNCTION("""COMPUTED_VALUE"""),1.51)</f>
        <v>1.51</v>
      </c>
      <c r="D40" s="7">
        <v>9.8186856E7</v>
      </c>
      <c r="E40" s="8">
        <v>1.4826215256E8</v>
      </c>
      <c r="G40" s="7" t="str">
        <f>IFERROR(__xludf.DUMMYFUNCTION("""COMPUTED_VALUE"""),"Bolivia")</f>
        <v>Bolivia</v>
      </c>
      <c r="H40" s="7">
        <v>1.222411E7</v>
      </c>
    </row>
    <row r="41">
      <c r="A41" s="7" t="str">
        <f>IFERROR(__xludf.DUMMYFUNCTION("""COMPUTED_VALUE"""),"Indonesia")</f>
        <v>Indonesia</v>
      </c>
      <c r="B41" s="7" t="str">
        <f>IFERROR(__xludf.DUMMYFUNCTION("""COMPUTED_VALUE"""),"Johnston and Sons")</f>
        <v>Johnston and Sons</v>
      </c>
      <c r="C41" s="8">
        <f>IFERROR(__xludf.DUMMYFUNCTION("""COMPUTED_VALUE"""),1.03)</f>
        <v>1.03</v>
      </c>
      <c r="D41" s="7">
        <v>2.75501339E8</v>
      </c>
      <c r="E41" s="8">
        <v>2.8376637917E8</v>
      </c>
      <c r="G41" s="7" t="str">
        <f>IFERROR(__xludf.DUMMYFUNCTION("""COMPUTED_VALUE"""),"Ukraine")</f>
        <v>Ukraine</v>
      </c>
      <c r="H41" s="7">
        <v>3.9701739E7</v>
      </c>
    </row>
    <row r="42">
      <c r="A42" s="7" t="str">
        <f>IFERROR(__xludf.DUMMYFUNCTION("""COMPUTED_VALUE"""),"Mexico")</f>
        <v>Mexico</v>
      </c>
      <c r="B42" s="7" t="str">
        <f>IFERROR(__xludf.DUMMYFUNCTION("""COMPUTED_VALUE"""),"Cummerata LLC")</f>
        <v>Cummerata LLC</v>
      </c>
      <c r="C42" s="8">
        <f>IFERROR(__xludf.DUMMYFUNCTION("""COMPUTED_VALUE"""),1.22)</f>
        <v>1.22</v>
      </c>
      <c r="D42" s="7">
        <v>1.27504125E8</v>
      </c>
      <c r="E42" s="8">
        <v>1.555550325E8</v>
      </c>
      <c r="G42" s="7" t="str">
        <f>IFERROR(__xludf.DUMMYFUNCTION("""COMPUTED_VALUE"""),"Tunisia")</f>
        <v>Tunisia</v>
      </c>
      <c r="H42" s="7">
        <v>1.2356117E7</v>
      </c>
    </row>
    <row r="43">
      <c r="A43" s="7" t="str">
        <f>IFERROR(__xludf.DUMMYFUNCTION("""COMPUTED_VALUE"""),"Portugal")</f>
        <v>Portugal</v>
      </c>
      <c r="B43" s="7" t="str">
        <f>IFERROR(__xludf.DUMMYFUNCTION("""COMPUTED_VALUE"""),"Leuschke-Wiegand")</f>
        <v>Leuschke-Wiegand</v>
      </c>
      <c r="C43" s="8">
        <f>IFERROR(__xludf.DUMMYFUNCTION("""COMPUTED_VALUE"""),1.48)</f>
        <v>1.48</v>
      </c>
      <c r="D43" s="7">
        <v>1.0270865E7</v>
      </c>
      <c r="E43" s="8">
        <v>1.52008802E7</v>
      </c>
      <c r="G43" s="7" t="str">
        <f>IFERROR(__xludf.DUMMYFUNCTION("""COMPUTED_VALUE"""),"Ireland")</f>
        <v>Ireland</v>
      </c>
      <c r="H43" s="7">
        <v>5023109.0</v>
      </c>
    </row>
    <row r="44">
      <c r="A44" s="7" t="str">
        <f>IFERROR(__xludf.DUMMYFUNCTION("""COMPUTED_VALUE"""),"Portugal")</f>
        <v>Portugal</v>
      </c>
      <c r="B44" s="7" t="str">
        <f>IFERROR(__xludf.DUMMYFUNCTION("""COMPUTED_VALUE"""),"McClure-Hartmann")</f>
        <v>McClure-Hartmann</v>
      </c>
      <c r="C44" s="8">
        <f>IFERROR(__xludf.DUMMYFUNCTION("""COMPUTED_VALUE"""),1.33)</f>
        <v>1.33</v>
      </c>
      <c r="D44" s="7">
        <v>1.0270865E7</v>
      </c>
      <c r="E44" s="8">
        <v>1.3660250450000001E7</v>
      </c>
      <c r="G44" s="7" t="str">
        <f>IFERROR(__xludf.DUMMYFUNCTION("""COMPUTED_VALUE"""),"Uruguay")</f>
        <v>Uruguay</v>
      </c>
      <c r="H44" s="7">
        <v>3422794.0</v>
      </c>
    </row>
    <row r="45">
      <c r="A45" s="7" t="str">
        <f>IFERROR(__xludf.DUMMYFUNCTION("""COMPUTED_VALUE"""),"China")</f>
        <v>China</v>
      </c>
      <c r="B45" s="7" t="str">
        <f>IFERROR(__xludf.DUMMYFUNCTION("""COMPUTED_VALUE"""),"Marvin, DuBuque and Mayert")</f>
        <v>Marvin, DuBuque and Mayert</v>
      </c>
      <c r="C45" s="8">
        <f>IFERROR(__xludf.DUMMYFUNCTION("""COMPUTED_VALUE"""),1.76)</f>
        <v>1.76</v>
      </c>
      <c r="D45" s="7">
        <v>1.425887337E9</v>
      </c>
      <c r="E45" s="8">
        <v>2.50956171312E9</v>
      </c>
      <c r="G45" s="7" t="str">
        <f>IFERROR(__xludf.DUMMYFUNCTION("""COMPUTED_VALUE"""),"Armenia")</f>
        <v>Armenia</v>
      </c>
      <c r="H45" s="7">
        <v>2780469.0</v>
      </c>
    </row>
    <row r="46">
      <c r="A46" s="7" t="str">
        <f>IFERROR(__xludf.DUMMYFUNCTION("""COMPUTED_VALUE"""),"Russia")</f>
        <v>Russia</v>
      </c>
      <c r="B46" s="7" t="str">
        <f>IFERROR(__xludf.DUMMYFUNCTION("""COMPUTED_VALUE"""),"Brekke, Kunze and Walker")</f>
        <v>Brekke, Kunze and Walker</v>
      </c>
      <c r="C46" s="8">
        <f>IFERROR(__xludf.DUMMYFUNCTION("""COMPUTED_VALUE"""),1.78)</f>
        <v>1.78</v>
      </c>
      <c r="D46" s="7">
        <v>1.44713314E8</v>
      </c>
      <c r="E46" s="8">
        <v>2.5758969892000002E8</v>
      </c>
      <c r="G46" s="7" t="str">
        <f>IFERROR(__xludf.DUMMYFUNCTION("""COMPUTED_VALUE"""),"Venezuela")</f>
        <v>Venezuela</v>
      </c>
      <c r="H46" s="7">
        <v>2.8301696E7</v>
      </c>
    </row>
    <row r="47">
      <c r="A47" s="7" t="str">
        <f>IFERROR(__xludf.DUMMYFUNCTION("""COMPUTED_VALUE"""),"Canada")</f>
        <v>Canada</v>
      </c>
      <c r="B47" s="7" t="str">
        <f>IFERROR(__xludf.DUMMYFUNCTION("""COMPUTED_VALUE"""),"Heaney Group")</f>
        <v>Heaney Group</v>
      </c>
      <c r="C47" s="8">
        <f>IFERROR(__xludf.DUMMYFUNCTION("""COMPUTED_VALUE"""),1.25)</f>
        <v>1.25</v>
      </c>
      <c r="D47" s="7">
        <v>3.8454327E7</v>
      </c>
      <c r="E47" s="8">
        <v>4.806790875E7</v>
      </c>
      <c r="G47" s="7" t="str">
        <f>IFERROR(__xludf.DUMMYFUNCTION("""COMPUTED_VALUE"""),"Guatemala")</f>
        <v>Guatemala</v>
      </c>
      <c r="H47" s="7">
        <v>1.7843908E7</v>
      </c>
    </row>
    <row r="48">
      <c r="A48" s="7" t="str">
        <f>IFERROR(__xludf.DUMMYFUNCTION("""COMPUTED_VALUE"""),"China")</f>
        <v>China</v>
      </c>
      <c r="B48" s="7" t="str">
        <f>IFERROR(__xludf.DUMMYFUNCTION("""COMPUTED_VALUE"""),"Bogan LLC")</f>
        <v>Bogan LLC</v>
      </c>
      <c r="C48" s="8">
        <f>IFERROR(__xludf.DUMMYFUNCTION("""COMPUTED_VALUE"""),1.7)</f>
        <v>1.7</v>
      </c>
      <c r="D48" s="7">
        <v>1.425887337E9</v>
      </c>
      <c r="E48" s="8">
        <v>2.4240084729E9</v>
      </c>
      <c r="G48" s="7" t="str">
        <f>IFERROR(__xludf.DUMMYFUNCTION("""COMPUTED_VALUE"""),"Colombia")</f>
        <v>Colombia</v>
      </c>
      <c r="H48" s="7">
        <v>5.1874024E7</v>
      </c>
    </row>
    <row r="49">
      <c r="A49" s="7" t="str">
        <f>IFERROR(__xludf.DUMMYFUNCTION("""COMPUTED_VALUE"""),"United States")</f>
        <v>United States</v>
      </c>
      <c r="B49" s="7" t="str">
        <f>IFERROR(__xludf.DUMMYFUNCTION("""COMPUTED_VALUE"""),"Streich LLC")</f>
        <v>Streich LLC</v>
      </c>
      <c r="C49" s="8">
        <f>IFERROR(__xludf.DUMMYFUNCTION("""COMPUTED_VALUE"""),2.21)</f>
        <v>2.21</v>
      </c>
      <c r="D49" s="7">
        <v>3.38289857E8</v>
      </c>
      <c r="E49" s="8">
        <v>7.4762058397E8</v>
      </c>
      <c r="G49" s="7" t="str">
        <f>IFERROR(__xludf.DUMMYFUNCTION("""COMPUTED_VALUE"""),"Namibia")</f>
        <v>Namibia</v>
      </c>
      <c r="H49" s="7">
        <v>2567012.0</v>
      </c>
    </row>
    <row r="50">
      <c r="A50" s="7" t="str">
        <f>IFERROR(__xludf.DUMMYFUNCTION("""COMPUTED_VALUE"""),"Greece")</f>
        <v>Greece</v>
      </c>
      <c r="B50" s="7" t="str">
        <f>IFERROR(__xludf.DUMMYFUNCTION("""COMPUTED_VALUE"""),"Schimmel-Wisozk")</f>
        <v>Schimmel-Wisozk</v>
      </c>
      <c r="C50" s="8">
        <f>IFERROR(__xludf.DUMMYFUNCTION("""COMPUTED_VALUE"""),1.16)</f>
        <v>1.16</v>
      </c>
      <c r="D50" s="7">
        <v>1.0384971E7</v>
      </c>
      <c r="E50" s="8">
        <v>1.204656636E7</v>
      </c>
      <c r="G50" s="7" t="str">
        <f>IFERROR(__xludf.DUMMYFUNCTION("""COMPUTED_VALUE"""),"Saudi Arabia")</f>
        <v>Saudi Arabia</v>
      </c>
      <c r="H50" s="7">
        <v>3.640882E7</v>
      </c>
    </row>
    <row r="51">
      <c r="A51" s="7" t="str">
        <f>IFERROR(__xludf.DUMMYFUNCTION("""COMPUTED_VALUE"""),"Bulgaria")</f>
        <v>Bulgaria</v>
      </c>
      <c r="B51" s="7" t="str">
        <f>IFERROR(__xludf.DUMMYFUNCTION("""COMPUTED_VALUE"""),"O'Keefe, Cremin and Beatty")</f>
        <v>O'Keefe, Cremin and Beatty</v>
      </c>
      <c r="C51" s="8">
        <f>IFERROR(__xludf.DUMMYFUNCTION("""COMPUTED_VALUE"""),1.86)</f>
        <v>1.86</v>
      </c>
      <c r="D51" s="7">
        <v>6781953.0</v>
      </c>
      <c r="E51" s="8">
        <v>1.261443258E7</v>
      </c>
      <c r="G51" s="7" t="str">
        <f>IFERROR(__xludf.DUMMYFUNCTION("""COMPUTED_VALUE"""),"Nauru")</f>
        <v>Nauru</v>
      </c>
      <c r="H51" s="7">
        <v>12668.0</v>
      </c>
    </row>
    <row r="52">
      <c r="A52" s="7" t="str">
        <f>IFERROR(__xludf.DUMMYFUNCTION("""COMPUTED_VALUE"""),"South Korea")</f>
        <v>South Korea</v>
      </c>
      <c r="B52" s="7" t="str">
        <f>IFERROR(__xludf.DUMMYFUNCTION("""COMPUTED_VALUE"""),"DuBuque, Walter and Gibson")</f>
        <v>DuBuque, Walter and Gibson</v>
      </c>
      <c r="C52" s="8">
        <f>IFERROR(__xludf.DUMMYFUNCTION("""COMPUTED_VALUE"""),0.85)</f>
        <v>0.85</v>
      </c>
      <c r="D52" s="7">
        <v>5.181581E7</v>
      </c>
      <c r="E52" s="8">
        <v>4.40434385E7</v>
      </c>
      <c r="G52" s="7" t="str">
        <f>IFERROR(__xludf.DUMMYFUNCTION("""COMPUTED_VALUE"""),"Malaysia")</f>
        <v>Malaysia</v>
      </c>
      <c r="H52" s="7">
        <v>3.3938221E7</v>
      </c>
    </row>
    <row r="53">
      <c r="A53" s="7" t="str">
        <f>IFERROR(__xludf.DUMMYFUNCTION("""COMPUTED_VALUE"""),"France")</f>
        <v>France</v>
      </c>
      <c r="B53" s="7" t="str">
        <f>IFERROR(__xludf.DUMMYFUNCTION("""COMPUTED_VALUE"""),"Blanda, Legros and Hermann")</f>
        <v>Blanda, Legros and Hermann</v>
      </c>
      <c r="C53" s="8">
        <f>IFERROR(__xludf.DUMMYFUNCTION("""COMPUTED_VALUE"""),2.11)</f>
        <v>2.11</v>
      </c>
      <c r="D53" s="7">
        <v>6.4626628E7</v>
      </c>
      <c r="E53" s="8">
        <v>1.3636218507999998E8</v>
      </c>
      <c r="G53" s="7" t="str">
        <f>IFERROR(__xludf.DUMMYFUNCTION("""COMPUTED_VALUE"""),"Albania")</f>
        <v>Albania</v>
      </c>
      <c r="H53" s="7">
        <v>2842321.0</v>
      </c>
    </row>
    <row r="54">
      <c r="A54" s="7" t="str">
        <f>IFERROR(__xludf.DUMMYFUNCTION("""COMPUTED_VALUE"""),"Finland")</f>
        <v>Finland</v>
      </c>
      <c r="B54" s="7" t="str">
        <f>IFERROR(__xludf.DUMMYFUNCTION("""COMPUTED_VALUE"""),"Gislason-Murray")</f>
        <v>Gislason-Murray</v>
      </c>
      <c r="C54" s="8">
        <f>IFERROR(__xludf.DUMMYFUNCTION("""COMPUTED_VALUE"""),2.2)</f>
        <v>2.2</v>
      </c>
      <c r="D54" s="7">
        <v>5540745.0</v>
      </c>
      <c r="E54" s="8">
        <v>1.2189639000000002E7</v>
      </c>
      <c r="G54" s="7" t="str">
        <f>IFERROR(__xludf.DUMMYFUNCTION("""COMPUTED_VALUE"""),"Norway")</f>
        <v>Norway</v>
      </c>
      <c r="H54" s="7">
        <v>5434319.0</v>
      </c>
    </row>
    <row r="55">
      <c r="A55" s="7" t="str">
        <f>IFERROR(__xludf.DUMMYFUNCTION("""COMPUTED_VALUE"""),"Morocco")</f>
        <v>Morocco</v>
      </c>
      <c r="B55" s="7" t="str">
        <f>IFERROR(__xludf.DUMMYFUNCTION("""COMPUTED_VALUE"""),"Franecki, Gislason and Upton")</f>
        <v>Franecki, Gislason and Upton</v>
      </c>
      <c r="C55" s="8">
        <f>IFERROR(__xludf.DUMMYFUNCTION("""COMPUTED_VALUE"""),1.45)</f>
        <v>1.45</v>
      </c>
      <c r="D55" s="7">
        <v>3.7457971E7</v>
      </c>
      <c r="E55" s="8">
        <v>5.4314057949999996E7</v>
      </c>
      <c r="G55" s="7" t="str">
        <f>IFERROR(__xludf.DUMMYFUNCTION("""COMPUTED_VALUE"""),"Equatorial Guinea")</f>
        <v>Equatorial Guinea</v>
      </c>
      <c r="H55" s="7">
        <v>1674908.0</v>
      </c>
    </row>
    <row r="56">
      <c r="A56" s="7" t="str">
        <f>IFERROR(__xludf.DUMMYFUNCTION("""COMPUTED_VALUE"""),"Czech Republic")</f>
        <v>Czech Republic</v>
      </c>
      <c r="B56" s="7" t="str">
        <f>IFERROR(__xludf.DUMMYFUNCTION("""COMPUTED_VALUE"""),"Marks-Abernathy")</f>
        <v>Marks-Abernathy</v>
      </c>
      <c r="C56" s="8">
        <f>IFERROR(__xludf.DUMMYFUNCTION("""COMPUTED_VALUE"""),1.71)</f>
        <v>1.71</v>
      </c>
      <c r="D56" s="7">
        <v>1.0493986E7</v>
      </c>
      <c r="E56" s="8">
        <v>1.794471606E7</v>
      </c>
      <c r="G56" s="7" t="str">
        <f>IFERROR(__xludf.DUMMYFUNCTION("""COMPUTED_VALUE"""),"Moldova")</f>
        <v>Moldova</v>
      </c>
      <c r="H56" s="7">
        <v>3272996.0</v>
      </c>
    </row>
    <row r="57">
      <c r="A57" s="7" t="str">
        <f>IFERROR(__xludf.DUMMYFUNCTION("""COMPUTED_VALUE"""),"China")</f>
        <v>China</v>
      </c>
      <c r="B57" s="7" t="str">
        <f>IFERROR(__xludf.DUMMYFUNCTION("""COMPUTED_VALUE"""),"Lockman, Kshlerin and Hintz")</f>
        <v>Lockman, Kshlerin and Hintz</v>
      </c>
      <c r="C57" s="8">
        <f>IFERROR(__xludf.DUMMYFUNCTION("""COMPUTED_VALUE"""),2.2)</f>
        <v>2.2</v>
      </c>
      <c r="D57" s="7">
        <v>1.425887337E9</v>
      </c>
      <c r="E57" s="8">
        <v>3.1369521414E9</v>
      </c>
      <c r="G57" s="7" t="str">
        <f>IFERROR(__xludf.DUMMYFUNCTION("""COMPUTED_VALUE"""),"Maldives")</f>
        <v>Maldives</v>
      </c>
      <c r="H57" s="7">
        <v>523787.0</v>
      </c>
    </row>
    <row r="58">
      <c r="A58" s="7" t="str">
        <f>IFERROR(__xludf.DUMMYFUNCTION("""COMPUTED_VALUE"""),"Turkmenistan")</f>
        <v>Turkmenistan</v>
      </c>
      <c r="B58" s="7" t="str">
        <f>IFERROR(__xludf.DUMMYFUNCTION("""COMPUTED_VALUE"""),"Flatley-Rohan")</f>
        <v>Flatley-Rohan</v>
      </c>
      <c r="C58" s="8">
        <f>IFERROR(__xludf.DUMMYFUNCTION("""COMPUTED_VALUE"""),1.78)</f>
        <v>1.78</v>
      </c>
      <c r="D58" s="7">
        <v>6430770.0</v>
      </c>
      <c r="E58" s="8">
        <v>1.14467706E7</v>
      </c>
      <c r="G58" s="7" t="str">
        <f>IFERROR(__xludf.DUMMYFUNCTION("""COMPUTED_VALUE"""),"United Kingdom")</f>
        <v>United Kingdom</v>
      </c>
      <c r="H58" s="7">
        <v>6.7508936E7</v>
      </c>
    </row>
    <row r="59">
      <c r="A59" s="7" t="str">
        <f>IFERROR(__xludf.DUMMYFUNCTION("""COMPUTED_VALUE"""),"Thailand")</f>
        <v>Thailand</v>
      </c>
      <c r="B59" s="7" t="str">
        <f>IFERROR(__xludf.DUMMYFUNCTION("""COMPUTED_VALUE"""),"Blick-Shields")</f>
        <v>Blick-Shields</v>
      </c>
      <c r="C59" s="8">
        <f>IFERROR(__xludf.DUMMYFUNCTION("""COMPUTED_VALUE"""),1.95)</f>
        <v>1.95</v>
      </c>
      <c r="D59" s="7">
        <v>7.169703E7</v>
      </c>
      <c r="E59" s="8">
        <v>1.398092085E8</v>
      </c>
      <c r="G59" s="7" t="str">
        <f>IFERROR(__xludf.DUMMYFUNCTION("""COMPUTED_VALUE"""),"Ecuador")</f>
        <v>Ecuador</v>
      </c>
      <c r="H59" s="7">
        <v>1.8001E7</v>
      </c>
    </row>
    <row r="60">
      <c r="A60" s="7" t="str">
        <f>IFERROR(__xludf.DUMMYFUNCTION("""COMPUTED_VALUE"""),"China")</f>
        <v>China</v>
      </c>
      <c r="B60" s="7" t="str">
        <f>IFERROR(__xludf.DUMMYFUNCTION("""COMPUTED_VALUE"""),"Borer, Collins and Macejkovic")</f>
        <v>Borer, Collins and Macejkovic</v>
      </c>
      <c r="C60" s="8">
        <f>IFERROR(__xludf.DUMMYFUNCTION("""COMPUTED_VALUE"""),1.59)</f>
        <v>1.59</v>
      </c>
      <c r="D60" s="7">
        <v>1.425887337E9</v>
      </c>
      <c r="E60" s="8">
        <v>2.26716086583E9</v>
      </c>
      <c r="G60" s="7" t="str">
        <f>IFERROR(__xludf.DUMMYFUNCTION("""COMPUTED_VALUE"""),"Estonia")</f>
        <v>Estonia</v>
      </c>
      <c r="H60" s="7">
        <v>1326062.0</v>
      </c>
    </row>
    <row r="61">
      <c r="A61" s="7" t="str">
        <f>IFERROR(__xludf.DUMMYFUNCTION("""COMPUTED_VALUE"""),"China")</f>
        <v>China</v>
      </c>
      <c r="B61" s="7" t="str">
        <f>IFERROR(__xludf.DUMMYFUNCTION("""COMPUTED_VALUE"""),"Gorczany Inc")</f>
        <v>Gorczany Inc</v>
      </c>
      <c r="C61" s="8">
        <f>IFERROR(__xludf.DUMMYFUNCTION("""COMPUTED_VALUE"""),1.05)</f>
        <v>1.05</v>
      </c>
      <c r="D61" s="7">
        <v>1.425887337E9</v>
      </c>
      <c r="E61" s="8">
        <v>1.4971817038500001E9</v>
      </c>
      <c r="G61" s="7" t="str">
        <f>IFERROR(__xludf.DUMMYFUNCTION("""COMPUTED_VALUE"""),"Denmark")</f>
        <v>Denmark</v>
      </c>
      <c r="H61" s="7">
        <v>5882261.0</v>
      </c>
    </row>
    <row r="62">
      <c r="A62" s="7" t="str">
        <f>IFERROR(__xludf.DUMMYFUNCTION("""COMPUTED_VALUE"""),"Indonesia")</f>
        <v>Indonesia</v>
      </c>
      <c r="B62" s="7" t="str">
        <f>IFERROR(__xludf.DUMMYFUNCTION("""COMPUTED_VALUE"""),"Luettgen and Sons")</f>
        <v>Luettgen and Sons</v>
      </c>
      <c r="C62" s="8">
        <f>IFERROR(__xludf.DUMMYFUNCTION("""COMPUTED_VALUE"""),0.87)</f>
        <v>0.87</v>
      </c>
      <c r="D62" s="7">
        <v>2.75501339E8</v>
      </c>
      <c r="E62" s="8">
        <v>2.3968616493E8</v>
      </c>
      <c r="G62" s="7" t="str">
        <f>IFERROR(__xludf.DUMMYFUNCTION("""COMPUTED_VALUE"""),"Mongolia")</f>
        <v>Mongolia</v>
      </c>
      <c r="H62" s="7">
        <v>3398366.0</v>
      </c>
    </row>
    <row r="63">
      <c r="A63" s="7" t="str">
        <f>IFERROR(__xludf.DUMMYFUNCTION("""COMPUTED_VALUE"""),"Sweden")</f>
        <v>Sweden</v>
      </c>
      <c r="B63" s="7" t="str">
        <f>IFERROR(__xludf.DUMMYFUNCTION("""COMPUTED_VALUE"""),"Leannon Group")</f>
        <v>Leannon Group</v>
      </c>
      <c r="C63" s="8">
        <f>IFERROR(__xludf.DUMMYFUNCTION("""COMPUTED_VALUE"""),2.22)</f>
        <v>2.22</v>
      </c>
      <c r="D63" s="7">
        <v>1.0549347E7</v>
      </c>
      <c r="E63" s="8">
        <v>2.3419550340000004E7</v>
      </c>
      <c r="G63" s="7" t="str">
        <f>IFERROR(__xludf.DUMMYFUNCTION("""COMPUTED_VALUE"""),"Tanzania")</f>
        <v>Tanzania</v>
      </c>
      <c r="H63" s="7">
        <v>6.5497748E7</v>
      </c>
    </row>
    <row r="64">
      <c r="A64" s="7" t="str">
        <f>IFERROR(__xludf.DUMMYFUNCTION("""COMPUTED_VALUE"""),"South Africa")</f>
        <v>South Africa</v>
      </c>
      <c r="B64" s="7" t="str">
        <f>IFERROR(__xludf.DUMMYFUNCTION("""COMPUTED_VALUE"""),"Torphy, Lynch and Breitenberg")</f>
        <v>Torphy, Lynch and Breitenberg</v>
      </c>
      <c r="C64" s="8">
        <f>IFERROR(__xludf.DUMMYFUNCTION("""COMPUTED_VALUE"""),1.5)</f>
        <v>1.5</v>
      </c>
      <c r="D64" s="7">
        <v>5.9893885E7</v>
      </c>
      <c r="E64" s="8">
        <v>8.98408275E7</v>
      </c>
      <c r="G64" s="7" t="str">
        <f>IFERROR(__xludf.DUMMYFUNCTION("""COMPUTED_VALUE"""),"Madagascar")</f>
        <v>Madagascar</v>
      </c>
      <c r="H64" s="7">
        <v>2.9611714E7</v>
      </c>
    </row>
    <row r="65">
      <c r="A65" s="7" t="str">
        <f>IFERROR(__xludf.DUMMYFUNCTION("""COMPUTED_VALUE"""),"China")</f>
        <v>China</v>
      </c>
      <c r="B65" s="7" t="str">
        <f>IFERROR(__xludf.DUMMYFUNCTION("""COMPUTED_VALUE"""),"Carter, Bauch and Lueilwitz")</f>
        <v>Carter, Bauch and Lueilwitz</v>
      </c>
      <c r="C65" s="8">
        <f>IFERROR(__xludf.DUMMYFUNCTION("""COMPUTED_VALUE"""),1.43)</f>
        <v>1.43</v>
      </c>
      <c r="D65" s="7">
        <v>1.425887337E9</v>
      </c>
      <c r="E65" s="8">
        <v>2.0390188919099998E9</v>
      </c>
      <c r="G65" s="7" t="str">
        <f>IFERROR(__xludf.DUMMYFUNCTION("""COMPUTED_VALUE"""),"Netherlands")</f>
        <v>Netherlands</v>
      </c>
      <c r="H65" s="7">
        <v>1.7564014E7</v>
      </c>
    </row>
    <row r="66">
      <c r="A66" s="7" t="str">
        <f>IFERROR(__xludf.DUMMYFUNCTION("""COMPUTED_VALUE"""),"Argentina")</f>
        <v>Argentina</v>
      </c>
      <c r="B66" s="7" t="str">
        <f>IFERROR(__xludf.DUMMYFUNCTION("""COMPUTED_VALUE"""),"Dooley Inc")</f>
        <v>Dooley Inc</v>
      </c>
      <c r="C66" s="8">
        <f>IFERROR(__xludf.DUMMYFUNCTION("""COMPUTED_VALUE"""),1.89)</f>
        <v>1.89</v>
      </c>
      <c r="D66" s="7">
        <v>4.5510318E7</v>
      </c>
      <c r="E66" s="8">
        <v>8.601450102E7</v>
      </c>
      <c r="G66" s="7" t="str">
        <f>IFERROR(__xludf.DUMMYFUNCTION("""COMPUTED_VALUE"""),"Bangladesh")</f>
        <v>Bangladesh</v>
      </c>
      <c r="H66" s="7">
        <v>1.71186372E8</v>
      </c>
    </row>
    <row r="67">
      <c r="A67" s="7" t="str">
        <f>IFERROR(__xludf.DUMMYFUNCTION("""COMPUTED_VALUE"""),"Zimbabwe")</f>
        <v>Zimbabwe</v>
      </c>
      <c r="B67" s="7" t="str">
        <f>IFERROR(__xludf.DUMMYFUNCTION("""COMPUTED_VALUE"""),"Kshlerin-Langosh")</f>
        <v>Kshlerin-Langosh</v>
      </c>
      <c r="C67" s="8">
        <f>IFERROR(__xludf.DUMMYFUNCTION("""COMPUTED_VALUE"""),1.55)</f>
        <v>1.55</v>
      </c>
      <c r="D67" s="7">
        <v>1.6320537E7</v>
      </c>
      <c r="E67" s="8">
        <v>2.529683235E7</v>
      </c>
      <c r="G67" s="7" t="str">
        <f>IFERROR(__xludf.DUMMYFUNCTION("""COMPUTED_VALUE"""),"Nigeria")</f>
        <v>Nigeria</v>
      </c>
      <c r="H67" s="7">
        <v>2.18541212E8</v>
      </c>
    </row>
    <row r="68">
      <c r="A68" s="7" t="str">
        <f>IFERROR(__xludf.DUMMYFUNCTION("""COMPUTED_VALUE"""),"Indonesia")</f>
        <v>Indonesia</v>
      </c>
      <c r="B68" s="7" t="str">
        <f>IFERROR(__xludf.DUMMYFUNCTION("""COMPUTED_VALUE"""),"Greenfelder-Hauck")</f>
        <v>Greenfelder-Hauck</v>
      </c>
      <c r="C68" s="8">
        <f>IFERROR(__xludf.DUMMYFUNCTION("""COMPUTED_VALUE"""),2.02)</f>
        <v>2.02</v>
      </c>
      <c r="D68" s="7">
        <v>2.75501339E8</v>
      </c>
      <c r="E68" s="8">
        <v>5.5651270478E8</v>
      </c>
      <c r="G68" s="7" t="str">
        <f>IFERROR(__xludf.DUMMYFUNCTION("""COMPUTED_VALUE"""),"Comoros")</f>
        <v>Comoros</v>
      </c>
      <c r="H68" s="7">
        <v>836774.0</v>
      </c>
    </row>
    <row r="69">
      <c r="A69" s="7" t="str">
        <f>IFERROR(__xludf.DUMMYFUNCTION("""COMPUTED_VALUE"""),"France")</f>
        <v>France</v>
      </c>
      <c r="B69" s="7" t="str">
        <f>IFERROR(__xludf.DUMMYFUNCTION("""COMPUTED_VALUE"""),"Gusikowski, Hermiston and Flatley")</f>
        <v>Gusikowski, Hermiston and Flatley</v>
      </c>
      <c r="C69" s="8">
        <f>IFERROR(__xludf.DUMMYFUNCTION("""COMPUTED_VALUE"""),1.55)</f>
        <v>1.55</v>
      </c>
      <c r="D69" s="7">
        <v>6.4626628E7</v>
      </c>
      <c r="E69" s="8">
        <v>1.001712734E8</v>
      </c>
      <c r="G69" s="7" t="str">
        <f>IFERROR(__xludf.DUMMYFUNCTION("""COMPUTED_VALUE"""),"Haiti")</f>
        <v>Haiti</v>
      </c>
      <c r="H69" s="7">
        <v>1.1584996E7</v>
      </c>
    </row>
    <row r="70">
      <c r="A70" s="7" t="str">
        <f>IFERROR(__xludf.DUMMYFUNCTION("""COMPUTED_VALUE"""),"Indonesia")</f>
        <v>Indonesia</v>
      </c>
      <c r="B70" s="7" t="str">
        <f>IFERROR(__xludf.DUMMYFUNCTION("""COMPUTED_VALUE"""),"Runolfsdottir, Schaefer and Mohr")</f>
        <v>Runolfsdottir, Schaefer and Mohr</v>
      </c>
      <c r="C70" s="8">
        <f>IFERROR(__xludf.DUMMYFUNCTION("""COMPUTED_VALUE"""),2.09)</f>
        <v>2.09</v>
      </c>
      <c r="D70" s="7">
        <v>2.75501339E8</v>
      </c>
      <c r="E70" s="8">
        <v>5.7579779851E8</v>
      </c>
      <c r="G70" s="7" t="str">
        <f>IFERROR(__xludf.DUMMYFUNCTION("""COMPUTED_VALUE"""),"Iran")</f>
        <v>Iran</v>
      </c>
      <c r="H70" s="7">
        <v>8.855057E7</v>
      </c>
    </row>
    <row r="71">
      <c r="A71" s="7" t="str">
        <f>IFERROR(__xludf.DUMMYFUNCTION("""COMPUTED_VALUE"""),"China")</f>
        <v>China</v>
      </c>
      <c r="B71" s="7" t="str">
        <f>IFERROR(__xludf.DUMMYFUNCTION("""COMPUTED_VALUE"""),"Buckridge, Stark and Jacobson")</f>
        <v>Buckridge, Stark and Jacobson</v>
      </c>
      <c r="C71" s="8">
        <f>IFERROR(__xludf.DUMMYFUNCTION("""COMPUTED_VALUE"""),2.04)</f>
        <v>2.04</v>
      </c>
      <c r="D71" s="7">
        <v>1.425887337E9</v>
      </c>
      <c r="E71" s="8">
        <v>2.90881016748E9</v>
      </c>
      <c r="G71" s="7" t="str">
        <f>IFERROR(__xludf.DUMMYFUNCTION("""COMPUTED_VALUE"""),"Malta")</f>
        <v>Malta</v>
      </c>
      <c r="H71" s="7">
        <v>533286.0</v>
      </c>
    </row>
    <row r="72">
      <c r="A72" s="7" t="str">
        <f>IFERROR(__xludf.DUMMYFUNCTION("""COMPUTED_VALUE"""),"Sweden")</f>
        <v>Sweden</v>
      </c>
      <c r="B72" s="7" t="str">
        <f>IFERROR(__xludf.DUMMYFUNCTION("""COMPUTED_VALUE"""),"Haag-Shields")</f>
        <v>Haag-Shields</v>
      </c>
      <c r="C72" s="8">
        <f>IFERROR(__xludf.DUMMYFUNCTION("""COMPUTED_VALUE"""),1.81)</f>
        <v>1.81</v>
      </c>
      <c r="D72" s="7">
        <v>1.0549347E7</v>
      </c>
      <c r="E72" s="8">
        <v>1.909431807E7</v>
      </c>
      <c r="G72" s="7" t="str">
        <f>IFERROR(__xludf.DUMMYFUNCTION("""COMPUTED_VALUE"""),"Qatar")</f>
        <v>Qatar</v>
      </c>
      <c r="H72" s="7">
        <v>2695122.0</v>
      </c>
    </row>
    <row r="73">
      <c r="A73" s="7" t="str">
        <f>IFERROR(__xludf.DUMMYFUNCTION("""COMPUTED_VALUE"""),"Portugal")</f>
        <v>Portugal</v>
      </c>
      <c r="B73" s="7" t="str">
        <f>IFERROR(__xludf.DUMMYFUNCTION("""COMPUTED_VALUE"""),"Runte, Douglas and Beahan")</f>
        <v>Runte, Douglas and Beahan</v>
      </c>
      <c r="C73" s="8">
        <f>IFERROR(__xludf.DUMMYFUNCTION("""COMPUTED_VALUE"""),1.92)</f>
        <v>1.92</v>
      </c>
      <c r="D73" s="7">
        <v>1.0270865E7</v>
      </c>
      <c r="E73" s="8">
        <v>1.97200608E7</v>
      </c>
      <c r="G73" s="7" t="str">
        <f>IFERROR(__xludf.DUMMYFUNCTION("""COMPUTED_VALUE"""),"Chile")</f>
        <v>Chile</v>
      </c>
      <c r="H73" s="7">
        <v>1.9603733E7</v>
      </c>
    </row>
    <row r="74">
      <c r="A74" s="7" t="str">
        <f>IFERROR(__xludf.DUMMYFUNCTION("""COMPUTED_VALUE"""),"France")</f>
        <v>France</v>
      </c>
      <c r="B74" s="7" t="str">
        <f>IFERROR(__xludf.DUMMYFUNCTION("""COMPUTED_VALUE"""),"Mante Group")</f>
        <v>Mante Group</v>
      </c>
      <c r="C74" s="8">
        <f>IFERROR(__xludf.DUMMYFUNCTION("""COMPUTED_VALUE"""),1.26)</f>
        <v>1.26</v>
      </c>
      <c r="D74" s="7">
        <v>6.4626628E7</v>
      </c>
      <c r="E74" s="8">
        <v>8.142955128E7</v>
      </c>
      <c r="G74" s="7" t="str">
        <f>IFERROR(__xludf.DUMMYFUNCTION("""COMPUTED_VALUE"""),"Kazakhstan")</f>
        <v>Kazakhstan</v>
      </c>
      <c r="H74" s="7">
        <v>1.9397998E7</v>
      </c>
    </row>
    <row r="75">
      <c r="A75" s="7" t="str">
        <f>IFERROR(__xludf.DUMMYFUNCTION("""COMPUTED_VALUE"""),"Peru")</f>
        <v>Peru</v>
      </c>
      <c r="B75" s="7" t="str">
        <f>IFERROR(__xludf.DUMMYFUNCTION("""COMPUTED_VALUE"""),"Schinner LLC")</f>
        <v>Schinner LLC</v>
      </c>
      <c r="C75" s="8">
        <f>IFERROR(__xludf.DUMMYFUNCTION("""COMPUTED_VALUE"""),1.51)</f>
        <v>1.51</v>
      </c>
      <c r="D75" s="7">
        <v>3.4049588E7</v>
      </c>
      <c r="E75" s="8">
        <v>5.141487788E7</v>
      </c>
      <c r="G75" s="7" t="str">
        <f>IFERROR(__xludf.DUMMYFUNCTION("""COMPUTED_VALUE"""),"El Salvador")</f>
        <v>El Salvador</v>
      </c>
      <c r="H75" s="7">
        <v>6336392.0</v>
      </c>
    </row>
    <row r="76">
      <c r="A76" s="7" t="str">
        <f>IFERROR(__xludf.DUMMYFUNCTION("""COMPUTED_VALUE"""),"Russia")</f>
        <v>Russia</v>
      </c>
      <c r="B76" s="7" t="str">
        <f>IFERROR(__xludf.DUMMYFUNCTION("""COMPUTED_VALUE"""),"Cassin-Hyatt")</f>
        <v>Cassin-Hyatt</v>
      </c>
      <c r="C76" s="8">
        <f>IFERROR(__xludf.DUMMYFUNCTION("""COMPUTED_VALUE"""),2.16)</f>
        <v>2.16</v>
      </c>
      <c r="D76" s="7">
        <v>1.44713314E8</v>
      </c>
      <c r="E76" s="8">
        <v>3.1258075824E8</v>
      </c>
      <c r="G76" s="7" t="str">
        <f>IFERROR(__xludf.DUMMYFUNCTION("""COMPUTED_VALUE"""),"Cape Verde")</f>
        <v>Cape Verde</v>
      </c>
      <c r="H76" s="7">
        <v>593149.0</v>
      </c>
    </row>
    <row r="77">
      <c r="A77" s="7" t="str">
        <f>IFERROR(__xludf.DUMMYFUNCTION("""COMPUTED_VALUE"""),"Portugal")</f>
        <v>Portugal</v>
      </c>
      <c r="B77" s="7" t="str">
        <f>IFERROR(__xludf.DUMMYFUNCTION("""COMPUTED_VALUE"""),"Bahringer-Goodwin")</f>
        <v>Bahringer-Goodwin</v>
      </c>
      <c r="C77" s="8">
        <f>IFERROR(__xludf.DUMMYFUNCTION("""COMPUTED_VALUE"""),0.91)</f>
        <v>0.91</v>
      </c>
      <c r="D77" s="7">
        <v>1.0270865E7</v>
      </c>
      <c r="E77" s="8">
        <v>9346487.15</v>
      </c>
      <c r="G77" s="7" t="str">
        <f>IFERROR(__xludf.DUMMYFUNCTION("""COMPUTED_VALUE"""),"Nicaragua")</f>
        <v>Nicaragua</v>
      </c>
      <c r="H77" s="7">
        <v>6948392.0</v>
      </c>
    </row>
    <row r="78">
      <c r="A78" s="7" t="str">
        <f>IFERROR(__xludf.DUMMYFUNCTION("""COMPUTED_VALUE"""),"Honduras")</f>
        <v>Honduras</v>
      </c>
      <c r="B78" s="7" t="str">
        <f>IFERROR(__xludf.DUMMYFUNCTION("""COMPUTED_VALUE"""),"Carroll LLC")</f>
        <v>Carroll LLC</v>
      </c>
      <c r="C78" s="8">
        <f>IFERROR(__xludf.DUMMYFUNCTION("""COMPUTED_VALUE"""),1.76)</f>
        <v>1.76</v>
      </c>
      <c r="D78" s="7">
        <v>1.043286E7</v>
      </c>
      <c r="E78" s="8">
        <v>1.83618336E7</v>
      </c>
      <c r="G78" s="7" t="str">
        <f>IFERROR(__xludf.DUMMYFUNCTION("""COMPUTED_VALUE"""),"Slovenia")</f>
        <v>Slovenia</v>
      </c>
      <c r="H78" s="7">
        <v>2119844.0</v>
      </c>
    </row>
    <row r="79">
      <c r="A79" s="7" t="str">
        <f>IFERROR(__xludf.DUMMYFUNCTION("""COMPUTED_VALUE"""),"Indonesia")</f>
        <v>Indonesia</v>
      </c>
      <c r="B79" s="7" t="str">
        <f>IFERROR(__xludf.DUMMYFUNCTION("""COMPUTED_VALUE"""),"Reinger-Dibbert")</f>
        <v>Reinger-Dibbert</v>
      </c>
      <c r="C79" s="8">
        <f>IFERROR(__xludf.DUMMYFUNCTION("""COMPUTED_VALUE"""),1.57)</f>
        <v>1.57</v>
      </c>
      <c r="D79" s="7">
        <v>2.75501339E8</v>
      </c>
      <c r="E79" s="8">
        <v>4.3253710223E8</v>
      </c>
      <c r="G79" s="7" t="str">
        <f>IFERROR(__xludf.DUMMYFUNCTION("""COMPUTED_VALUE"""),"Djibouti")</f>
        <v>Djibouti</v>
      </c>
      <c r="H79" s="7">
        <v>1120849.0</v>
      </c>
    </row>
    <row r="80">
      <c r="A80" s="7" t="str">
        <f>IFERROR(__xludf.DUMMYFUNCTION("""COMPUTED_VALUE"""),"Poland")</f>
        <v>Poland</v>
      </c>
      <c r="B80" s="7" t="str">
        <f>IFERROR(__xludf.DUMMYFUNCTION("""COMPUTED_VALUE"""),"Yundt, Ryan and Runte")</f>
        <v>Yundt, Ryan and Runte</v>
      </c>
      <c r="C80" s="8">
        <f>IFERROR(__xludf.DUMMYFUNCTION("""COMPUTED_VALUE"""),1.43)</f>
        <v>1.43</v>
      </c>
      <c r="D80" s="7">
        <v>3.9857145E7</v>
      </c>
      <c r="E80" s="8">
        <v>5.6995717349999994E7</v>
      </c>
      <c r="G80" s="7" t="str">
        <f>IFERROR(__xludf.DUMMYFUNCTION("""COMPUTED_VALUE"""),"Latvia")</f>
        <v>Latvia</v>
      </c>
      <c r="H80" s="7">
        <v>1850651.0</v>
      </c>
    </row>
    <row r="81">
      <c r="A81" s="7" t="str">
        <f>IFERROR(__xludf.DUMMYFUNCTION("""COMPUTED_VALUE"""),"Syria")</f>
        <v>Syria</v>
      </c>
      <c r="B81" s="7" t="str">
        <f>IFERROR(__xludf.DUMMYFUNCTION("""COMPUTED_VALUE"""),"Leffler and Sons")</f>
        <v>Leffler and Sons</v>
      </c>
      <c r="C81" s="8">
        <f>IFERROR(__xludf.DUMMYFUNCTION("""COMPUTED_VALUE"""),1.31)</f>
        <v>1.31</v>
      </c>
      <c r="D81" s="7">
        <v>2.2125249E7</v>
      </c>
      <c r="E81" s="8">
        <v>2.898407619E7</v>
      </c>
      <c r="G81" s="7" t="str">
        <f>IFERROR(__xludf.DUMMYFUNCTION("""COMPUTED_VALUE"""),"American Samoa")</f>
        <v>American Samoa</v>
      </c>
      <c r="H81" s="7">
        <v>44273.0</v>
      </c>
    </row>
    <row r="82">
      <c r="A82" s="7" t="str">
        <f>IFERROR(__xludf.DUMMYFUNCTION("""COMPUTED_VALUE"""),"Guyana")</f>
        <v>Guyana</v>
      </c>
      <c r="B82" s="7" t="str">
        <f>IFERROR(__xludf.DUMMYFUNCTION("""COMPUTED_VALUE"""),"Barrows-Morissette")</f>
        <v>Barrows-Morissette</v>
      </c>
      <c r="C82" s="8">
        <f>IFERROR(__xludf.DUMMYFUNCTION("""COMPUTED_VALUE"""),1.14)</f>
        <v>1.14</v>
      </c>
      <c r="D82" s="7">
        <v>808726.0</v>
      </c>
      <c r="E82" s="8">
        <v>921947.6399999999</v>
      </c>
      <c r="G82" s="7" t="str">
        <f>IFERROR(__xludf.DUMMYFUNCTION("""COMPUTED_VALUE"""),"Botswana")</f>
        <v>Botswana</v>
      </c>
      <c r="H82" s="7">
        <v>2630296.0</v>
      </c>
    </row>
    <row r="83">
      <c r="A83" s="7" t="str">
        <f>IFERROR(__xludf.DUMMYFUNCTION("""COMPUTED_VALUE"""),"Bulgaria")</f>
        <v>Bulgaria</v>
      </c>
      <c r="B83" s="7" t="str">
        <f>IFERROR(__xludf.DUMMYFUNCTION("""COMPUTED_VALUE"""),"Johns, Pacocha and Moen")</f>
        <v>Johns, Pacocha and Moen</v>
      </c>
      <c r="C83" s="8">
        <f>IFERROR(__xludf.DUMMYFUNCTION("""COMPUTED_VALUE"""),1.92)</f>
        <v>1.92</v>
      </c>
      <c r="D83" s="7">
        <v>6781953.0</v>
      </c>
      <c r="E83" s="8">
        <v>1.302134976E7</v>
      </c>
      <c r="G83" s="7" t="str">
        <f>IFERROR(__xludf.DUMMYFUNCTION("""COMPUTED_VALUE"""),"Somalia")</f>
        <v>Somalia</v>
      </c>
      <c r="H83" s="7">
        <v>1.7597511E7</v>
      </c>
    </row>
    <row r="84">
      <c r="A84" s="7" t="str">
        <f>IFERROR(__xludf.DUMMYFUNCTION("""COMPUTED_VALUE"""),"Serbia")</f>
        <v>Serbia</v>
      </c>
      <c r="B84" s="7" t="str">
        <f>IFERROR(__xludf.DUMMYFUNCTION("""COMPUTED_VALUE"""),"Kuhic-Kessler")</f>
        <v>Kuhic-Kessler</v>
      </c>
      <c r="C84" s="8">
        <f>IFERROR(__xludf.DUMMYFUNCTION("""COMPUTED_VALUE"""),1.58)</f>
        <v>1.58</v>
      </c>
      <c r="D84" s="7">
        <v>7221365.0</v>
      </c>
      <c r="E84" s="8">
        <v>1.1409756700000001E7</v>
      </c>
      <c r="G84" s="7" t="str">
        <f>IFERROR(__xludf.DUMMYFUNCTION("""COMPUTED_VALUE"""),"Lithuania")</f>
        <v>Lithuania</v>
      </c>
      <c r="H84" s="7">
        <v>2750055.0</v>
      </c>
    </row>
    <row r="85">
      <c r="A85" s="7" t="str">
        <f>IFERROR(__xludf.DUMMYFUNCTION("""COMPUTED_VALUE"""),"Portugal")</f>
        <v>Portugal</v>
      </c>
      <c r="B85" s="7" t="str">
        <f>IFERROR(__xludf.DUMMYFUNCTION("""COMPUTED_VALUE"""),"Kohler-Douglas")</f>
        <v>Kohler-Douglas</v>
      </c>
      <c r="C85" s="8">
        <f>IFERROR(__xludf.DUMMYFUNCTION("""COMPUTED_VALUE"""),2.14)</f>
        <v>2.14</v>
      </c>
      <c r="D85" s="7">
        <v>1.0270865E7</v>
      </c>
      <c r="E85" s="8">
        <v>2.19796511E7</v>
      </c>
      <c r="G85" s="7" t="str">
        <f>IFERROR(__xludf.DUMMYFUNCTION("""COMPUTED_VALUE"""),"Italy")</f>
        <v>Italy</v>
      </c>
      <c r="H85" s="7">
        <v>5.9037474E7</v>
      </c>
    </row>
    <row r="86">
      <c r="A86" s="7" t="str">
        <f>IFERROR(__xludf.DUMMYFUNCTION("""COMPUTED_VALUE"""),"Peru")</f>
        <v>Peru</v>
      </c>
      <c r="B86" s="7" t="str">
        <f>IFERROR(__xludf.DUMMYFUNCTION("""COMPUTED_VALUE"""),"Veum LLC")</f>
        <v>Veum LLC</v>
      </c>
      <c r="C86" s="8">
        <f>IFERROR(__xludf.DUMMYFUNCTION("""COMPUTED_VALUE"""),0.86)</f>
        <v>0.86</v>
      </c>
      <c r="D86" s="7">
        <v>3.4049588E7</v>
      </c>
      <c r="E86" s="8">
        <v>2.928264568E7</v>
      </c>
      <c r="G86" s="7" t="str">
        <f>IFERROR(__xludf.DUMMYFUNCTION("""COMPUTED_VALUE"""),"Gabon")</f>
        <v>Gabon</v>
      </c>
      <c r="H86" s="7">
        <v>2388992.0</v>
      </c>
    </row>
    <row r="87">
      <c r="A87" s="7" t="str">
        <f>IFERROR(__xludf.DUMMYFUNCTION("""COMPUTED_VALUE"""),"China")</f>
        <v>China</v>
      </c>
      <c r="B87" s="7" t="str">
        <f>IFERROR(__xludf.DUMMYFUNCTION("""COMPUTED_VALUE"""),"Mitchell-Jakubowski")</f>
        <v>Mitchell-Jakubowski</v>
      </c>
      <c r="C87" s="8">
        <f>IFERROR(__xludf.DUMMYFUNCTION("""COMPUTED_VALUE"""),1.54)</f>
        <v>1.54</v>
      </c>
      <c r="D87" s="7">
        <v>1.425887337E9</v>
      </c>
      <c r="E87" s="8">
        <v>2.19586649898E9</v>
      </c>
      <c r="G87" s="7" t="str">
        <f>IFERROR(__xludf.DUMMYFUNCTION("""COMPUTED_VALUE"""),"Central African Republic")</f>
        <v>Central African Republic</v>
      </c>
      <c r="H87" s="7">
        <v>5579144.0</v>
      </c>
    </row>
    <row r="88">
      <c r="A88" s="7" t="str">
        <f>IFERROR(__xludf.DUMMYFUNCTION("""COMPUTED_VALUE"""),"Benin")</f>
        <v>Benin</v>
      </c>
      <c r="B88" s="7" t="str">
        <f>IFERROR(__xludf.DUMMYFUNCTION("""COMPUTED_VALUE"""),"Halvorson, Zemlak and Klocko")</f>
        <v>Halvorson, Zemlak and Klocko</v>
      </c>
      <c r="C88" s="8">
        <f>IFERROR(__xludf.DUMMYFUNCTION("""COMPUTED_VALUE"""),1.89)</f>
        <v>1.89</v>
      </c>
      <c r="D88" s="7">
        <v>1.3352864E7</v>
      </c>
      <c r="E88" s="8">
        <v>2.5236912959999997E7</v>
      </c>
      <c r="G88" s="7" t="str">
        <f>IFERROR(__xludf.DUMMYFUNCTION("""COMPUTED_VALUE"""),"Afghanistan")</f>
        <v>Afghanistan</v>
      </c>
      <c r="H88" s="7">
        <v>4.1128771E7</v>
      </c>
    </row>
    <row r="89">
      <c r="A89" s="7" t="str">
        <f>IFERROR(__xludf.DUMMYFUNCTION("""COMPUTED_VALUE"""),"Brazil")</f>
        <v>Brazil</v>
      </c>
      <c r="B89" s="7" t="str">
        <f>IFERROR(__xludf.DUMMYFUNCTION("""COMPUTED_VALUE"""),"Schumm, Waelchi and Greenholt")</f>
        <v>Schumm, Waelchi and Greenholt</v>
      </c>
      <c r="C89" s="8">
        <f>IFERROR(__xludf.DUMMYFUNCTION("""COMPUTED_VALUE"""),2.12)</f>
        <v>2.12</v>
      </c>
      <c r="D89" s="7">
        <v>2.15313498E8</v>
      </c>
      <c r="E89" s="8">
        <v>4.5646461576000005E8</v>
      </c>
      <c r="G89" s="7" t="str">
        <f>IFERROR(__xludf.DUMMYFUNCTION("""COMPUTED_VALUE"""),"Ivory Coast")</f>
        <v>Ivory Coast</v>
      </c>
      <c r="H89" s="7">
        <v>2.8160542E7</v>
      </c>
    </row>
    <row r="90">
      <c r="A90" s="7" t="str">
        <f>IFERROR(__xludf.DUMMYFUNCTION("""COMPUTED_VALUE"""),"China")</f>
        <v>China</v>
      </c>
      <c r="B90" s="7" t="str">
        <f>IFERROR(__xludf.DUMMYFUNCTION("""COMPUTED_VALUE"""),"O'Conner-Predovic")</f>
        <v>O'Conner-Predovic</v>
      </c>
      <c r="C90" s="8">
        <f>IFERROR(__xludf.DUMMYFUNCTION("""COMPUTED_VALUE"""),1.48)</f>
        <v>1.48</v>
      </c>
      <c r="D90" s="7">
        <v>1.425887337E9</v>
      </c>
      <c r="E90" s="8">
        <v>2.11031325876E9</v>
      </c>
      <c r="G90" s="7" t="str">
        <f>IFERROR(__xludf.DUMMYFUNCTION("""COMPUTED_VALUE"""),"Laos")</f>
        <v>Laos</v>
      </c>
      <c r="H90" s="7">
        <v>7529475.0</v>
      </c>
    </row>
    <row r="91">
      <c r="A91" s="7" t="str">
        <f>IFERROR(__xludf.DUMMYFUNCTION("""COMPUTED_VALUE"""),"Philippines")</f>
        <v>Philippines</v>
      </c>
      <c r="B91" s="7" t="str">
        <f>IFERROR(__xludf.DUMMYFUNCTION("""COMPUTED_VALUE"""),"Jenkins Group")</f>
        <v>Jenkins Group</v>
      </c>
      <c r="C91" s="8">
        <f>IFERROR(__xludf.DUMMYFUNCTION("""COMPUTED_VALUE"""),1.21)</f>
        <v>1.21</v>
      </c>
      <c r="D91" s="7">
        <v>1.15559009E8</v>
      </c>
      <c r="E91" s="8">
        <v>1.3982640089E8</v>
      </c>
      <c r="G91" s="7" t="str">
        <f>IFERROR(__xludf.DUMMYFUNCTION("""COMPUTED_VALUE"""),"Pakistan")</f>
        <v>Pakistan</v>
      </c>
      <c r="H91" s="7">
        <v>2.35824862E8</v>
      </c>
    </row>
    <row r="92">
      <c r="A92" s="7" t="str">
        <f>IFERROR(__xludf.DUMMYFUNCTION("""COMPUTED_VALUE"""),"China")</f>
        <v>China</v>
      </c>
      <c r="B92" s="7" t="str">
        <f>IFERROR(__xludf.DUMMYFUNCTION("""COMPUTED_VALUE"""),"Boyer Inc")</f>
        <v>Boyer Inc</v>
      </c>
      <c r="C92" s="8">
        <f>IFERROR(__xludf.DUMMYFUNCTION("""COMPUTED_VALUE"""),2.17)</f>
        <v>2.17</v>
      </c>
      <c r="D92" s="7">
        <v>1.425887337E9</v>
      </c>
      <c r="E92" s="8">
        <v>3.09417552129E9</v>
      </c>
      <c r="G92" s="7" t="str">
        <f>IFERROR(__xludf.DUMMYFUNCTION("""COMPUTED_VALUE"""),"Iraq")</f>
        <v>Iraq</v>
      </c>
      <c r="H92" s="7">
        <v>4.4496122E7</v>
      </c>
    </row>
    <row r="93">
      <c r="A93" s="7" t="str">
        <f>IFERROR(__xludf.DUMMYFUNCTION("""COMPUTED_VALUE"""),"Russia")</f>
        <v>Russia</v>
      </c>
      <c r="B93" s="7" t="str">
        <f>IFERROR(__xludf.DUMMYFUNCTION("""COMPUTED_VALUE"""),"Langosh-Weissnat")</f>
        <v>Langosh-Weissnat</v>
      </c>
      <c r="C93" s="8">
        <f>IFERROR(__xludf.DUMMYFUNCTION("""COMPUTED_VALUE"""),2.0)</f>
        <v>2</v>
      </c>
      <c r="D93" s="7">
        <v>1.44713314E8</v>
      </c>
      <c r="E93" s="8">
        <v>2.89426628E8</v>
      </c>
      <c r="G93" s="7" t="str">
        <f>IFERROR(__xludf.DUMMYFUNCTION("""COMPUTED_VALUE"""),"Costa Rica")</f>
        <v>Costa Rica</v>
      </c>
      <c r="H93" s="7">
        <v>5180829.0</v>
      </c>
    </row>
    <row r="94">
      <c r="A94" s="7" t="str">
        <f>IFERROR(__xludf.DUMMYFUNCTION("""COMPUTED_VALUE"""),"Portugal")</f>
        <v>Portugal</v>
      </c>
      <c r="B94" s="7" t="str">
        <f>IFERROR(__xludf.DUMMYFUNCTION("""COMPUTED_VALUE"""),"Stoltenberg, Stokes and Doyle")</f>
        <v>Stoltenberg, Stokes and Doyle</v>
      </c>
      <c r="C94" s="8">
        <f>IFERROR(__xludf.DUMMYFUNCTION("""COMPUTED_VALUE"""),1.09)</f>
        <v>1.09</v>
      </c>
      <c r="D94" s="7">
        <v>1.0270865E7</v>
      </c>
      <c r="E94" s="8">
        <v>1.1195242850000001E7</v>
      </c>
      <c r="G94" s="7" t="str">
        <f>IFERROR(__xludf.DUMMYFUNCTION("""COMPUTED_VALUE"""),"Yemen")</f>
        <v>Yemen</v>
      </c>
      <c r="H94" s="7">
        <v>3.3696614E7</v>
      </c>
    </row>
    <row r="95">
      <c r="A95" s="7" t="str">
        <f>IFERROR(__xludf.DUMMYFUNCTION("""COMPUTED_VALUE"""),"Sudan")</f>
        <v>Sudan</v>
      </c>
      <c r="B95" s="7" t="str">
        <f>IFERROR(__xludf.DUMMYFUNCTION("""COMPUTED_VALUE"""),"Bradtke-Runte")</f>
        <v>Bradtke-Runte</v>
      </c>
      <c r="C95" s="8">
        <f>IFERROR(__xludf.DUMMYFUNCTION("""COMPUTED_VALUE"""),1.3)</f>
        <v>1.3</v>
      </c>
      <c r="D95" s="7">
        <v>4.6874204E7</v>
      </c>
      <c r="E95" s="8">
        <v>6.09364652E7</v>
      </c>
      <c r="G95" s="7" t="str">
        <f>IFERROR(__xludf.DUMMYFUNCTION("""COMPUTED_VALUE"""),"Luxembourg")</f>
        <v>Luxembourg</v>
      </c>
      <c r="H95" s="7">
        <v>647599.0</v>
      </c>
    </row>
    <row r="96">
      <c r="A96" s="7" t="str">
        <f>IFERROR(__xludf.DUMMYFUNCTION("""COMPUTED_VALUE"""),"France")</f>
        <v>France</v>
      </c>
      <c r="B96" s="7" t="str">
        <f>IFERROR(__xludf.DUMMYFUNCTION("""COMPUTED_VALUE"""),"Denesik, Homenick and Howe")</f>
        <v>Denesik, Homenick and Howe</v>
      </c>
      <c r="C96" s="8">
        <f>IFERROR(__xludf.DUMMYFUNCTION("""COMPUTED_VALUE"""),2.13)</f>
        <v>2.13</v>
      </c>
      <c r="D96" s="7">
        <v>6.4626628E7</v>
      </c>
      <c r="E96" s="8">
        <v>1.3765471764E8</v>
      </c>
      <c r="G96" s="7" t="str">
        <f>IFERROR(__xludf.DUMMYFUNCTION("""COMPUTED_VALUE"""),"Bosnia and Herzegovina")</f>
        <v>Bosnia and Herzegovina</v>
      </c>
      <c r="H96" s="7">
        <v>3233526.0</v>
      </c>
    </row>
    <row r="97">
      <c r="A97" s="7" t="str">
        <f>IFERROR(__xludf.DUMMYFUNCTION("""COMPUTED_VALUE"""),"China")</f>
        <v>China</v>
      </c>
      <c r="B97" s="7" t="str">
        <f>IFERROR(__xludf.DUMMYFUNCTION("""COMPUTED_VALUE"""),"Schmitt Group")</f>
        <v>Schmitt Group</v>
      </c>
      <c r="C97" s="8">
        <f>IFERROR(__xludf.DUMMYFUNCTION("""COMPUTED_VALUE"""),1.07)</f>
        <v>1.07</v>
      </c>
      <c r="D97" s="7">
        <v>1.425887337E9</v>
      </c>
      <c r="E97" s="8">
        <v>1.5256994505900002E9</v>
      </c>
      <c r="G97" s="7" t="str">
        <f>IFERROR(__xludf.DUMMYFUNCTION("""COMPUTED_VALUE"""),"Gambia")</f>
        <v>Gambia</v>
      </c>
      <c r="H97" s="7">
        <v>2705992.0</v>
      </c>
    </row>
    <row r="98">
      <c r="A98" s="7" t="str">
        <f>IFERROR(__xludf.DUMMYFUNCTION("""COMPUTED_VALUE"""),"Indonesia")</f>
        <v>Indonesia</v>
      </c>
      <c r="B98" s="7" t="str">
        <f>IFERROR(__xludf.DUMMYFUNCTION("""COMPUTED_VALUE"""),"Corwin, Nitzsche and Jerde")</f>
        <v>Corwin, Nitzsche and Jerde</v>
      </c>
      <c r="C98" s="8">
        <f>IFERROR(__xludf.DUMMYFUNCTION("""COMPUTED_VALUE"""),2.17)</f>
        <v>2.17</v>
      </c>
      <c r="D98" s="7">
        <v>2.75501339E8</v>
      </c>
      <c r="E98" s="8">
        <v>5.9783790563E8</v>
      </c>
      <c r="G98" s="7" t="str">
        <f>IFERROR(__xludf.DUMMYFUNCTION("""COMPUTED_VALUE"""),"Senegal")</f>
        <v>Senegal</v>
      </c>
      <c r="H98" s="7">
        <v>1.7316449E7</v>
      </c>
    </row>
    <row r="99">
      <c r="A99" s="7" t="str">
        <f>IFERROR(__xludf.DUMMYFUNCTION("""COMPUTED_VALUE"""),"China")</f>
        <v>China</v>
      </c>
      <c r="B99" s="7" t="str">
        <f>IFERROR(__xludf.DUMMYFUNCTION("""COMPUTED_VALUE"""),"Heathcote, O'Connell and Metz")</f>
        <v>Heathcote, O'Connell and Metz</v>
      </c>
      <c r="C99" s="8">
        <f>IFERROR(__xludf.DUMMYFUNCTION("""COMPUTED_VALUE"""),1.13)</f>
        <v>1.13</v>
      </c>
      <c r="D99" s="7">
        <v>1.425887337E9</v>
      </c>
      <c r="E99" s="8">
        <v>1.61125269081E9</v>
      </c>
      <c r="G99" s="7" t="str">
        <f>IFERROR(__xludf.DUMMYFUNCTION("""COMPUTED_VALUE"""),"Chad")</f>
        <v>Chad</v>
      </c>
      <c r="H99" s="7">
        <v>1.7723315E7</v>
      </c>
    </row>
    <row r="100">
      <c r="A100" s="7" t="str">
        <f>IFERROR(__xludf.DUMMYFUNCTION("""COMPUTED_VALUE"""),"Portugal")</f>
        <v>Portugal</v>
      </c>
      <c r="B100" s="7" t="str">
        <f>IFERROR(__xludf.DUMMYFUNCTION("""COMPUTED_VALUE"""),"Runte-Ratke")</f>
        <v>Runte-Ratke</v>
      </c>
      <c r="C100" s="8">
        <f>IFERROR(__xludf.DUMMYFUNCTION("""COMPUTED_VALUE"""),0.86)</f>
        <v>0.86</v>
      </c>
      <c r="D100" s="7">
        <v>1.0270865E7</v>
      </c>
      <c r="E100" s="8">
        <v>8832943.9</v>
      </c>
      <c r="G100" s="7" t="str">
        <f>IFERROR(__xludf.DUMMYFUNCTION("""COMPUTED_VALUE"""),"Bhutan")</f>
        <v>Bhutan</v>
      </c>
      <c r="H100" s="7">
        <v>782455.0</v>
      </c>
    </row>
    <row r="101">
      <c r="A101" s="7" t="str">
        <f>IFERROR(__xludf.DUMMYFUNCTION("""COMPUTED_VALUE"""),"Indonesia")</f>
        <v>Indonesia</v>
      </c>
      <c r="B101" s="7" t="str">
        <f>IFERROR(__xludf.DUMMYFUNCTION("""COMPUTED_VALUE"""),"Okuneva and Sons")</f>
        <v>Okuneva and Sons</v>
      </c>
      <c r="C101" s="8">
        <f>IFERROR(__xludf.DUMMYFUNCTION("""COMPUTED_VALUE"""),2.09)</f>
        <v>2.09</v>
      </c>
      <c r="D101" s="7">
        <v>2.75501339E8</v>
      </c>
      <c r="E101" s="8">
        <v>5.7579779851E8</v>
      </c>
      <c r="G101" s="7" t="str">
        <f>IFERROR(__xludf.DUMMYFUNCTION("""COMPUTED_VALUE"""),"Nepal")</f>
        <v>Nepal</v>
      </c>
      <c r="H101" s="7">
        <v>3.054758E7</v>
      </c>
    </row>
    <row r="102">
      <c r="A102" s="7" t="str">
        <f>IFERROR(__xludf.DUMMYFUNCTION("""COMPUTED_VALUE"""),"France")</f>
        <v>France</v>
      </c>
      <c r="B102" s="7" t="str">
        <f>IFERROR(__xludf.DUMMYFUNCTION("""COMPUTED_VALUE"""),"Schmitt Group")</f>
        <v>Schmitt Group</v>
      </c>
      <c r="C102" s="8">
        <f>IFERROR(__xludf.DUMMYFUNCTION("""COMPUTED_VALUE"""),1.04)</f>
        <v>1.04</v>
      </c>
      <c r="D102" s="7">
        <v>6.4626628E7</v>
      </c>
      <c r="E102" s="8">
        <v>6.721169312E7</v>
      </c>
      <c r="G102" s="7" t="str">
        <f>IFERROR(__xludf.DUMMYFUNCTION("""COMPUTED_VALUE"""),"Kyrgyzstan")</f>
        <v>Kyrgyzstan</v>
      </c>
      <c r="H102" s="7">
        <v>6630623.0</v>
      </c>
    </row>
    <row r="103">
      <c r="A103" s="7" t="str">
        <f>IFERROR(__xludf.DUMMYFUNCTION("""COMPUTED_VALUE"""),"China")</f>
        <v>China</v>
      </c>
      <c r="B103" s="7" t="str">
        <f>IFERROR(__xludf.DUMMYFUNCTION("""COMPUTED_VALUE"""),"Boyle, Gottlieb and Fay")</f>
        <v>Boyle, Gottlieb and Fay</v>
      </c>
      <c r="C103" s="8">
        <f>IFERROR(__xludf.DUMMYFUNCTION("""COMPUTED_VALUE"""),1.27)</f>
        <v>1.27</v>
      </c>
      <c r="D103" s="7">
        <v>1.425887337E9</v>
      </c>
      <c r="E103" s="8">
        <v>1.81087691799E9</v>
      </c>
      <c r="G103" s="7" t="str">
        <f>IFERROR(__xludf.DUMMYFUNCTION("""COMPUTED_VALUE"""),"Saint Lucia")</f>
        <v>Saint Lucia</v>
      </c>
      <c r="H103" s="7">
        <v>179857.0</v>
      </c>
    </row>
    <row r="104">
      <c r="A104" s="7" t="str">
        <f>IFERROR(__xludf.DUMMYFUNCTION("""COMPUTED_VALUE"""),"China")</f>
        <v>China</v>
      </c>
      <c r="B104" s="7" t="str">
        <f>IFERROR(__xludf.DUMMYFUNCTION("""COMPUTED_VALUE"""),"Bode, Schroeder and Powlowski")</f>
        <v>Bode, Schroeder and Powlowski</v>
      </c>
      <c r="C104" s="8">
        <f>IFERROR(__xludf.DUMMYFUNCTION("""COMPUTED_VALUE"""),1.93)</f>
        <v>1.93</v>
      </c>
      <c r="D104" s="7">
        <v>1.425887337E9</v>
      </c>
      <c r="E104" s="8">
        <v>2.75196256041E9</v>
      </c>
      <c r="G104" s="7" t="str">
        <f>IFERROR(__xludf.DUMMYFUNCTION("""COMPUTED_VALUE"""),"Uzbekistan")</f>
        <v>Uzbekistan</v>
      </c>
      <c r="H104" s="7">
        <v>3.4627652E7</v>
      </c>
    </row>
    <row r="105">
      <c r="A105" s="7" t="str">
        <f>IFERROR(__xludf.DUMMYFUNCTION("""COMPUTED_VALUE"""),"Indonesia")</f>
        <v>Indonesia</v>
      </c>
      <c r="B105" s="7" t="str">
        <f>IFERROR(__xludf.DUMMYFUNCTION("""COMPUTED_VALUE"""),"Grant-Grimes")</f>
        <v>Grant-Grimes</v>
      </c>
      <c r="C105" s="8">
        <f>IFERROR(__xludf.DUMMYFUNCTION("""COMPUTED_VALUE"""),1.93)</f>
        <v>1.93</v>
      </c>
      <c r="D105" s="7">
        <v>2.75501339E8</v>
      </c>
      <c r="E105" s="8">
        <v>5.3171758427E8</v>
      </c>
      <c r="G105" s="7" t="str">
        <f>IFERROR(__xludf.DUMMYFUNCTION("""COMPUTED_VALUE"""),"Azerbaijan")</f>
        <v>Azerbaijan</v>
      </c>
      <c r="H105" s="7">
        <v>1.0358074E7</v>
      </c>
    </row>
    <row r="106">
      <c r="A106" s="7" t="str">
        <f>IFERROR(__xludf.DUMMYFUNCTION("""COMPUTED_VALUE"""),"Mexico")</f>
        <v>Mexico</v>
      </c>
      <c r="B106" s="7" t="str">
        <f>IFERROR(__xludf.DUMMYFUNCTION("""COMPUTED_VALUE"""),"Herman Group")</f>
        <v>Herman Group</v>
      </c>
      <c r="C106" s="8">
        <f>IFERROR(__xludf.DUMMYFUNCTION("""COMPUTED_VALUE"""),1.27)</f>
        <v>1.27</v>
      </c>
      <c r="D106" s="7">
        <v>1.27504125E8</v>
      </c>
      <c r="E106" s="8">
        <v>1.6193023875E8</v>
      </c>
      <c r="G106" s="7" t="str">
        <f>IFERROR(__xludf.DUMMYFUNCTION("""COMPUTED_VALUE"""),"Sri Lanka")</f>
        <v>Sri Lanka</v>
      </c>
      <c r="H106" s="7">
        <v>2.1832143E7</v>
      </c>
    </row>
    <row r="107">
      <c r="A107" s="7" t="str">
        <f>IFERROR(__xludf.DUMMYFUNCTION("""COMPUTED_VALUE"""),"Vietnam")</f>
        <v>Vietnam</v>
      </c>
      <c r="B107" s="7" t="str">
        <f>IFERROR(__xludf.DUMMYFUNCTION("""COMPUTED_VALUE"""),"Kuhlman-Waelchi")</f>
        <v>Kuhlman-Waelchi</v>
      </c>
      <c r="C107" s="8">
        <f>IFERROR(__xludf.DUMMYFUNCTION("""COMPUTED_VALUE"""),1.78)</f>
        <v>1.78</v>
      </c>
      <c r="D107" s="7">
        <v>9.8186856E7</v>
      </c>
      <c r="E107" s="8">
        <v>1.7477260368E8</v>
      </c>
      <c r="G107" s="7" t="str">
        <f>IFERROR(__xludf.DUMMYFUNCTION("""COMPUTED_VALUE"""),"North Korea")</f>
        <v>North Korea</v>
      </c>
      <c r="H107" s="7">
        <v>2.6069416E7</v>
      </c>
    </row>
    <row r="108">
      <c r="A108" s="7" t="str">
        <f>IFERROR(__xludf.DUMMYFUNCTION("""COMPUTED_VALUE"""),"Czech Republic")</f>
        <v>Czech Republic</v>
      </c>
      <c r="B108" s="7" t="str">
        <f>IFERROR(__xludf.DUMMYFUNCTION("""COMPUTED_VALUE"""),"Waters Inc")</f>
        <v>Waters Inc</v>
      </c>
      <c r="C108" s="8">
        <f>IFERROR(__xludf.DUMMYFUNCTION("""COMPUTED_VALUE"""),1.13)</f>
        <v>1.13</v>
      </c>
      <c r="D108" s="7">
        <v>1.0493986E7</v>
      </c>
      <c r="E108" s="8">
        <v>1.185820418E7</v>
      </c>
      <c r="G108" s="7" t="str">
        <f>IFERROR(__xludf.DUMMYFUNCTION("""COMPUTED_VALUE"""),"Egypt")</f>
        <v>Egypt</v>
      </c>
      <c r="H108" s="7">
        <v>1.10990103E8</v>
      </c>
    </row>
    <row r="109">
      <c r="A109" s="7" t="str">
        <f>IFERROR(__xludf.DUMMYFUNCTION("""COMPUTED_VALUE"""),"Croatia")</f>
        <v>Croatia</v>
      </c>
      <c r="B109" s="7" t="str">
        <f>IFERROR(__xludf.DUMMYFUNCTION("""COMPUTED_VALUE"""),"Williamson-Abbott")</f>
        <v>Williamson-Abbott</v>
      </c>
      <c r="C109" s="8">
        <f>IFERROR(__xludf.DUMMYFUNCTION("""COMPUTED_VALUE"""),1.2)</f>
        <v>1.2</v>
      </c>
      <c r="D109" s="7">
        <v>4030358.0</v>
      </c>
      <c r="E109" s="8">
        <v>4836429.6</v>
      </c>
      <c r="G109" s="7" t="str">
        <f>IFERROR(__xludf.DUMMYFUNCTION("""COMPUTED_VALUE"""),"Brunei")</f>
        <v>Brunei</v>
      </c>
      <c r="H109" s="7">
        <v>449002.0</v>
      </c>
    </row>
    <row r="110">
      <c r="A110" s="7" t="str">
        <f>IFERROR(__xludf.DUMMYFUNCTION("""COMPUTED_VALUE"""),"Mozambique")</f>
        <v>Mozambique</v>
      </c>
      <c r="B110" s="7" t="str">
        <f>IFERROR(__xludf.DUMMYFUNCTION("""COMPUTED_VALUE"""),"Ritchie, Friesen and Jacobs")</f>
        <v>Ritchie, Friesen and Jacobs</v>
      </c>
      <c r="C110" s="8">
        <f>IFERROR(__xludf.DUMMYFUNCTION("""COMPUTED_VALUE"""),2.01)</f>
        <v>2.01</v>
      </c>
      <c r="D110" s="7">
        <v>3.2969517E7</v>
      </c>
      <c r="E110" s="8">
        <v>6.6268729169999994E7</v>
      </c>
      <c r="G110" s="7" t="str">
        <f>IFERROR(__xludf.DUMMYFUNCTION("""COMPUTED_VALUE"""),"Bahamas")</f>
        <v>Bahamas</v>
      </c>
      <c r="H110" s="7">
        <v>409984.0</v>
      </c>
    </row>
    <row r="111">
      <c r="A111" s="7" t="str">
        <f>IFERROR(__xludf.DUMMYFUNCTION("""COMPUTED_VALUE"""),"Bulgaria")</f>
        <v>Bulgaria</v>
      </c>
      <c r="B111" s="7" t="str">
        <f>IFERROR(__xludf.DUMMYFUNCTION("""COMPUTED_VALUE"""),"Hermann, Huel and Wintheiser")</f>
        <v>Hermann, Huel and Wintheiser</v>
      </c>
      <c r="C111" s="8">
        <f>IFERROR(__xludf.DUMMYFUNCTION("""COMPUTED_VALUE"""),1.91)</f>
        <v>1.91</v>
      </c>
      <c r="D111" s="7">
        <v>6781953.0</v>
      </c>
      <c r="E111" s="8">
        <v>1.2953530229999999E7</v>
      </c>
      <c r="G111" s="7" t="str">
        <f>IFERROR(__xludf.DUMMYFUNCTION("""COMPUTED_VALUE"""),"Jamaica")</f>
        <v>Jamaica</v>
      </c>
      <c r="H111" s="7">
        <v>2827377.0</v>
      </c>
    </row>
    <row r="112">
      <c r="A112" s="7" t="str">
        <f>IFERROR(__xludf.DUMMYFUNCTION("""COMPUTED_VALUE"""),"Portugal")</f>
        <v>Portugal</v>
      </c>
      <c r="B112" s="7" t="str">
        <f>IFERROR(__xludf.DUMMYFUNCTION("""COMPUTED_VALUE"""),"Halvorson, Nicolas and Mann")</f>
        <v>Halvorson, Nicolas and Mann</v>
      </c>
      <c r="C112" s="8">
        <f>IFERROR(__xludf.DUMMYFUNCTION("""COMPUTED_VALUE"""),2.14)</f>
        <v>2.14</v>
      </c>
      <c r="D112" s="7">
        <v>1.0270865E7</v>
      </c>
      <c r="E112" s="8">
        <v>2.19796511E7</v>
      </c>
      <c r="G112" s="7" t="str">
        <f>IFERROR(__xludf.DUMMYFUNCTION("""COMPUTED_VALUE"""),"Cuba")</f>
        <v>Cuba</v>
      </c>
      <c r="H112" s="7">
        <v>1.1212191E7</v>
      </c>
    </row>
    <row r="113">
      <c r="A113" s="7" t="str">
        <f>IFERROR(__xludf.DUMMYFUNCTION("""COMPUTED_VALUE"""),"China")</f>
        <v>China</v>
      </c>
      <c r="B113" s="7" t="str">
        <f>IFERROR(__xludf.DUMMYFUNCTION("""COMPUTED_VALUE"""),"Leuschke-Hackett")</f>
        <v>Leuschke-Hackett</v>
      </c>
      <c r="C113" s="8">
        <f>IFERROR(__xludf.DUMMYFUNCTION("""COMPUTED_VALUE"""),1.88)</f>
        <v>1.88</v>
      </c>
      <c r="D113" s="7">
        <v>1.425887337E9</v>
      </c>
      <c r="E113" s="8">
        <v>2.68066819356E9</v>
      </c>
      <c r="G113" s="7" t="str">
        <f>IFERROR(__xludf.DUMMYFUNCTION("""COMPUTED_VALUE"""),"Lesotho")</f>
        <v>Lesotho</v>
      </c>
      <c r="H113" s="7">
        <v>2305825.0</v>
      </c>
    </row>
    <row r="114">
      <c r="A114" s="7" t="str">
        <f>IFERROR(__xludf.DUMMYFUNCTION("""COMPUTED_VALUE"""),"Brazil")</f>
        <v>Brazil</v>
      </c>
      <c r="B114" s="7" t="str">
        <f>IFERROR(__xludf.DUMMYFUNCTION("""COMPUTED_VALUE"""),"Cremin-Von")</f>
        <v>Cremin-Von</v>
      </c>
      <c r="C114" s="8">
        <f>IFERROR(__xludf.DUMMYFUNCTION("""COMPUTED_VALUE"""),2.16)</f>
        <v>2.16</v>
      </c>
      <c r="D114" s="7">
        <v>2.15313498E8</v>
      </c>
      <c r="E114" s="8">
        <v>4.6507715568E8</v>
      </c>
      <c r="G114" s="7" t="str">
        <f>IFERROR(__xludf.DUMMYFUNCTION("""COMPUTED_VALUE"""),"Paraguay")</f>
        <v>Paraguay</v>
      </c>
      <c r="H114" s="7">
        <v>6780744.0</v>
      </c>
    </row>
    <row r="115">
      <c r="A115" s="7" t="str">
        <f>IFERROR(__xludf.DUMMYFUNCTION("""COMPUTED_VALUE"""),"South Africa")</f>
        <v>South Africa</v>
      </c>
      <c r="B115" s="7" t="str">
        <f>IFERROR(__xludf.DUMMYFUNCTION("""COMPUTED_VALUE"""),"Aufderhar, Klein and Kiehn")</f>
        <v>Aufderhar, Klein and Kiehn</v>
      </c>
      <c r="C115" s="8">
        <f>IFERROR(__xludf.DUMMYFUNCTION("""COMPUTED_VALUE"""),1.4)</f>
        <v>1.4</v>
      </c>
      <c r="D115" s="7">
        <v>5.9893885E7</v>
      </c>
      <c r="E115" s="8">
        <v>8.3851439E7</v>
      </c>
      <c r="G115" s="7" t="str">
        <f>IFERROR(__xludf.DUMMYFUNCTION("""COMPUTED_VALUE"""),"Panama")</f>
        <v>Panama</v>
      </c>
      <c r="H115" s="7">
        <v>4408581.0</v>
      </c>
    </row>
    <row r="116">
      <c r="A116" s="7" t="str">
        <f>IFERROR(__xludf.DUMMYFUNCTION("""COMPUTED_VALUE"""),"China")</f>
        <v>China</v>
      </c>
      <c r="B116" s="7" t="str">
        <f>IFERROR(__xludf.DUMMYFUNCTION("""COMPUTED_VALUE"""),"Keeling LLC")</f>
        <v>Keeling LLC</v>
      </c>
      <c r="C116" s="8">
        <f>IFERROR(__xludf.DUMMYFUNCTION("""COMPUTED_VALUE"""),1.8)</f>
        <v>1.8</v>
      </c>
      <c r="D116" s="7">
        <v>1.425887337E9</v>
      </c>
      <c r="E116" s="8">
        <v>2.5665972066E9</v>
      </c>
      <c r="G116" s="7" t="str">
        <f>IFERROR(__xludf.DUMMYFUNCTION("""COMPUTED_VALUE"""),"Niger")</f>
        <v>Niger</v>
      </c>
      <c r="H116" s="7">
        <v>2.6207977E7</v>
      </c>
    </row>
    <row r="117">
      <c r="A117" s="7" t="str">
        <f>IFERROR(__xludf.DUMMYFUNCTION("""COMPUTED_VALUE"""),"Canada")</f>
        <v>Canada</v>
      </c>
      <c r="B117" s="7" t="str">
        <f>IFERROR(__xludf.DUMMYFUNCTION("""COMPUTED_VALUE"""),"McGlynn, Sanford and Weissnat")</f>
        <v>McGlynn, Sanford and Weissnat</v>
      </c>
      <c r="C117" s="8">
        <f>IFERROR(__xludf.DUMMYFUNCTION("""COMPUTED_VALUE"""),1.68)</f>
        <v>1.68</v>
      </c>
      <c r="D117" s="7">
        <v>3.8454327E7</v>
      </c>
      <c r="E117" s="8">
        <v>6.460326936E7</v>
      </c>
      <c r="G117" s="7" t="str">
        <f>IFERROR(__xludf.DUMMYFUNCTION("""COMPUTED_VALUE"""),"Australia")</f>
        <v>Australia</v>
      </c>
      <c r="H117" s="7">
        <v>2.6177413E7</v>
      </c>
    </row>
    <row r="118">
      <c r="A118" s="7" t="str">
        <f>IFERROR(__xludf.DUMMYFUNCTION("""COMPUTED_VALUE"""),"Indonesia")</f>
        <v>Indonesia</v>
      </c>
      <c r="B118" s="7" t="str">
        <f>IFERROR(__xludf.DUMMYFUNCTION("""COMPUTED_VALUE"""),"Marquardt-Grady")</f>
        <v>Marquardt-Grady</v>
      </c>
      <c r="C118" s="8">
        <f>IFERROR(__xludf.DUMMYFUNCTION("""COMPUTED_VALUE"""),1.68)</f>
        <v>1.68</v>
      </c>
      <c r="D118" s="7">
        <v>2.75501339E8</v>
      </c>
      <c r="E118" s="8">
        <v>4.6284224952E8</v>
      </c>
      <c r="G118" s="7" t="str">
        <f>IFERROR(__xludf.DUMMYFUNCTION("""COMPUTED_VALUE"""),"Burkina Faso")</f>
        <v>Burkina Faso</v>
      </c>
      <c r="H118" s="7">
        <v>2.2673762E7</v>
      </c>
    </row>
    <row r="119">
      <c r="A119" s="7" t="str">
        <f>IFERROR(__xludf.DUMMYFUNCTION("""COMPUTED_VALUE"""),"China")</f>
        <v>China</v>
      </c>
      <c r="B119" s="7" t="str">
        <f>IFERROR(__xludf.DUMMYFUNCTION("""COMPUTED_VALUE"""),"Nader, Abbott and Lakin")</f>
        <v>Nader, Abbott and Lakin</v>
      </c>
      <c r="C119" s="8">
        <f>IFERROR(__xludf.DUMMYFUNCTION("""COMPUTED_VALUE"""),1.37)</f>
        <v>1.37</v>
      </c>
      <c r="D119" s="7">
        <v>1.425887337E9</v>
      </c>
      <c r="E119" s="8">
        <v>1.95346565169E9</v>
      </c>
      <c r="G119" s="7" t="str">
        <f>IFERROR(__xludf.DUMMYFUNCTION("""COMPUTED_VALUE"""),"Cameroon")</f>
        <v>Cameroon</v>
      </c>
      <c r="H119" s="7">
        <v>2.7914536E7</v>
      </c>
    </row>
    <row r="120">
      <c r="A120" s="7" t="str">
        <f>IFERROR(__xludf.DUMMYFUNCTION("""COMPUTED_VALUE"""),"China")</f>
        <v>China</v>
      </c>
      <c r="B120" s="7" t="str">
        <f>IFERROR(__xludf.DUMMYFUNCTION("""COMPUTED_VALUE"""),"Hagenes, Kris and Jakubowski")</f>
        <v>Hagenes, Kris and Jakubowski</v>
      </c>
      <c r="C120" s="8">
        <f>IFERROR(__xludf.DUMMYFUNCTION("""COMPUTED_VALUE"""),1.5)</f>
        <v>1.5</v>
      </c>
      <c r="D120" s="7">
        <v>1.425887337E9</v>
      </c>
      <c r="E120" s="8">
        <v>2.1388310055E9</v>
      </c>
    </row>
    <row r="121">
      <c r="A121" s="7" t="str">
        <f>IFERROR(__xludf.DUMMYFUNCTION("""COMPUTED_VALUE"""),"China")</f>
        <v>China</v>
      </c>
      <c r="B121" s="7" t="str">
        <f>IFERROR(__xludf.DUMMYFUNCTION("""COMPUTED_VALUE"""),"Toy Inc")</f>
        <v>Toy Inc</v>
      </c>
      <c r="C121" s="8">
        <f>IFERROR(__xludf.DUMMYFUNCTION("""COMPUTED_VALUE"""),2.1)</f>
        <v>2.1</v>
      </c>
      <c r="D121" s="7">
        <v>1.425887337E9</v>
      </c>
      <c r="E121" s="8">
        <v>2.9943634077000003E9</v>
      </c>
    </row>
    <row r="122">
      <c r="A122" s="7" t="str">
        <f>IFERROR(__xludf.DUMMYFUNCTION("""COMPUTED_VALUE"""),"Bolivia")</f>
        <v>Bolivia</v>
      </c>
      <c r="B122" s="7" t="str">
        <f>IFERROR(__xludf.DUMMYFUNCTION("""COMPUTED_VALUE"""),"Hermann-Ryan")</f>
        <v>Hermann-Ryan</v>
      </c>
      <c r="C122" s="8">
        <f>IFERROR(__xludf.DUMMYFUNCTION("""COMPUTED_VALUE"""),1.11)</f>
        <v>1.11</v>
      </c>
      <c r="D122" s="7">
        <v>1.222411E7</v>
      </c>
      <c r="E122" s="8">
        <v>1.3568762100000001E7</v>
      </c>
    </row>
    <row r="123">
      <c r="A123" s="7" t="str">
        <f>IFERROR(__xludf.DUMMYFUNCTION("""COMPUTED_VALUE"""),"Philippines")</f>
        <v>Philippines</v>
      </c>
      <c r="B123" s="7" t="str">
        <f>IFERROR(__xludf.DUMMYFUNCTION("""COMPUTED_VALUE"""),"Kling, Streich and Windler")</f>
        <v>Kling, Streich and Windler</v>
      </c>
      <c r="C123" s="8">
        <f>IFERROR(__xludf.DUMMYFUNCTION("""COMPUTED_VALUE"""),1.13)</f>
        <v>1.13</v>
      </c>
      <c r="D123" s="7">
        <v>1.15559009E8</v>
      </c>
      <c r="E123" s="8">
        <v>1.3058168016999999E8</v>
      </c>
    </row>
    <row r="124">
      <c r="A124" s="7" t="str">
        <f>IFERROR(__xludf.DUMMYFUNCTION("""COMPUTED_VALUE"""),"Indonesia")</f>
        <v>Indonesia</v>
      </c>
      <c r="B124" s="7" t="str">
        <f>IFERROR(__xludf.DUMMYFUNCTION("""COMPUTED_VALUE"""),"Reynolds-Mayer")</f>
        <v>Reynolds-Mayer</v>
      </c>
      <c r="C124" s="8">
        <f>IFERROR(__xludf.DUMMYFUNCTION("""COMPUTED_VALUE"""),1.22)</f>
        <v>1.22</v>
      </c>
      <c r="D124" s="7">
        <v>2.75501339E8</v>
      </c>
      <c r="E124" s="8">
        <v>3.3611163358E8</v>
      </c>
    </row>
    <row r="125">
      <c r="A125" s="7" t="str">
        <f>IFERROR(__xludf.DUMMYFUNCTION("""COMPUTED_VALUE"""),"China")</f>
        <v>China</v>
      </c>
      <c r="B125" s="7" t="str">
        <f>IFERROR(__xludf.DUMMYFUNCTION("""COMPUTED_VALUE"""),"Gottlieb, Lowe and Shields")</f>
        <v>Gottlieb, Lowe and Shields</v>
      </c>
      <c r="C125" s="8">
        <f>IFERROR(__xludf.DUMMYFUNCTION("""COMPUTED_VALUE"""),2.12)</f>
        <v>2.12</v>
      </c>
      <c r="D125" s="7">
        <v>1.425887337E9</v>
      </c>
      <c r="E125" s="8">
        <v>3.02288115444E9</v>
      </c>
    </row>
    <row r="126">
      <c r="A126" s="7" t="str">
        <f>IFERROR(__xludf.DUMMYFUNCTION("""COMPUTED_VALUE"""),"China")</f>
        <v>China</v>
      </c>
      <c r="B126" s="7" t="str">
        <f>IFERROR(__xludf.DUMMYFUNCTION("""COMPUTED_VALUE"""),"West-Gutmann")</f>
        <v>West-Gutmann</v>
      </c>
      <c r="C126" s="8">
        <f>IFERROR(__xludf.DUMMYFUNCTION("""COMPUTED_VALUE"""),1.62)</f>
        <v>1.62</v>
      </c>
      <c r="D126" s="7">
        <v>1.425887337E9</v>
      </c>
      <c r="E126" s="8">
        <v>2.30993748594E9</v>
      </c>
    </row>
    <row r="127">
      <c r="A127" s="7" t="str">
        <f>IFERROR(__xludf.DUMMYFUNCTION("""COMPUTED_VALUE"""),"Ukraine")</f>
        <v>Ukraine</v>
      </c>
      <c r="B127" s="7" t="str">
        <f>IFERROR(__xludf.DUMMYFUNCTION("""COMPUTED_VALUE"""),"Russel and Sons")</f>
        <v>Russel and Sons</v>
      </c>
      <c r="C127" s="8">
        <f>IFERROR(__xludf.DUMMYFUNCTION("""COMPUTED_VALUE"""),1.19)</f>
        <v>1.19</v>
      </c>
      <c r="D127" s="7">
        <v>3.9701739E7</v>
      </c>
      <c r="E127" s="8">
        <v>4.724506941E7</v>
      </c>
    </row>
    <row r="128">
      <c r="A128" s="7" t="str">
        <f>IFERROR(__xludf.DUMMYFUNCTION("""COMPUTED_VALUE"""),"South Korea")</f>
        <v>South Korea</v>
      </c>
      <c r="B128" s="7" t="str">
        <f>IFERROR(__xludf.DUMMYFUNCTION("""COMPUTED_VALUE"""),"Shanahan and Sons")</f>
        <v>Shanahan and Sons</v>
      </c>
      <c r="C128" s="8">
        <f>IFERROR(__xludf.DUMMYFUNCTION("""COMPUTED_VALUE"""),1.71)</f>
        <v>1.71</v>
      </c>
      <c r="D128" s="7">
        <v>5.181581E7</v>
      </c>
      <c r="E128" s="8">
        <v>8.86050351E7</v>
      </c>
    </row>
    <row r="129">
      <c r="A129" s="7" t="str">
        <f>IFERROR(__xludf.DUMMYFUNCTION("""COMPUTED_VALUE"""),"Indonesia")</f>
        <v>Indonesia</v>
      </c>
      <c r="B129" s="7" t="str">
        <f>IFERROR(__xludf.DUMMYFUNCTION("""COMPUTED_VALUE"""),"Terry-Lesch")</f>
        <v>Terry-Lesch</v>
      </c>
      <c r="C129" s="8">
        <f>IFERROR(__xludf.DUMMYFUNCTION("""COMPUTED_VALUE"""),1.18)</f>
        <v>1.18</v>
      </c>
      <c r="D129" s="7">
        <v>2.75501339E8</v>
      </c>
      <c r="E129" s="8">
        <v>3.2509158002E8</v>
      </c>
    </row>
    <row r="130">
      <c r="A130" s="7" t="str">
        <f>IFERROR(__xludf.DUMMYFUNCTION("""COMPUTED_VALUE"""),"China")</f>
        <v>China</v>
      </c>
      <c r="B130" s="7" t="str">
        <f>IFERROR(__xludf.DUMMYFUNCTION("""COMPUTED_VALUE"""),"Tromp Group")</f>
        <v>Tromp Group</v>
      </c>
      <c r="C130" s="8">
        <f>IFERROR(__xludf.DUMMYFUNCTION("""COMPUTED_VALUE"""),1.62)</f>
        <v>1.62</v>
      </c>
      <c r="D130" s="7">
        <v>1.425887337E9</v>
      </c>
      <c r="E130" s="8">
        <v>2.30993748594E9</v>
      </c>
    </row>
    <row r="131">
      <c r="A131" s="7" t="str">
        <f>IFERROR(__xludf.DUMMYFUNCTION("""COMPUTED_VALUE"""),"France")</f>
        <v>France</v>
      </c>
      <c r="B131" s="7" t="str">
        <f>IFERROR(__xludf.DUMMYFUNCTION("""COMPUTED_VALUE"""),"O'Kon and Sons")</f>
        <v>O'Kon and Sons</v>
      </c>
      <c r="C131" s="8">
        <f>IFERROR(__xludf.DUMMYFUNCTION("""COMPUTED_VALUE"""),1.76)</f>
        <v>1.76</v>
      </c>
      <c r="D131" s="7">
        <v>6.4626628E7</v>
      </c>
      <c r="E131" s="8">
        <v>1.1374286528E8</v>
      </c>
    </row>
    <row r="132">
      <c r="A132" s="7" t="str">
        <f>IFERROR(__xludf.DUMMYFUNCTION("""COMPUTED_VALUE"""),"China")</f>
        <v>China</v>
      </c>
      <c r="B132" s="7" t="str">
        <f>IFERROR(__xludf.DUMMYFUNCTION("""COMPUTED_VALUE"""),"Kirlin-Hilll")</f>
        <v>Kirlin-Hilll</v>
      </c>
      <c r="C132" s="8">
        <f>IFERROR(__xludf.DUMMYFUNCTION("""COMPUTED_VALUE"""),1.62)</f>
        <v>1.62</v>
      </c>
      <c r="D132" s="7">
        <v>1.425887337E9</v>
      </c>
      <c r="E132" s="8">
        <v>2.30993748594E9</v>
      </c>
    </row>
    <row r="133">
      <c r="A133" s="7" t="str">
        <f>IFERROR(__xludf.DUMMYFUNCTION("""COMPUTED_VALUE"""),"Spain")</f>
        <v>Spain</v>
      </c>
      <c r="B133" s="7" t="str">
        <f>IFERROR(__xludf.DUMMYFUNCTION("""COMPUTED_VALUE"""),"Hartmann Inc")</f>
        <v>Hartmann Inc</v>
      </c>
      <c r="C133" s="8">
        <f>IFERROR(__xludf.DUMMYFUNCTION("""COMPUTED_VALUE"""),0.96)</f>
        <v>0.96</v>
      </c>
      <c r="D133" s="7">
        <v>4.755863E7</v>
      </c>
      <c r="E133" s="8">
        <v>4.56562848E7</v>
      </c>
    </row>
    <row r="134">
      <c r="A134" s="7" t="str">
        <f>IFERROR(__xludf.DUMMYFUNCTION("""COMPUTED_VALUE"""),"Thailand")</f>
        <v>Thailand</v>
      </c>
      <c r="B134" s="7" t="str">
        <f>IFERROR(__xludf.DUMMYFUNCTION("""COMPUTED_VALUE"""),"Hagenes-Baumbach")</f>
        <v>Hagenes-Baumbach</v>
      </c>
      <c r="C134" s="8">
        <f>IFERROR(__xludf.DUMMYFUNCTION("""COMPUTED_VALUE"""),2.18)</f>
        <v>2.18</v>
      </c>
      <c r="D134" s="7">
        <v>7.169703E7</v>
      </c>
      <c r="E134" s="8">
        <v>1.562995254E8</v>
      </c>
    </row>
    <row r="135">
      <c r="A135" s="7" t="str">
        <f>IFERROR(__xludf.DUMMYFUNCTION("""COMPUTED_VALUE"""),"Russia")</f>
        <v>Russia</v>
      </c>
      <c r="B135" s="7" t="str">
        <f>IFERROR(__xludf.DUMMYFUNCTION("""COMPUTED_VALUE"""),"Hintz-Von")</f>
        <v>Hintz-Von</v>
      </c>
      <c r="C135" s="8">
        <f>IFERROR(__xludf.DUMMYFUNCTION("""COMPUTED_VALUE"""),1.96)</f>
        <v>1.96</v>
      </c>
      <c r="D135" s="7">
        <v>1.44713314E8</v>
      </c>
      <c r="E135" s="8">
        <v>2.8363809544E8</v>
      </c>
    </row>
    <row r="136">
      <c r="A136" s="7" t="str">
        <f>IFERROR(__xludf.DUMMYFUNCTION("""COMPUTED_VALUE"""),"Peru")</f>
        <v>Peru</v>
      </c>
      <c r="B136" s="7" t="str">
        <f>IFERROR(__xludf.DUMMYFUNCTION("""COMPUTED_VALUE"""),"Haley and Sons")</f>
        <v>Haley and Sons</v>
      </c>
      <c r="C136" s="8">
        <f>IFERROR(__xludf.DUMMYFUNCTION("""COMPUTED_VALUE"""),2.09)</f>
        <v>2.09</v>
      </c>
      <c r="D136" s="7">
        <v>3.4049588E7</v>
      </c>
      <c r="E136" s="8">
        <v>7.116363892E7</v>
      </c>
    </row>
    <row r="137">
      <c r="A137" s="7" t="str">
        <f>IFERROR(__xludf.DUMMYFUNCTION("""COMPUTED_VALUE"""),"South Korea")</f>
        <v>South Korea</v>
      </c>
      <c r="B137" s="7" t="str">
        <f>IFERROR(__xludf.DUMMYFUNCTION("""COMPUTED_VALUE"""),"Cassin, Bosco and Mills")</f>
        <v>Cassin, Bosco and Mills</v>
      </c>
      <c r="C137" s="8">
        <f>IFERROR(__xludf.DUMMYFUNCTION("""COMPUTED_VALUE"""),1.35)</f>
        <v>1.35</v>
      </c>
      <c r="D137" s="7">
        <v>5.181581E7</v>
      </c>
      <c r="E137" s="8">
        <v>6.99513435E7</v>
      </c>
    </row>
    <row r="138">
      <c r="A138" s="7" t="str">
        <f>IFERROR(__xludf.DUMMYFUNCTION("""COMPUTED_VALUE"""),"Russia")</f>
        <v>Russia</v>
      </c>
      <c r="B138" s="7" t="str">
        <f>IFERROR(__xludf.DUMMYFUNCTION("""COMPUTED_VALUE"""),"Jacobs, Cremin and Schultz")</f>
        <v>Jacobs, Cremin and Schultz</v>
      </c>
      <c r="C138" s="8">
        <f>IFERROR(__xludf.DUMMYFUNCTION("""COMPUTED_VALUE"""),1.63)</f>
        <v>1.63</v>
      </c>
      <c r="D138" s="7">
        <v>1.44713314E8</v>
      </c>
      <c r="E138" s="8">
        <v>2.3588270182E8</v>
      </c>
    </row>
    <row r="139">
      <c r="A139" s="7" t="str">
        <f>IFERROR(__xludf.DUMMYFUNCTION("""COMPUTED_VALUE"""),"Poland")</f>
        <v>Poland</v>
      </c>
      <c r="B139" s="7" t="str">
        <f>IFERROR(__xludf.DUMMYFUNCTION("""COMPUTED_VALUE"""),"Dooley Group")</f>
        <v>Dooley Group</v>
      </c>
      <c r="C139" s="8">
        <f>IFERROR(__xludf.DUMMYFUNCTION("""COMPUTED_VALUE"""),2.2)</f>
        <v>2.2</v>
      </c>
      <c r="D139" s="7">
        <v>3.9857145E7</v>
      </c>
      <c r="E139" s="8">
        <v>8.7685719E7</v>
      </c>
    </row>
    <row r="140">
      <c r="A140" s="7" t="str">
        <f>IFERROR(__xludf.DUMMYFUNCTION("""COMPUTED_VALUE"""),"Finland")</f>
        <v>Finland</v>
      </c>
      <c r="B140" s="7" t="str">
        <f>IFERROR(__xludf.DUMMYFUNCTION("""COMPUTED_VALUE"""),"Roob Inc")</f>
        <v>Roob Inc</v>
      </c>
      <c r="C140" s="8">
        <f>IFERROR(__xludf.DUMMYFUNCTION("""COMPUTED_VALUE"""),2.06)</f>
        <v>2.06</v>
      </c>
      <c r="D140" s="7">
        <v>5540745.0</v>
      </c>
      <c r="E140" s="8">
        <v>1.1413934700000001E7</v>
      </c>
    </row>
    <row r="141">
      <c r="A141" s="7" t="str">
        <f>IFERROR(__xludf.DUMMYFUNCTION("""COMPUTED_VALUE"""),"South Africa")</f>
        <v>South Africa</v>
      </c>
      <c r="B141" s="7" t="str">
        <f>IFERROR(__xludf.DUMMYFUNCTION("""COMPUTED_VALUE"""),"Bode-Lehner")</f>
        <v>Bode-Lehner</v>
      </c>
      <c r="C141" s="8">
        <f>IFERROR(__xludf.DUMMYFUNCTION("""COMPUTED_VALUE"""),0.92)</f>
        <v>0.92</v>
      </c>
      <c r="D141" s="7">
        <v>5.9893885E7</v>
      </c>
      <c r="E141" s="8">
        <v>5.51023742E7</v>
      </c>
    </row>
    <row r="142">
      <c r="A142" s="7" t="str">
        <f>IFERROR(__xludf.DUMMYFUNCTION("""COMPUTED_VALUE"""),"France")</f>
        <v>France</v>
      </c>
      <c r="B142" s="7" t="str">
        <f>IFERROR(__xludf.DUMMYFUNCTION("""COMPUTED_VALUE"""),"Schaden Group")</f>
        <v>Schaden Group</v>
      </c>
      <c r="C142" s="8">
        <f>IFERROR(__xludf.DUMMYFUNCTION("""COMPUTED_VALUE"""),2.19)</f>
        <v>2.19</v>
      </c>
      <c r="D142" s="7">
        <v>6.4626628E7</v>
      </c>
      <c r="E142" s="8">
        <v>1.4153231532E8</v>
      </c>
    </row>
    <row r="143">
      <c r="A143" s="7" t="str">
        <f>IFERROR(__xludf.DUMMYFUNCTION("""COMPUTED_VALUE"""),"France")</f>
        <v>France</v>
      </c>
      <c r="B143" s="7" t="str">
        <f>IFERROR(__xludf.DUMMYFUNCTION("""COMPUTED_VALUE"""),"Cruickshank Inc")</f>
        <v>Cruickshank Inc</v>
      </c>
      <c r="C143" s="8">
        <f>IFERROR(__xludf.DUMMYFUNCTION("""COMPUTED_VALUE"""),2.13)</f>
        <v>2.13</v>
      </c>
      <c r="D143" s="7">
        <v>6.4626628E7</v>
      </c>
      <c r="E143" s="8">
        <v>1.3765471764E8</v>
      </c>
    </row>
    <row r="144">
      <c r="A144" s="7" t="str">
        <f>IFERROR(__xludf.DUMMYFUNCTION("""COMPUTED_VALUE"""),"China")</f>
        <v>China</v>
      </c>
      <c r="B144" s="7" t="str">
        <f>IFERROR(__xludf.DUMMYFUNCTION("""COMPUTED_VALUE"""),"Goodwin-Halvorson")</f>
        <v>Goodwin-Halvorson</v>
      </c>
      <c r="C144" s="8">
        <f>IFERROR(__xludf.DUMMYFUNCTION("""COMPUTED_VALUE"""),1.34)</f>
        <v>1.34</v>
      </c>
      <c r="D144" s="7">
        <v>1.425887337E9</v>
      </c>
      <c r="E144" s="8">
        <v>1.9106890315800002E9</v>
      </c>
    </row>
    <row r="145">
      <c r="A145" s="7" t="str">
        <f>IFERROR(__xludf.DUMMYFUNCTION("""COMPUTED_VALUE"""),"China")</f>
        <v>China</v>
      </c>
      <c r="B145" s="7" t="str">
        <f>IFERROR(__xludf.DUMMYFUNCTION("""COMPUTED_VALUE"""),"Price-McGlynn")</f>
        <v>Price-McGlynn</v>
      </c>
      <c r="C145" s="8">
        <f>IFERROR(__xludf.DUMMYFUNCTION("""COMPUTED_VALUE"""),1.69)</f>
        <v>1.69</v>
      </c>
      <c r="D145" s="7">
        <v>1.425887337E9</v>
      </c>
      <c r="E145" s="8">
        <v>2.4097495995299997E9</v>
      </c>
    </row>
    <row r="146">
      <c r="A146" s="7" t="str">
        <f>IFERROR(__xludf.DUMMYFUNCTION("""COMPUTED_VALUE"""),"Tunisia")</f>
        <v>Tunisia</v>
      </c>
      <c r="B146" s="7" t="str">
        <f>IFERROR(__xludf.DUMMYFUNCTION("""COMPUTED_VALUE"""),"Hermiston Inc")</f>
        <v>Hermiston Inc</v>
      </c>
      <c r="C146" s="8">
        <f>IFERROR(__xludf.DUMMYFUNCTION("""COMPUTED_VALUE"""),0.97)</f>
        <v>0.97</v>
      </c>
      <c r="D146" s="7">
        <v>1.2356117E7</v>
      </c>
      <c r="E146" s="8">
        <v>1.198543349E7</v>
      </c>
    </row>
    <row r="147">
      <c r="A147" s="7" t="str">
        <f>IFERROR(__xludf.DUMMYFUNCTION("""COMPUTED_VALUE"""),"China")</f>
        <v>China</v>
      </c>
      <c r="B147" s="7" t="str">
        <f>IFERROR(__xludf.DUMMYFUNCTION("""COMPUTED_VALUE"""),"Bailey Inc")</f>
        <v>Bailey Inc</v>
      </c>
      <c r="C147" s="8">
        <f>IFERROR(__xludf.DUMMYFUNCTION("""COMPUTED_VALUE"""),1.73)</f>
        <v>1.73</v>
      </c>
      <c r="D147" s="7">
        <v>1.425887337E9</v>
      </c>
      <c r="E147" s="8">
        <v>2.4667850930099998E9</v>
      </c>
    </row>
    <row r="148">
      <c r="A148" s="7" t="str">
        <f>IFERROR(__xludf.DUMMYFUNCTION("""COMPUTED_VALUE"""),"Czech Republic")</f>
        <v>Czech Republic</v>
      </c>
      <c r="B148" s="7" t="str">
        <f>IFERROR(__xludf.DUMMYFUNCTION("""COMPUTED_VALUE"""),"Bogisich-Ortiz")</f>
        <v>Bogisich-Ortiz</v>
      </c>
      <c r="C148" s="8">
        <f>IFERROR(__xludf.DUMMYFUNCTION("""COMPUTED_VALUE"""),1.56)</f>
        <v>1.56</v>
      </c>
      <c r="D148" s="7">
        <v>1.0493986E7</v>
      </c>
      <c r="E148" s="8">
        <v>1.637061816E7</v>
      </c>
    </row>
    <row r="149">
      <c r="A149" s="7" t="str">
        <f>IFERROR(__xludf.DUMMYFUNCTION("""COMPUTED_VALUE"""),"Ireland")</f>
        <v>Ireland</v>
      </c>
      <c r="B149" s="7" t="str">
        <f>IFERROR(__xludf.DUMMYFUNCTION("""COMPUTED_VALUE"""),"Carter-Corwin")</f>
        <v>Carter-Corwin</v>
      </c>
      <c r="C149" s="8">
        <f>IFERROR(__xludf.DUMMYFUNCTION("""COMPUTED_VALUE"""),1.04)</f>
        <v>1.04</v>
      </c>
      <c r="D149" s="7">
        <v>5023109.0</v>
      </c>
      <c r="E149" s="8">
        <v>5224033.36</v>
      </c>
    </row>
    <row r="150">
      <c r="A150" s="7" t="str">
        <f>IFERROR(__xludf.DUMMYFUNCTION("""COMPUTED_VALUE"""),"China")</f>
        <v>China</v>
      </c>
      <c r="B150" s="7" t="str">
        <f>IFERROR(__xludf.DUMMYFUNCTION("""COMPUTED_VALUE"""),"Rippin, Wehner and Cole")</f>
        <v>Rippin, Wehner and Cole</v>
      </c>
      <c r="C150" s="8">
        <f>IFERROR(__xludf.DUMMYFUNCTION("""COMPUTED_VALUE"""),1.0)</f>
        <v>1</v>
      </c>
      <c r="D150" s="7">
        <v>1.425887337E9</v>
      </c>
      <c r="E150" s="8">
        <v>1.425887337E9</v>
      </c>
    </row>
    <row r="151">
      <c r="A151" s="7" t="str">
        <f>IFERROR(__xludf.DUMMYFUNCTION("""COMPUTED_VALUE"""),"Argentina")</f>
        <v>Argentina</v>
      </c>
      <c r="B151" s="7" t="str">
        <f>IFERROR(__xludf.DUMMYFUNCTION("""COMPUTED_VALUE"""),"Wolff LLC")</f>
        <v>Wolff LLC</v>
      </c>
      <c r="C151" s="8">
        <f>IFERROR(__xludf.DUMMYFUNCTION("""COMPUTED_VALUE"""),1.35)</f>
        <v>1.35</v>
      </c>
      <c r="D151" s="7">
        <v>4.5510318E7</v>
      </c>
      <c r="E151" s="8">
        <v>6.1438929300000004E7</v>
      </c>
    </row>
    <row r="152">
      <c r="A152" s="7" t="str">
        <f>IFERROR(__xludf.DUMMYFUNCTION("""COMPUTED_VALUE"""),"China")</f>
        <v>China</v>
      </c>
      <c r="B152" s="7" t="str">
        <f>IFERROR(__xludf.DUMMYFUNCTION("""COMPUTED_VALUE"""),"Cremin, Cummings and Kuhn")</f>
        <v>Cremin, Cummings and Kuhn</v>
      </c>
      <c r="C152" s="8">
        <f>IFERROR(__xludf.DUMMYFUNCTION("""COMPUTED_VALUE"""),0.98)</f>
        <v>0.98</v>
      </c>
      <c r="D152" s="7">
        <v>1.425887337E9</v>
      </c>
      <c r="E152" s="8">
        <v>1.39736959026E9</v>
      </c>
    </row>
    <row r="153">
      <c r="A153" s="7" t="str">
        <f>IFERROR(__xludf.DUMMYFUNCTION("""COMPUTED_VALUE"""),"China")</f>
        <v>China</v>
      </c>
      <c r="B153" s="7" t="str">
        <f>IFERROR(__xludf.DUMMYFUNCTION("""COMPUTED_VALUE"""),"Jast Group")</f>
        <v>Jast Group</v>
      </c>
      <c r="C153" s="8">
        <f>IFERROR(__xludf.DUMMYFUNCTION("""COMPUTED_VALUE"""),1.89)</f>
        <v>1.89</v>
      </c>
      <c r="D153" s="7">
        <v>1.425887337E9</v>
      </c>
      <c r="E153" s="8">
        <v>2.69492706693E9</v>
      </c>
    </row>
    <row r="154">
      <c r="A154" s="7" t="str">
        <f>IFERROR(__xludf.DUMMYFUNCTION("""COMPUTED_VALUE"""),"Brazil")</f>
        <v>Brazil</v>
      </c>
      <c r="B154" s="7" t="str">
        <f>IFERROR(__xludf.DUMMYFUNCTION("""COMPUTED_VALUE"""),"Little, Heidenreich and Weissnat")</f>
        <v>Little, Heidenreich and Weissnat</v>
      </c>
      <c r="C154" s="8">
        <f>IFERROR(__xludf.DUMMYFUNCTION("""COMPUTED_VALUE"""),1.12)</f>
        <v>1.12</v>
      </c>
      <c r="D154" s="7">
        <v>2.15313498E8</v>
      </c>
      <c r="E154" s="8">
        <v>2.4115111776000002E8</v>
      </c>
    </row>
    <row r="155">
      <c r="A155" s="7" t="str">
        <f>IFERROR(__xludf.DUMMYFUNCTION("""COMPUTED_VALUE"""),"Indonesia")</f>
        <v>Indonesia</v>
      </c>
      <c r="B155" s="7" t="str">
        <f>IFERROR(__xludf.DUMMYFUNCTION("""COMPUTED_VALUE"""),"Fahey Group")</f>
        <v>Fahey Group</v>
      </c>
      <c r="C155" s="8">
        <f>IFERROR(__xludf.DUMMYFUNCTION("""COMPUTED_VALUE"""),1.89)</f>
        <v>1.89</v>
      </c>
      <c r="D155" s="7">
        <v>2.75501339E8</v>
      </c>
      <c r="E155" s="8">
        <v>5.2069753071E8</v>
      </c>
    </row>
    <row r="156">
      <c r="A156" s="7" t="str">
        <f>IFERROR(__xludf.DUMMYFUNCTION("""COMPUTED_VALUE"""),"China")</f>
        <v>China</v>
      </c>
      <c r="B156" s="7" t="str">
        <f>IFERROR(__xludf.DUMMYFUNCTION("""COMPUTED_VALUE"""),"Gutkowski-Batz")</f>
        <v>Gutkowski-Batz</v>
      </c>
      <c r="C156" s="8">
        <f>IFERROR(__xludf.DUMMYFUNCTION("""COMPUTED_VALUE"""),1.15)</f>
        <v>1.15</v>
      </c>
      <c r="D156" s="7">
        <v>1.425887337E9</v>
      </c>
      <c r="E156" s="8">
        <v>1.63977043755E9</v>
      </c>
    </row>
    <row r="157">
      <c r="A157" s="7" t="str">
        <f>IFERROR(__xludf.DUMMYFUNCTION("""COMPUTED_VALUE"""),"Uruguay")</f>
        <v>Uruguay</v>
      </c>
      <c r="B157" s="7" t="str">
        <f>IFERROR(__xludf.DUMMYFUNCTION("""COMPUTED_VALUE"""),"Bernier, King and Jenkins")</f>
        <v>Bernier, King and Jenkins</v>
      </c>
      <c r="C157" s="8">
        <f>IFERROR(__xludf.DUMMYFUNCTION("""COMPUTED_VALUE"""),2.03)</f>
        <v>2.03</v>
      </c>
      <c r="D157" s="7">
        <v>3422794.0</v>
      </c>
      <c r="E157" s="8">
        <v>6948271.819999999</v>
      </c>
    </row>
    <row r="158">
      <c r="A158" s="7" t="str">
        <f>IFERROR(__xludf.DUMMYFUNCTION("""COMPUTED_VALUE"""),"Poland")</f>
        <v>Poland</v>
      </c>
      <c r="B158" s="7" t="str">
        <f>IFERROR(__xludf.DUMMYFUNCTION("""COMPUTED_VALUE"""),"Yundt-Glover")</f>
        <v>Yundt-Glover</v>
      </c>
      <c r="C158" s="8">
        <f>IFERROR(__xludf.DUMMYFUNCTION("""COMPUTED_VALUE"""),1.22)</f>
        <v>1.22</v>
      </c>
      <c r="D158" s="7">
        <v>3.9857145E7</v>
      </c>
      <c r="E158" s="8">
        <v>4.86257169E7</v>
      </c>
    </row>
    <row r="159">
      <c r="A159" s="7" t="str">
        <f>IFERROR(__xludf.DUMMYFUNCTION("""COMPUTED_VALUE"""),"China")</f>
        <v>China</v>
      </c>
      <c r="B159" s="7" t="str">
        <f>IFERROR(__xludf.DUMMYFUNCTION("""COMPUTED_VALUE"""),"Hegmann-Bailey")</f>
        <v>Hegmann-Bailey</v>
      </c>
      <c r="C159" s="8">
        <f>IFERROR(__xludf.DUMMYFUNCTION("""COMPUTED_VALUE"""),2.2)</f>
        <v>2.2</v>
      </c>
      <c r="D159" s="7">
        <v>1.425887337E9</v>
      </c>
      <c r="E159" s="8">
        <v>3.1369521414E9</v>
      </c>
    </row>
    <row r="160">
      <c r="A160" s="7" t="str">
        <f>IFERROR(__xludf.DUMMYFUNCTION("""COMPUTED_VALUE"""),"China")</f>
        <v>China</v>
      </c>
      <c r="B160" s="7" t="str">
        <f>IFERROR(__xludf.DUMMYFUNCTION("""COMPUTED_VALUE"""),"West, Leannon and Dooley")</f>
        <v>West, Leannon and Dooley</v>
      </c>
      <c r="C160" s="8">
        <f>IFERROR(__xludf.DUMMYFUNCTION("""COMPUTED_VALUE"""),1.85)</f>
        <v>1.85</v>
      </c>
      <c r="D160" s="7">
        <v>1.425887337E9</v>
      </c>
      <c r="E160" s="8">
        <v>2.6378915734500003E9</v>
      </c>
    </row>
    <row r="161">
      <c r="A161" s="7" t="str">
        <f>IFERROR(__xludf.DUMMYFUNCTION("""COMPUTED_VALUE"""),"Indonesia")</f>
        <v>Indonesia</v>
      </c>
      <c r="B161" s="7" t="str">
        <f>IFERROR(__xludf.DUMMYFUNCTION("""COMPUTED_VALUE"""),"Fahey, Casper and VonRueden")</f>
        <v>Fahey, Casper and VonRueden</v>
      </c>
      <c r="C161" s="8">
        <f>IFERROR(__xludf.DUMMYFUNCTION("""COMPUTED_VALUE"""),1.06)</f>
        <v>1.06</v>
      </c>
      <c r="D161" s="7">
        <v>2.75501339E8</v>
      </c>
      <c r="E161" s="8">
        <v>2.9203141934000003E8</v>
      </c>
    </row>
    <row r="162">
      <c r="A162" s="7" t="str">
        <f>IFERROR(__xludf.DUMMYFUNCTION("""COMPUTED_VALUE"""),"Greece")</f>
        <v>Greece</v>
      </c>
      <c r="B162" s="7" t="str">
        <f>IFERROR(__xludf.DUMMYFUNCTION("""COMPUTED_VALUE"""),"Von-Ruecker")</f>
        <v>Von-Ruecker</v>
      </c>
      <c r="C162" s="8">
        <f>IFERROR(__xludf.DUMMYFUNCTION("""COMPUTED_VALUE"""),1.21)</f>
        <v>1.21</v>
      </c>
      <c r="D162" s="7">
        <v>1.0384971E7</v>
      </c>
      <c r="E162" s="8">
        <v>1.256581491E7</v>
      </c>
    </row>
    <row r="163">
      <c r="A163" s="7" t="str">
        <f>IFERROR(__xludf.DUMMYFUNCTION("""COMPUTED_VALUE"""),"China")</f>
        <v>China</v>
      </c>
      <c r="B163" s="7" t="str">
        <f>IFERROR(__xludf.DUMMYFUNCTION("""COMPUTED_VALUE"""),"Pagac-Hansen")</f>
        <v>Pagac-Hansen</v>
      </c>
      <c r="C163" s="8">
        <f>IFERROR(__xludf.DUMMYFUNCTION("""COMPUTED_VALUE"""),1.53)</f>
        <v>1.53</v>
      </c>
      <c r="D163" s="7">
        <v>1.425887337E9</v>
      </c>
      <c r="E163" s="8">
        <v>2.18160762561E9</v>
      </c>
    </row>
    <row r="164">
      <c r="A164" s="7" t="str">
        <f>IFERROR(__xludf.DUMMYFUNCTION("""COMPUTED_VALUE"""),"Armenia")</f>
        <v>Armenia</v>
      </c>
      <c r="B164" s="7" t="str">
        <f>IFERROR(__xludf.DUMMYFUNCTION("""COMPUTED_VALUE"""),"Mitchell, Reilly and Reichel")</f>
        <v>Mitchell, Reilly and Reichel</v>
      </c>
      <c r="C164" s="8">
        <f>IFERROR(__xludf.DUMMYFUNCTION("""COMPUTED_VALUE"""),1.45)</f>
        <v>1.45</v>
      </c>
      <c r="D164" s="7">
        <v>2780469.0</v>
      </c>
      <c r="E164" s="8">
        <v>4031680.05</v>
      </c>
    </row>
    <row r="165">
      <c r="A165" s="7" t="str">
        <f>IFERROR(__xludf.DUMMYFUNCTION("""COMPUTED_VALUE"""),"Ukraine")</f>
        <v>Ukraine</v>
      </c>
      <c r="B165" s="7" t="str">
        <f>IFERROR(__xludf.DUMMYFUNCTION("""COMPUTED_VALUE"""),"Prosacco-Reichert")</f>
        <v>Prosacco-Reichert</v>
      </c>
      <c r="C165" s="8">
        <f>IFERROR(__xludf.DUMMYFUNCTION("""COMPUTED_VALUE"""),1.0)</f>
        <v>1</v>
      </c>
      <c r="D165" s="7">
        <v>3.9701739E7</v>
      </c>
      <c r="E165" s="8">
        <v>3.9701739E7</v>
      </c>
    </row>
    <row r="166">
      <c r="A166" s="7" t="str">
        <f>IFERROR(__xludf.DUMMYFUNCTION("""COMPUTED_VALUE"""),"Russia")</f>
        <v>Russia</v>
      </c>
      <c r="B166" s="7" t="str">
        <f>IFERROR(__xludf.DUMMYFUNCTION("""COMPUTED_VALUE"""),"Sauer, Bruen and Bogisich")</f>
        <v>Sauer, Bruen and Bogisich</v>
      </c>
      <c r="C166" s="8">
        <f>IFERROR(__xludf.DUMMYFUNCTION("""COMPUTED_VALUE"""),1.74)</f>
        <v>1.74</v>
      </c>
      <c r="D166" s="7">
        <v>1.44713314E8</v>
      </c>
      <c r="E166" s="8">
        <v>2.5180116635999998E8</v>
      </c>
    </row>
    <row r="167">
      <c r="A167" s="7" t="str">
        <f>IFERROR(__xludf.DUMMYFUNCTION("""COMPUTED_VALUE"""),"China")</f>
        <v>China</v>
      </c>
      <c r="B167" s="7" t="str">
        <f>IFERROR(__xludf.DUMMYFUNCTION("""COMPUTED_VALUE"""),"Hickle-Cummerata")</f>
        <v>Hickle-Cummerata</v>
      </c>
      <c r="C167" s="8">
        <f>IFERROR(__xludf.DUMMYFUNCTION("""COMPUTED_VALUE"""),1.85)</f>
        <v>1.85</v>
      </c>
      <c r="D167" s="7">
        <v>1.425887337E9</v>
      </c>
      <c r="E167" s="8">
        <v>2.6378915734500003E9</v>
      </c>
    </row>
    <row r="168">
      <c r="A168" s="7" t="str">
        <f>IFERROR(__xludf.DUMMYFUNCTION("""COMPUTED_VALUE"""),"Indonesia")</f>
        <v>Indonesia</v>
      </c>
      <c r="B168" s="7" t="str">
        <f>IFERROR(__xludf.DUMMYFUNCTION("""COMPUTED_VALUE"""),"Block Inc")</f>
        <v>Block Inc</v>
      </c>
      <c r="C168" s="8">
        <f>IFERROR(__xludf.DUMMYFUNCTION("""COMPUTED_VALUE"""),1.2)</f>
        <v>1.2</v>
      </c>
      <c r="D168" s="7">
        <v>2.75501339E8</v>
      </c>
      <c r="E168" s="8">
        <v>3.306016068E8</v>
      </c>
    </row>
    <row r="169">
      <c r="A169" s="7" t="str">
        <f>IFERROR(__xludf.DUMMYFUNCTION("""COMPUTED_VALUE"""),"China")</f>
        <v>China</v>
      </c>
      <c r="B169" s="7" t="str">
        <f>IFERROR(__xludf.DUMMYFUNCTION("""COMPUTED_VALUE"""),"Steuber-Stamm")</f>
        <v>Steuber-Stamm</v>
      </c>
      <c r="C169" s="8">
        <f>IFERROR(__xludf.DUMMYFUNCTION("""COMPUTED_VALUE"""),2.21)</f>
        <v>2.21</v>
      </c>
      <c r="D169" s="7">
        <v>1.425887337E9</v>
      </c>
      <c r="E169" s="8">
        <v>3.15121101477E9</v>
      </c>
    </row>
    <row r="170">
      <c r="A170" s="7" t="str">
        <f>IFERROR(__xludf.DUMMYFUNCTION("""COMPUTED_VALUE"""),"Peru")</f>
        <v>Peru</v>
      </c>
      <c r="B170" s="7" t="str">
        <f>IFERROR(__xludf.DUMMYFUNCTION("""COMPUTED_VALUE"""),"Weber Inc")</f>
        <v>Weber Inc</v>
      </c>
      <c r="C170" s="8">
        <f>IFERROR(__xludf.DUMMYFUNCTION("""COMPUTED_VALUE"""),2.13)</f>
        <v>2.13</v>
      </c>
      <c r="D170" s="7">
        <v>3.4049588E7</v>
      </c>
      <c r="E170" s="8">
        <v>7.252562244E7</v>
      </c>
    </row>
    <row r="171">
      <c r="A171" s="7" t="str">
        <f>IFERROR(__xludf.DUMMYFUNCTION("""COMPUTED_VALUE"""),"China")</f>
        <v>China</v>
      </c>
      <c r="B171" s="7" t="str">
        <f>IFERROR(__xludf.DUMMYFUNCTION("""COMPUTED_VALUE"""),"Murphy, Homenick and Larson")</f>
        <v>Murphy, Homenick and Larson</v>
      </c>
      <c r="C171" s="8">
        <f>IFERROR(__xludf.DUMMYFUNCTION("""COMPUTED_VALUE"""),1.2)</f>
        <v>1.2</v>
      </c>
      <c r="D171" s="7">
        <v>1.425887337E9</v>
      </c>
      <c r="E171" s="8">
        <v>1.7110648043999999E9</v>
      </c>
    </row>
    <row r="172">
      <c r="A172" s="7" t="str">
        <f>IFERROR(__xludf.DUMMYFUNCTION("""COMPUTED_VALUE"""),"Belarus")</f>
        <v>Belarus</v>
      </c>
      <c r="B172" s="7" t="str">
        <f>IFERROR(__xludf.DUMMYFUNCTION("""COMPUTED_VALUE"""),"Ullrich, Mueller and Schowalter")</f>
        <v>Ullrich, Mueller and Schowalter</v>
      </c>
      <c r="C172" s="8">
        <f>IFERROR(__xludf.DUMMYFUNCTION("""COMPUTED_VALUE"""),2.15)</f>
        <v>2.15</v>
      </c>
      <c r="D172" s="7">
        <v>9534954.0</v>
      </c>
      <c r="E172" s="8">
        <v>2.0500151099999998E7</v>
      </c>
    </row>
    <row r="173">
      <c r="A173" s="7" t="str">
        <f>IFERROR(__xludf.DUMMYFUNCTION("""COMPUTED_VALUE"""),"China")</f>
        <v>China</v>
      </c>
      <c r="B173" s="7" t="str">
        <f>IFERROR(__xludf.DUMMYFUNCTION("""COMPUTED_VALUE"""),"Lockman-Koepp")</f>
        <v>Lockman-Koepp</v>
      </c>
      <c r="C173" s="8">
        <f>IFERROR(__xludf.DUMMYFUNCTION("""COMPUTED_VALUE"""),1.58)</f>
        <v>1.58</v>
      </c>
      <c r="D173" s="7">
        <v>1.425887337E9</v>
      </c>
      <c r="E173" s="8">
        <v>2.25290199246E9</v>
      </c>
    </row>
    <row r="174">
      <c r="A174" s="7" t="str">
        <f>IFERROR(__xludf.DUMMYFUNCTION("""COMPUTED_VALUE"""),"Venezuela")</f>
        <v>Venezuela</v>
      </c>
      <c r="B174" s="7" t="str">
        <f>IFERROR(__xludf.DUMMYFUNCTION("""COMPUTED_VALUE"""),"McLaughlin-McCullough")</f>
        <v>McLaughlin-McCullough</v>
      </c>
      <c r="C174" s="8">
        <f>IFERROR(__xludf.DUMMYFUNCTION("""COMPUTED_VALUE"""),1.81)</f>
        <v>1.81</v>
      </c>
      <c r="D174" s="7">
        <v>2.8301696E7</v>
      </c>
      <c r="E174" s="8">
        <v>5.122606976E7</v>
      </c>
    </row>
    <row r="175">
      <c r="A175" s="7" t="str">
        <f>IFERROR(__xludf.DUMMYFUNCTION("""COMPUTED_VALUE"""),"Guatemala")</f>
        <v>Guatemala</v>
      </c>
      <c r="B175" s="7" t="str">
        <f>IFERROR(__xludf.DUMMYFUNCTION("""COMPUTED_VALUE"""),"Nitzsche and Sons")</f>
        <v>Nitzsche and Sons</v>
      </c>
      <c r="C175" s="8">
        <f>IFERROR(__xludf.DUMMYFUNCTION("""COMPUTED_VALUE"""),1.81)</f>
        <v>1.81</v>
      </c>
      <c r="D175" s="7">
        <v>1.7843908E7</v>
      </c>
      <c r="E175" s="8">
        <v>3.229747348E7</v>
      </c>
    </row>
    <row r="176">
      <c r="A176" s="7" t="str">
        <f>IFERROR(__xludf.DUMMYFUNCTION("""COMPUTED_VALUE"""),"Philippines")</f>
        <v>Philippines</v>
      </c>
      <c r="B176" s="7" t="str">
        <f>IFERROR(__xludf.DUMMYFUNCTION("""COMPUTED_VALUE"""),"Hoppe, Frami and Windler")</f>
        <v>Hoppe, Frami and Windler</v>
      </c>
      <c r="C176" s="8">
        <f>IFERROR(__xludf.DUMMYFUNCTION("""COMPUTED_VALUE"""),1.31)</f>
        <v>1.31</v>
      </c>
      <c r="D176" s="7">
        <v>1.15559009E8</v>
      </c>
      <c r="E176" s="8">
        <v>1.5138230179E8</v>
      </c>
    </row>
    <row r="177">
      <c r="A177" s="7" t="str">
        <f>IFERROR(__xludf.DUMMYFUNCTION("""COMPUTED_VALUE"""),"Thailand")</f>
        <v>Thailand</v>
      </c>
      <c r="B177" s="7" t="str">
        <f>IFERROR(__xludf.DUMMYFUNCTION("""COMPUTED_VALUE"""),"Mann, Hackett and Tremblay")</f>
        <v>Mann, Hackett and Tremblay</v>
      </c>
      <c r="C177" s="8">
        <f>IFERROR(__xludf.DUMMYFUNCTION("""COMPUTED_VALUE"""),1.99)</f>
        <v>1.99</v>
      </c>
      <c r="D177" s="7">
        <v>7.169703E7</v>
      </c>
      <c r="E177" s="8">
        <v>1.426770897E8</v>
      </c>
    </row>
    <row r="178">
      <c r="A178" s="7" t="str">
        <f>IFERROR(__xludf.DUMMYFUNCTION("""COMPUTED_VALUE"""),"Colombia")</f>
        <v>Colombia</v>
      </c>
      <c r="B178" s="7" t="str">
        <f>IFERROR(__xludf.DUMMYFUNCTION("""COMPUTED_VALUE"""),"Prosacco and Sons")</f>
        <v>Prosacco and Sons</v>
      </c>
      <c r="C178" s="8">
        <f>IFERROR(__xludf.DUMMYFUNCTION("""COMPUTED_VALUE"""),2.0)</f>
        <v>2</v>
      </c>
      <c r="D178" s="7">
        <v>5.1874024E7</v>
      </c>
      <c r="E178" s="8">
        <v>1.03748048E8</v>
      </c>
    </row>
    <row r="179">
      <c r="A179" s="7" t="str">
        <f>IFERROR(__xludf.DUMMYFUNCTION("""COMPUTED_VALUE"""),"Namibia")</f>
        <v>Namibia</v>
      </c>
      <c r="B179" s="7" t="str">
        <f>IFERROR(__xludf.DUMMYFUNCTION("""COMPUTED_VALUE"""),"Mraz-Rogahn")</f>
        <v>Mraz-Rogahn</v>
      </c>
      <c r="C179" s="8">
        <f>IFERROR(__xludf.DUMMYFUNCTION("""COMPUTED_VALUE"""),1.33)</f>
        <v>1.33</v>
      </c>
      <c r="D179" s="7">
        <v>2567012.0</v>
      </c>
      <c r="E179" s="8">
        <v>3414125.96</v>
      </c>
    </row>
    <row r="180">
      <c r="A180" s="7" t="str">
        <f>IFERROR(__xludf.DUMMYFUNCTION("""COMPUTED_VALUE"""),"Saudi Arabia")</f>
        <v>Saudi Arabia</v>
      </c>
      <c r="B180" s="7" t="str">
        <f>IFERROR(__xludf.DUMMYFUNCTION("""COMPUTED_VALUE"""),"Larkin LLC")</f>
        <v>Larkin LLC</v>
      </c>
      <c r="C180" s="8">
        <f>IFERROR(__xludf.DUMMYFUNCTION("""COMPUTED_VALUE"""),1.0)</f>
        <v>1</v>
      </c>
      <c r="D180" s="7">
        <v>3.640882E7</v>
      </c>
      <c r="E180" s="8">
        <v>3.640882E7</v>
      </c>
    </row>
    <row r="181">
      <c r="A181" s="7" t="str">
        <f>IFERROR(__xludf.DUMMYFUNCTION("""COMPUTED_VALUE"""),"South Africa")</f>
        <v>South Africa</v>
      </c>
      <c r="B181" s="7" t="str">
        <f>IFERROR(__xludf.DUMMYFUNCTION("""COMPUTED_VALUE"""),"Wiegand-Mueller")</f>
        <v>Wiegand-Mueller</v>
      </c>
      <c r="C181" s="8">
        <f>IFERROR(__xludf.DUMMYFUNCTION("""COMPUTED_VALUE"""),1.7)</f>
        <v>1.7</v>
      </c>
      <c r="D181" s="7">
        <v>5.9893885E7</v>
      </c>
      <c r="E181" s="8">
        <v>1.018196045E8</v>
      </c>
    </row>
    <row r="182">
      <c r="A182" s="7" t="str">
        <f>IFERROR(__xludf.DUMMYFUNCTION("""COMPUTED_VALUE"""),"China")</f>
        <v>China</v>
      </c>
      <c r="B182" s="7" t="str">
        <f>IFERROR(__xludf.DUMMYFUNCTION("""COMPUTED_VALUE"""),"Schulist-Prohaska")</f>
        <v>Schulist-Prohaska</v>
      </c>
      <c r="C182" s="8">
        <f>IFERROR(__xludf.DUMMYFUNCTION("""COMPUTED_VALUE"""),2.06)</f>
        <v>2.06</v>
      </c>
      <c r="D182" s="7">
        <v>1.425887337E9</v>
      </c>
      <c r="E182" s="8">
        <v>2.9373279142200003E9</v>
      </c>
    </row>
    <row r="183">
      <c r="A183" s="7" t="str">
        <f>IFERROR(__xludf.DUMMYFUNCTION("""COMPUTED_VALUE"""),"Nauru")</f>
        <v>Nauru</v>
      </c>
      <c r="B183" s="7" t="str">
        <f>IFERROR(__xludf.DUMMYFUNCTION("""COMPUTED_VALUE"""),"Brown, Moen and Feeney")</f>
        <v>Brown, Moen and Feeney</v>
      </c>
      <c r="C183" s="8">
        <f>IFERROR(__xludf.DUMMYFUNCTION("""COMPUTED_VALUE"""),0.94)</f>
        <v>0.94</v>
      </c>
      <c r="D183" s="7">
        <v>12668.0</v>
      </c>
      <c r="E183" s="8">
        <v>11907.92</v>
      </c>
    </row>
    <row r="184">
      <c r="A184" s="7" t="str">
        <f>IFERROR(__xludf.DUMMYFUNCTION("""COMPUTED_VALUE"""),"Greece")</f>
        <v>Greece</v>
      </c>
      <c r="B184" s="7" t="str">
        <f>IFERROR(__xludf.DUMMYFUNCTION("""COMPUTED_VALUE"""),"Mraz-Huels")</f>
        <v>Mraz-Huels</v>
      </c>
      <c r="C184" s="8">
        <f>IFERROR(__xludf.DUMMYFUNCTION("""COMPUTED_VALUE"""),1.94)</f>
        <v>1.94</v>
      </c>
      <c r="D184" s="7">
        <v>1.0384971E7</v>
      </c>
      <c r="E184" s="8">
        <v>2.014684374E7</v>
      </c>
    </row>
    <row r="185">
      <c r="A185" s="7" t="str">
        <f>IFERROR(__xludf.DUMMYFUNCTION("""COMPUTED_VALUE"""),"Indonesia")</f>
        <v>Indonesia</v>
      </c>
      <c r="B185" s="7" t="str">
        <f>IFERROR(__xludf.DUMMYFUNCTION("""COMPUTED_VALUE"""),"Jakubowski-Gibson")</f>
        <v>Jakubowski-Gibson</v>
      </c>
      <c r="C185" s="8">
        <f>IFERROR(__xludf.DUMMYFUNCTION("""COMPUTED_VALUE"""),1.53)</f>
        <v>1.53</v>
      </c>
      <c r="D185" s="7">
        <v>2.75501339E8</v>
      </c>
      <c r="E185" s="8">
        <v>4.2151704867E8</v>
      </c>
    </row>
    <row r="186">
      <c r="A186" s="7" t="str">
        <f>IFERROR(__xludf.DUMMYFUNCTION("""COMPUTED_VALUE"""),"China")</f>
        <v>China</v>
      </c>
      <c r="B186" s="7" t="str">
        <f>IFERROR(__xludf.DUMMYFUNCTION("""COMPUTED_VALUE"""),"Zboncak-Hammes")</f>
        <v>Zboncak-Hammes</v>
      </c>
      <c r="C186" s="8">
        <f>IFERROR(__xludf.DUMMYFUNCTION("""COMPUTED_VALUE"""),1.37)</f>
        <v>1.37</v>
      </c>
      <c r="D186" s="7">
        <v>1.425887337E9</v>
      </c>
      <c r="E186" s="8">
        <v>1.95346565169E9</v>
      </c>
    </row>
    <row r="187">
      <c r="A187" s="7" t="str">
        <f>IFERROR(__xludf.DUMMYFUNCTION("""COMPUTED_VALUE"""),"Peru")</f>
        <v>Peru</v>
      </c>
      <c r="B187" s="7" t="str">
        <f>IFERROR(__xludf.DUMMYFUNCTION("""COMPUTED_VALUE"""),"Welch, Wintheiser and Durgan")</f>
        <v>Welch, Wintheiser and Durgan</v>
      </c>
      <c r="C187" s="8">
        <f>IFERROR(__xludf.DUMMYFUNCTION("""COMPUTED_VALUE"""),1.51)</f>
        <v>1.51</v>
      </c>
      <c r="D187" s="7">
        <v>3.4049588E7</v>
      </c>
      <c r="E187" s="8">
        <v>5.141487788E7</v>
      </c>
    </row>
    <row r="188">
      <c r="A188" s="7" t="str">
        <f>IFERROR(__xludf.DUMMYFUNCTION("""COMPUTED_VALUE"""),"Czech Republic")</f>
        <v>Czech Republic</v>
      </c>
      <c r="B188" s="7" t="str">
        <f>IFERROR(__xludf.DUMMYFUNCTION("""COMPUTED_VALUE"""),"Runolfsson LLC")</f>
        <v>Runolfsson LLC</v>
      </c>
      <c r="C188" s="8">
        <f>IFERROR(__xludf.DUMMYFUNCTION("""COMPUTED_VALUE"""),1.8)</f>
        <v>1.8</v>
      </c>
      <c r="D188" s="7">
        <v>1.0493986E7</v>
      </c>
      <c r="E188" s="8">
        <v>1.88891748E7</v>
      </c>
    </row>
    <row r="189">
      <c r="A189" s="7" t="str">
        <f>IFERROR(__xludf.DUMMYFUNCTION("""COMPUTED_VALUE"""),"China")</f>
        <v>China</v>
      </c>
      <c r="B189" s="7" t="str">
        <f>IFERROR(__xludf.DUMMYFUNCTION("""COMPUTED_VALUE"""),"Zemlak, Hessel and Romaguera")</f>
        <v>Zemlak, Hessel and Romaguera</v>
      </c>
      <c r="C189" s="8">
        <f>IFERROR(__xludf.DUMMYFUNCTION("""COMPUTED_VALUE"""),1.53)</f>
        <v>1.53</v>
      </c>
      <c r="D189" s="7">
        <v>1.425887337E9</v>
      </c>
      <c r="E189" s="8">
        <v>2.18160762561E9</v>
      </c>
    </row>
    <row r="190">
      <c r="A190" s="7" t="str">
        <f>IFERROR(__xludf.DUMMYFUNCTION("""COMPUTED_VALUE"""),"Philippines")</f>
        <v>Philippines</v>
      </c>
      <c r="B190" s="7" t="str">
        <f>IFERROR(__xludf.DUMMYFUNCTION("""COMPUTED_VALUE"""),"Sipes-Boyle")</f>
        <v>Sipes-Boyle</v>
      </c>
      <c r="C190" s="8">
        <f>IFERROR(__xludf.DUMMYFUNCTION("""COMPUTED_VALUE"""),1.37)</f>
        <v>1.37</v>
      </c>
      <c r="D190" s="7">
        <v>1.15559009E8</v>
      </c>
      <c r="E190" s="8">
        <v>1.5831584233E8</v>
      </c>
    </row>
    <row r="191">
      <c r="A191" s="7" t="str">
        <f>IFERROR(__xludf.DUMMYFUNCTION("""COMPUTED_VALUE"""),"United States")</f>
        <v>United States</v>
      </c>
      <c r="B191" s="7" t="str">
        <f>IFERROR(__xludf.DUMMYFUNCTION("""COMPUTED_VALUE"""),"Lockman-Kemmer")</f>
        <v>Lockman-Kemmer</v>
      </c>
      <c r="C191" s="8">
        <f>IFERROR(__xludf.DUMMYFUNCTION("""COMPUTED_VALUE"""),0.89)</f>
        <v>0.89</v>
      </c>
      <c r="D191" s="7">
        <v>3.38289857E8</v>
      </c>
      <c r="E191" s="8">
        <v>3.0107797273E8</v>
      </c>
    </row>
    <row r="192">
      <c r="A192" s="7" t="str">
        <f>IFERROR(__xludf.DUMMYFUNCTION("""COMPUTED_VALUE"""),"South Africa")</f>
        <v>South Africa</v>
      </c>
      <c r="B192" s="7" t="str">
        <f>IFERROR(__xludf.DUMMYFUNCTION("""COMPUTED_VALUE"""),"Jenkins LLC")</f>
        <v>Jenkins LLC</v>
      </c>
      <c r="C192" s="8">
        <f>IFERROR(__xludf.DUMMYFUNCTION("""COMPUTED_VALUE"""),1.51)</f>
        <v>1.51</v>
      </c>
      <c r="D192" s="7">
        <v>5.9893885E7</v>
      </c>
      <c r="E192" s="8">
        <v>9.043976635E7</v>
      </c>
    </row>
    <row r="193">
      <c r="A193" s="7" t="str">
        <f>IFERROR(__xludf.DUMMYFUNCTION("""COMPUTED_VALUE"""),"Malaysia")</f>
        <v>Malaysia</v>
      </c>
      <c r="B193" s="7" t="str">
        <f>IFERROR(__xludf.DUMMYFUNCTION("""COMPUTED_VALUE"""),"Frami, Rutherford and Osinski")</f>
        <v>Frami, Rutherford and Osinski</v>
      </c>
      <c r="C193" s="8">
        <f>IFERROR(__xludf.DUMMYFUNCTION("""COMPUTED_VALUE"""),1.37)</f>
        <v>1.37</v>
      </c>
      <c r="D193" s="7">
        <v>3.3938221E7</v>
      </c>
      <c r="E193" s="8">
        <v>4.649536277E7</v>
      </c>
    </row>
    <row r="194">
      <c r="A194" s="7" t="str">
        <f>IFERROR(__xludf.DUMMYFUNCTION("""COMPUTED_VALUE"""),"Thailand")</f>
        <v>Thailand</v>
      </c>
      <c r="B194" s="7" t="str">
        <f>IFERROR(__xludf.DUMMYFUNCTION("""COMPUTED_VALUE"""),"Mayert, Schultz and Gutkowski")</f>
        <v>Mayert, Schultz and Gutkowski</v>
      </c>
      <c r="C194" s="8">
        <f>IFERROR(__xludf.DUMMYFUNCTION("""COMPUTED_VALUE"""),1.56)</f>
        <v>1.56</v>
      </c>
      <c r="D194" s="7">
        <v>7.169703E7</v>
      </c>
      <c r="E194" s="8">
        <v>1.118473668E8</v>
      </c>
    </row>
    <row r="195">
      <c r="A195" s="7" t="str">
        <f>IFERROR(__xludf.DUMMYFUNCTION("""COMPUTED_VALUE"""),"Albania")</f>
        <v>Albania</v>
      </c>
      <c r="B195" s="7" t="str">
        <f>IFERROR(__xludf.DUMMYFUNCTION("""COMPUTED_VALUE"""),"Langosh, West and Hilpert")</f>
        <v>Langosh, West and Hilpert</v>
      </c>
      <c r="C195" s="8">
        <f>IFERROR(__xludf.DUMMYFUNCTION("""COMPUTED_VALUE"""),0.96)</f>
        <v>0.96</v>
      </c>
      <c r="D195" s="7">
        <v>2842321.0</v>
      </c>
      <c r="E195" s="8">
        <v>2728628.1599999997</v>
      </c>
    </row>
    <row r="196">
      <c r="A196" s="7" t="str">
        <f>IFERROR(__xludf.DUMMYFUNCTION("""COMPUTED_VALUE"""),"Norway")</f>
        <v>Norway</v>
      </c>
      <c r="B196" s="7" t="str">
        <f>IFERROR(__xludf.DUMMYFUNCTION("""COMPUTED_VALUE"""),"Luettgen-Gutmann")</f>
        <v>Luettgen-Gutmann</v>
      </c>
      <c r="C196" s="8">
        <f>IFERROR(__xludf.DUMMYFUNCTION("""COMPUTED_VALUE"""),1.85)</f>
        <v>1.85</v>
      </c>
      <c r="D196" s="7">
        <v>5434319.0</v>
      </c>
      <c r="E196" s="8">
        <v>1.005349015E7</v>
      </c>
    </row>
    <row r="197">
      <c r="A197" s="7" t="str">
        <f>IFERROR(__xludf.DUMMYFUNCTION("""COMPUTED_VALUE"""),"Indonesia")</f>
        <v>Indonesia</v>
      </c>
      <c r="B197" s="7" t="str">
        <f>IFERROR(__xludf.DUMMYFUNCTION("""COMPUTED_VALUE"""),"Green-Ankunding")</f>
        <v>Green-Ankunding</v>
      </c>
      <c r="C197" s="8">
        <f>IFERROR(__xludf.DUMMYFUNCTION("""COMPUTED_VALUE"""),2.19)</f>
        <v>2.19</v>
      </c>
      <c r="D197" s="7">
        <v>2.75501339E8</v>
      </c>
      <c r="E197" s="8">
        <v>6.0334793241E8</v>
      </c>
    </row>
    <row r="198">
      <c r="A198" s="7" t="str">
        <f>IFERROR(__xludf.DUMMYFUNCTION("""COMPUTED_VALUE"""),"China")</f>
        <v>China</v>
      </c>
      <c r="B198" s="7" t="str">
        <f>IFERROR(__xludf.DUMMYFUNCTION("""COMPUTED_VALUE"""),"Oberbrunner-White")</f>
        <v>Oberbrunner-White</v>
      </c>
      <c r="C198" s="8">
        <f>IFERROR(__xludf.DUMMYFUNCTION("""COMPUTED_VALUE"""),1.59)</f>
        <v>1.59</v>
      </c>
      <c r="D198" s="7">
        <v>1.425887337E9</v>
      </c>
      <c r="E198" s="8">
        <v>2.26716086583E9</v>
      </c>
    </row>
    <row r="199">
      <c r="A199" s="7" t="str">
        <f>IFERROR(__xludf.DUMMYFUNCTION("""COMPUTED_VALUE"""),"China")</f>
        <v>China</v>
      </c>
      <c r="B199" s="7" t="str">
        <f>IFERROR(__xludf.DUMMYFUNCTION("""COMPUTED_VALUE"""),"Thiel Group")</f>
        <v>Thiel Group</v>
      </c>
      <c r="C199" s="8">
        <f>IFERROR(__xludf.DUMMYFUNCTION("""COMPUTED_VALUE"""),1.04)</f>
        <v>1.04</v>
      </c>
      <c r="D199" s="7">
        <v>1.425887337E9</v>
      </c>
      <c r="E199" s="8">
        <v>1.48292283048E9</v>
      </c>
    </row>
    <row r="200">
      <c r="A200" s="7" t="str">
        <f>IFERROR(__xludf.DUMMYFUNCTION("""COMPUTED_VALUE"""),"Portugal")</f>
        <v>Portugal</v>
      </c>
      <c r="B200" s="7" t="str">
        <f>IFERROR(__xludf.DUMMYFUNCTION("""COMPUTED_VALUE"""),"Kozey, Jacobson and Stoltenberg")</f>
        <v>Kozey, Jacobson and Stoltenberg</v>
      </c>
      <c r="C200" s="8">
        <f>IFERROR(__xludf.DUMMYFUNCTION("""COMPUTED_VALUE"""),2.15)</f>
        <v>2.15</v>
      </c>
      <c r="D200" s="7">
        <v>1.0270865E7</v>
      </c>
      <c r="E200" s="8">
        <v>2.208235975E7</v>
      </c>
    </row>
    <row r="201">
      <c r="A201" s="7" t="str">
        <f>IFERROR(__xludf.DUMMYFUNCTION("""COMPUTED_VALUE"""),"Portugal")</f>
        <v>Portugal</v>
      </c>
      <c r="B201" s="7" t="str">
        <f>IFERROR(__xludf.DUMMYFUNCTION("""COMPUTED_VALUE"""),"Flatley, Quitzon and Schinner")</f>
        <v>Flatley, Quitzon and Schinner</v>
      </c>
      <c r="C201" s="8">
        <f>IFERROR(__xludf.DUMMYFUNCTION("""COMPUTED_VALUE"""),0.99)</f>
        <v>0.99</v>
      </c>
      <c r="D201" s="7">
        <v>1.0270865E7</v>
      </c>
      <c r="E201" s="8">
        <v>1.016815635E7</v>
      </c>
    </row>
    <row r="202">
      <c r="A202" s="7" t="str">
        <f>IFERROR(__xludf.DUMMYFUNCTION("""COMPUTED_VALUE"""),"United States")</f>
        <v>United States</v>
      </c>
      <c r="B202" s="7" t="str">
        <f>IFERROR(__xludf.DUMMYFUNCTION("""COMPUTED_VALUE"""),"Roob, Wilkinson and Lynch")</f>
        <v>Roob, Wilkinson and Lynch</v>
      </c>
      <c r="C202" s="8">
        <f>IFERROR(__xludf.DUMMYFUNCTION("""COMPUTED_VALUE"""),1.39)</f>
        <v>1.39</v>
      </c>
      <c r="D202" s="7">
        <v>3.38289857E8</v>
      </c>
      <c r="E202" s="8">
        <v>4.7022290122999996E8</v>
      </c>
    </row>
    <row r="203">
      <c r="A203" s="7" t="str">
        <f>IFERROR(__xludf.DUMMYFUNCTION("""COMPUTED_VALUE"""),"Mexico")</f>
        <v>Mexico</v>
      </c>
      <c r="B203" s="7" t="str">
        <f>IFERROR(__xludf.DUMMYFUNCTION("""COMPUTED_VALUE"""),"Bode, Morar and Marquardt")</f>
        <v>Bode, Morar and Marquardt</v>
      </c>
      <c r="C203" s="8">
        <f>IFERROR(__xludf.DUMMYFUNCTION("""COMPUTED_VALUE"""),2.1)</f>
        <v>2.1</v>
      </c>
      <c r="D203" s="7">
        <v>1.27504125E8</v>
      </c>
      <c r="E203" s="8">
        <v>2.677586625E8</v>
      </c>
    </row>
    <row r="204">
      <c r="A204" s="7" t="str">
        <f>IFERROR(__xludf.DUMMYFUNCTION("""COMPUTED_VALUE"""),"Indonesia")</f>
        <v>Indonesia</v>
      </c>
      <c r="B204" s="7" t="str">
        <f>IFERROR(__xludf.DUMMYFUNCTION("""COMPUTED_VALUE"""),"Goldner-Smitham")</f>
        <v>Goldner-Smitham</v>
      </c>
      <c r="C204" s="8">
        <f>IFERROR(__xludf.DUMMYFUNCTION("""COMPUTED_VALUE"""),1.67)</f>
        <v>1.67</v>
      </c>
      <c r="D204" s="7">
        <v>2.75501339E8</v>
      </c>
      <c r="E204" s="8">
        <v>4.6008723613E8</v>
      </c>
    </row>
    <row r="205">
      <c r="A205" s="7" t="str">
        <f>IFERROR(__xludf.DUMMYFUNCTION("""COMPUTED_VALUE"""),"Equatorial Guinea")</f>
        <v>Equatorial Guinea</v>
      </c>
      <c r="B205" s="7" t="str">
        <f>IFERROR(__xludf.DUMMYFUNCTION("""COMPUTED_VALUE"""),"Bradtke-Bashirian")</f>
        <v>Bradtke-Bashirian</v>
      </c>
      <c r="C205" s="8">
        <f>IFERROR(__xludf.DUMMYFUNCTION("""COMPUTED_VALUE"""),1.03)</f>
        <v>1.03</v>
      </c>
      <c r="D205" s="7">
        <v>1674908.0</v>
      </c>
      <c r="E205" s="8">
        <v>1725155.24</v>
      </c>
    </row>
    <row r="206">
      <c r="A206" s="7" t="str">
        <f>IFERROR(__xludf.DUMMYFUNCTION("""COMPUTED_VALUE"""),"Portugal")</f>
        <v>Portugal</v>
      </c>
      <c r="B206" s="7" t="str">
        <f>IFERROR(__xludf.DUMMYFUNCTION("""COMPUTED_VALUE"""),"Legros, Zemlak and Pfannerstill")</f>
        <v>Legros, Zemlak and Pfannerstill</v>
      </c>
      <c r="C206" s="8">
        <f>IFERROR(__xludf.DUMMYFUNCTION("""COMPUTED_VALUE"""),1.66)</f>
        <v>1.66</v>
      </c>
      <c r="D206" s="7">
        <v>1.0270865E7</v>
      </c>
      <c r="E206" s="8">
        <v>1.70496359E7</v>
      </c>
    </row>
    <row r="207">
      <c r="A207" s="7" t="str">
        <f>IFERROR(__xludf.DUMMYFUNCTION("""COMPUTED_VALUE"""),"Poland")</f>
        <v>Poland</v>
      </c>
      <c r="B207" s="7" t="str">
        <f>IFERROR(__xludf.DUMMYFUNCTION("""COMPUTED_VALUE"""),"Feest, Bartoletti and Hartmann")</f>
        <v>Feest, Bartoletti and Hartmann</v>
      </c>
      <c r="C207" s="8">
        <f>IFERROR(__xludf.DUMMYFUNCTION("""COMPUTED_VALUE"""),1.77)</f>
        <v>1.77</v>
      </c>
      <c r="D207" s="7">
        <v>3.9857145E7</v>
      </c>
      <c r="E207" s="8">
        <v>7.054714665E7</v>
      </c>
    </row>
    <row r="208">
      <c r="A208" s="7" t="str">
        <f>IFERROR(__xludf.DUMMYFUNCTION("""COMPUTED_VALUE"""),"France")</f>
        <v>France</v>
      </c>
      <c r="B208" s="7" t="str">
        <f>IFERROR(__xludf.DUMMYFUNCTION("""COMPUTED_VALUE"""),"Monahan-Schowalter")</f>
        <v>Monahan-Schowalter</v>
      </c>
      <c r="C208" s="8">
        <f>IFERROR(__xludf.DUMMYFUNCTION("""COMPUTED_VALUE"""),1.62)</f>
        <v>1.62</v>
      </c>
      <c r="D208" s="7">
        <v>6.4626628E7</v>
      </c>
      <c r="E208" s="8">
        <v>1.0469513736000001E8</v>
      </c>
    </row>
    <row r="209">
      <c r="A209" s="7" t="str">
        <f>IFERROR(__xludf.DUMMYFUNCTION("""COMPUTED_VALUE"""),"Brazil")</f>
        <v>Brazil</v>
      </c>
      <c r="B209" s="7" t="str">
        <f>IFERROR(__xludf.DUMMYFUNCTION("""COMPUTED_VALUE"""),"Reichert LLC")</f>
        <v>Reichert LLC</v>
      </c>
      <c r="C209" s="8">
        <f>IFERROR(__xludf.DUMMYFUNCTION("""COMPUTED_VALUE"""),1.4)</f>
        <v>1.4</v>
      </c>
      <c r="D209" s="7">
        <v>2.15313498E8</v>
      </c>
      <c r="E209" s="8">
        <v>3.014388972E8</v>
      </c>
    </row>
    <row r="210">
      <c r="A210" s="7" t="str">
        <f>IFERROR(__xludf.DUMMYFUNCTION("""COMPUTED_VALUE"""),"China")</f>
        <v>China</v>
      </c>
      <c r="B210" s="7" t="str">
        <f>IFERROR(__xludf.DUMMYFUNCTION("""COMPUTED_VALUE"""),"Wiza, Stehr and Sauer")</f>
        <v>Wiza, Stehr and Sauer</v>
      </c>
      <c r="C210" s="8">
        <f>IFERROR(__xludf.DUMMYFUNCTION("""COMPUTED_VALUE"""),1.99)</f>
        <v>1.99</v>
      </c>
      <c r="D210" s="7">
        <v>1.425887337E9</v>
      </c>
      <c r="E210" s="8">
        <v>2.83751580063E9</v>
      </c>
    </row>
    <row r="211">
      <c r="A211" s="7" t="str">
        <f>IFERROR(__xludf.DUMMYFUNCTION("""COMPUTED_VALUE"""),"Japan")</f>
        <v>Japan</v>
      </c>
      <c r="B211" s="7" t="str">
        <f>IFERROR(__xludf.DUMMYFUNCTION("""COMPUTED_VALUE"""),"Russel, Jacobs and Gusikowski")</f>
        <v>Russel, Jacobs and Gusikowski</v>
      </c>
      <c r="C211" s="8">
        <f>IFERROR(__xludf.DUMMYFUNCTION("""COMPUTED_VALUE"""),0.99)</f>
        <v>0.99</v>
      </c>
      <c r="D211" s="7">
        <v>1.23951692E8</v>
      </c>
      <c r="E211" s="8">
        <v>1.2271217508E8</v>
      </c>
    </row>
    <row r="212">
      <c r="A212" s="7" t="str">
        <f>IFERROR(__xludf.DUMMYFUNCTION("""COMPUTED_VALUE"""),"France")</f>
        <v>France</v>
      </c>
      <c r="B212" s="7" t="str">
        <f>IFERROR(__xludf.DUMMYFUNCTION("""COMPUTED_VALUE"""),"McCullough, Little and Anderson")</f>
        <v>McCullough, Little and Anderson</v>
      </c>
      <c r="C212" s="8">
        <f>IFERROR(__xludf.DUMMYFUNCTION("""COMPUTED_VALUE"""),1.76)</f>
        <v>1.76</v>
      </c>
      <c r="D212" s="7">
        <v>6.4626628E7</v>
      </c>
      <c r="E212" s="8">
        <v>1.1374286528E8</v>
      </c>
    </row>
    <row r="213">
      <c r="A213" s="7" t="str">
        <f>IFERROR(__xludf.DUMMYFUNCTION("""COMPUTED_VALUE"""),"Philippines")</f>
        <v>Philippines</v>
      </c>
      <c r="B213" s="7" t="str">
        <f>IFERROR(__xludf.DUMMYFUNCTION("""COMPUTED_VALUE"""),"Nader Inc")</f>
        <v>Nader Inc</v>
      </c>
      <c r="C213" s="8">
        <f>IFERROR(__xludf.DUMMYFUNCTION("""COMPUTED_VALUE"""),0.92)</f>
        <v>0.92</v>
      </c>
      <c r="D213" s="7">
        <v>1.15559009E8</v>
      </c>
      <c r="E213" s="8">
        <v>1.0631428828E8</v>
      </c>
    </row>
    <row r="214">
      <c r="A214" s="7" t="str">
        <f>IFERROR(__xludf.DUMMYFUNCTION("""COMPUTED_VALUE"""),"China")</f>
        <v>China</v>
      </c>
      <c r="B214" s="7" t="str">
        <f>IFERROR(__xludf.DUMMYFUNCTION("""COMPUTED_VALUE"""),"Bartell, Hammes and Flatley")</f>
        <v>Bartell, Hammes and Flatley</v>
      </c>
      <c r="C214" s="8">
        <f>IFERROR(__xludf.DUMMYFUNCTION("""COMPUTED_VALUE"""),1.27)</f>
        <v>1.27</v>
      </c>
      <c r="D214" s="7">
        <v>1.425887337E9</v>
      </c>
      <c r="E214" s="8">
        <v>1.81087691799E9</v>
      </c>
    </row>
    <row r="215">
      <c r="A215" s="7" t="str">
        <f>IFERROR(__xludf.DUMMYFUNCTION("""COMPUTED_VALUE"""),"Indonesia")</f>
        <v>Indonesia</v>
      </c>
      <c r="B215" s="7" t="str">
        <f>IFERROR(__xludf.DUMMYFUNCTION("""COMPUTED_VALUE"""),"Roberts, Tillman and Osinski")</f>
        <v>Roberts, Tillman and Osinski</v>
      </c>
      <c r="C215" s="8">
        <f>IFERROR(__xludf.DUMMYFUNCTION("""COMPUTED_VALUE"""),1.71)</f>
        <v>1.71</v>
      </c>
      <c r="D215" s="7">
        <v>2.75501339E8</v>
      </c>
      <c r="E215" s="8">
        <v>4.7110728969E8</v>
      </c>
    </row>
    <row r="216">
      <c r="A216" s="7" t="str">
        <f>IFERROR(__xludf.DUMMYFUNCTION("""COMPUTED_VALUE"""),"Moldova")</f>
        <v>Moldova</v>
      </c>
      <c r="B216" s="7" t="str">
        <f>IFERROR(__xludf.DUMMYFUNCTION("""COMPUTED_VALUE"""),"Howell, Jones and Donnelly")</f>
        <v>Howell, Jones and Donnelly</v>
      </c>
      <c r="C216" s="8">
        <f>IFERROR(__xludf.DUMMYFUNCTION("""COMPUTED_VALUE"""),1.83)</f>
        <v>1.83</v>
      </c>
      <c r="D216" s="7">
        <v>3272996.0</v>
      </c>
      <c r="E216" s="8">
        <v>5989582.680000001</v>
      </c>
    </row>
    <row r="217">
      <c r="A217" s="7" t="str">
        <f>IFERROR(__xludf.DUMMYFUNCTION("""COMPUTED_VALUE"""),"Maldives")</f>
        <v>Maldives</v>
      </c>
      <c r="B217" s="7" t="str">
        <f>IFERROR(__xludf.DUMMYFUNCTION("""COMPUTED_VALUE"""),"Marvin and Sons")</f>
        <v>Marvin and Sons</v>
      </c>
      <c r="C217" s="8">
        <f>IFERROR(__xludf.DUMMYFUNCTION("""COMPUTED_VALUE"""),1.24)</f>
        <v>1.24</v>
      </c>
      <c r="D217" s="7">
        <v>523787.0</v>
      </c>
      <c r="E217" s="8">
        <v>649495.88</v>
      </c>
    </row>
    <row r="218">
      <c r="A218" s="7" t="str">
        <f>IFERROR(__xludf.DUMMYFUNCTION("""COMPUTED_VALUE"""),"Indonesia")</f>
        <v>Indonesia</v>
      </c>
      <c r="B218" s="7" t="str">
        <f>IFERROR(__xludf.DUMMYFUNCTION("""COMPUTED_VALUE"""),"Boehm, Mayer and Mayer")</f>
        <v>Boehm, Mayer and Mayer</v>
      </c>
      <c r="C218" s="8">
        <f>IFERROR(__xludf.DUMMYFUNCTION("""COMPUTED_VALUE"""),1.23)</f>
        <v>1.23</v>
      </c>
      <c r="D218" s="7">
        <v>2.75501339E8</v>
      </c>
      <c r="E218" s="8">
        <v>3.3886664696999997E8</v>
      </c>
    </row>
    <row r="219">
      <c r="A219" s="7" t="str">
        <f>IFERROR(__xludf.DUMMYFUNCTION("""COMPUTED_VALUE"""),"Russia")</f>
        <v>Russia</v>
      </c>
      <c r="B219" s="7" t="str">
        <f>IFERROR(__xludf.DUMMYFUNCTION("""COMPUTED_VALUE"""),"Schaefer-Koepp")</f>
        <v>Schaefer-Koepp</v>
      </c>
      <c r="C219" s="8">
        <f>IFERROR(__xludf.DUMMYFUNCTION("""COMPUTED_VALUE"""),1.88)</f>
        <v>1.88</v>
      </c>
      <c r="D219" s="7">
        <v>1.44713314E8</v>
      </c>
      <c r="E219" s="8">
        <v>2.7206103032E8</v>
      </c>
    </row>
    <row r="220">
      <c r="A220" s="7" t="str">
        <f>IFERROR(__xludf.DUMMYFUNCTION("""COMPUTED_VALUE"""),"China")</f>
        <v>China</v>
      </c>
      <c r="B220" s="7" t="str">
        <f>IFERROR(__xludf.DUMMYFUNCTION("""COMPUTED_VALUE"""),"Fadel, Kutch and Schmidt")</f>
        <v>Fadel, Kutch and Schmidt</v>
      </c>
      <c r="C220" s="8">
        <f>IFERROR(__xludf.DUMMYFUNCTION("""COMPUTED_VALUE"""),0.97)</f>
        <v>0.97</v>
      </c>
      <c r="D220" s="7">
        <v>1.425887337E9</v>
      </c>
      <c r="E220" s="8">
        <v>1.3831107168899999E9</v>
      </c>
    </row>
    <row r="221">
      <c r="A221" s="7" t="str">
        <f>IFERROR(__xludf.DUMMYFUNCTION("""COMPUTED_VALUE"""),"China")</f>
        <v>China</v>
      </c>
      <c r="B221" s="7" t="str">
        <f>IFERROR(__xludf.DUMMYFUNCTION("""COMPUTED_VALUE"""),"Rowe Inc")</f>
        <v>Rowe Inc</v>
      </c>
      <c r="C221" s="8">
        <f>IFERROR(__xludf.DUMMYFUNCTION("""COMPUTED_VALUE"""),0.86)</f>
        <v>0.86</v>
      </c>
      <c r="D221" s="7">
        <v>1.425887337E9</v>
      </c>
      <c r="E221" s="8">
        <v>1.22626310982E9</v>
      </c>
    </row>
    <row r="222">
      <c r="A222" s="7" t="str">
        <f>IFERROR(__xludf.DUMMYFUNCTION("""COMPUTED_VALUE"""),"Philippines")</f>
        <v>Philippines</v>
      </c>
      <c r="B222" s="7" t="str">
        <f>IFERROR(__xludf.DUMMYFUNCTION("""COMPUTED_VALUE"""),"Berge, Medhurst and Lakin")</f>
        <v>Berge, Medhurst and Lakin</v>
      </c>
      <c r="C222" s="8">
        <f>IFERROR(__xludf.DUMMYFUNCTION("""COMPUTED_VALUE"""),2.19)</f>
        <v>2.19</v>
      </c>
      <c r="D222" s="7">
        <v>1.15559009E8</v>
      </c>
      <c r="E222" s="8">
        <v>2.5307422971E8</v>
      </c>
    </row>
    <row r="223">
      <c r="A223" s="7" t="str">
        <f>IFERROR(__xludf.DUMMYFUNCTION("""COMPUTED_VALUE"""),"China")</f>
        <v>China</v>
      </c>
      <c r="B223" s="7" t="str">
        <f>IFERROR(__xludf.DUMMYFUNCTION("""COMPUTED_VALUE"""),"Becker-Reichert")</f>
        <v>Becker-Reichert</v>
      </c>
      <c r="C223" s="8">
        <f>IFERROR(__xludf.DUMMYFUNCTION("""COMPUTED_VALUE"""),2.14)</f>
        <v>2.14</v>
      </c>
      <c r="D223" s="7">
        <v>1.425887337E9</v>
      </c>
      <c r="E223" s="8">
        <v>3.0513989011800003E9</v>
      </c>
    </row>
    <row r="224">
      <c r="A224" s="7" t="str">
        <f>IFERROR(__xludf.DUMMYFUNCTION("""COMPUTED_VALUE"""),"Poland")</f>
        <v>Poland</v>
      </c>
      <c r="B224" s="7" t="str">
        <f>IFERROR(__xludf.DUMMYFUNCTION("""COMPUTED_VALUE"""),"Batz, Lakin and Kozey")</f>
        <v>Batz, Lakin and Kozey</v>
      </c>
      <c r="C224" s="8">
        <f>IFERROR(__xludf.DUMMYFUNCTION("""COMPUTED_VALUE"""),1.31)</f>
        <v>1.31</v>
      </c>
      <c r="D224" s="7">
        <v>3.9857145E7</v>
      </c>
      <c r="E224" s="8">
        <v>5.221285995E7</v>
      </c>
    </row>
    <row r="225">
      <c r="A225" s="7" t="str">
        <f>IFERROR(__xludf.DUMMYFUNCTION("""COMPUTED_VALUE"""),"United Kingdom")</f>
        <v>United Kingdom</v>
      </c>
      <c r="B225" s="7" t="str">
        <f>IFERROR(__xludf.DUMMYFUNCTION("""COMPUTED_VALUE"""),"Ferry, Jones and Carroll")</f>
        <v>Ferry, Jones and Carroll</v>
      </c>
      <c r="C225" s="8">
        <f>IFERROR(__xludf.DUMMYFUNCTION("""COMPUTED_VALUE"""),1.83)</f>
        <v>1.83</v>
      </c>
      <c r="D225" s="7">
        <v>6.7508936E7</v>
      </c>
      <c r="E225" s="8">
        <v>1.2354135288000001E8</v>
      </c>
    </row>
    <row r="226">
      <c r="A226" s="7" t="str">
        <f>IFERROR(__xludf.DUMMYFUNCTION("""COMPUTED_VALUE"""),"Indonesia")</f>
        <v>Indonesia</v>
      </c>
      <c r="B226" s="7" t="str">
        <f>IFERROR(__xludf.DUMMYFUNCTION("""COMPUTED_VALUE"""),"Haag-Strosin")</f>
        <v>Haag-Strosin</v>
      </c>
      <c r="C226" s="8">
        <f>IFERROR(__xludf.DUMMYFUNCTION("""COMPUTED_VALUE"""),1.83)</f>
        <v>1.83</v>
      </c>
      <c r="D226" s="7">
        <v>2.75501339E8</v>
      </c>
      <c r="E226" s="8">
        <v>5.0416745037E8</v>
      </c>
    </row>
    <row r="227">
      <c r="A227" s="7" t="str">
        <f>IFERROR(__xludf.DUMMYFUNCTION("""COMPUTED_VALUE"""),"Philippines")</f>
        <v>Philippines</v>
      </c>
      <c r="B227" s="7" t="str">
        <f>IFERROR(__xludf.DUMMYFUNCTION("""COMPUTED_VALUE"""),"Upton, Swaniawski and Becker")</f>
        <v>Upton, Swaniawski and Becker</v>
      </c>
      <c r="C227" s="8">
        <f>IFERROR(__xludf.DUMMYFUNCTION("""COMPUTED_VALUE"""),1.67)</f>
        <v>1.67</v>
      </c>
      <c r="D227" s="7">
        <v>1.15559009E8</v>
      </c>
      <c r="E227" s="8">
        <v>1.9298354503E8</v>
      </c>
    </row>
    <row r="228">
      <c r="A228" s="7" t="str">
        <f>IFERROR(__xludf.DUMMYFUNCTION("""COMPUTED_VALUE"""),"Indonesia")</f>
        <v>Indonesia</v>
      </c>
      <c r="B228" s="7" t="str">
        <f>IFERROR(__xludf.DUMMYFUNCTION("""COMPUTED_VALUE"""),"Deckow, Balistreri and Predovic")</f>
        <v>Deckow, Balistreri and Predovic</v>
      </c>
      <c r="C228" s="8">
        <f>IFERROR(__xludf.DUMMYFUNCTION("""COMPUTED_VALUE"""),1.87)</f>
        <v>1.87</v>
      </c>
      <c r="D228" s="7">
        <v>2.75501339E8</v>
      </c>
      <c r="E228" s="8">
        <v>5.1518750393E8</v>
      </c>
    </row>
    <row r="229">
      <c r="A229" s="7" t="str">
        <f>IFERROR(__xludf.DUMMYFUNCTION("""COMPUTED_VALUE"""),"Poland")</f>
        <v>Poland</v>
      </c>
      <c r="B229" s="7" t="str">
        <f>IFERROR(__xludf.DUMMYFUNCTION("""COMPUTED_VALUE"""),"Dooley-McDermott")</f>
        <v>Dooley-McDermott</v>
      </c>
      <c r="C229" s="8">
        <f>IFERROR(__xludf.DUMMYFUNCTION("""COMPUTED_VALUE"""),0.95)</f>
        <v>0.95</v>
      </c>
      <c r="D229" s="7">
        <v>3.9857145E7</v>
      </c>
      <c r="E229" s="8">
        <v>3.786428775E7</v>
      </c>
    </row>
    <row r="230">
      <c r="A230" s="7" t="str">
        <f>IFERROR(__xludf.DUMMYFUNCTION("""COMPUTED_VALUE"""),"Poland")</f>
        <v>Poland</v>
      </c>
      <c r="B230" s="7" t="str">
        <f>IFERROR(__xludf.DUMMYFUNCTION("""COMPUTED_VALUE"""),"Kuhn-Kling")</f>
        <v>Kuhn-Kling</v>
      </c>
      <c r="C230" s="8">
        <f>IFERROR(__xludf.DUMMYFUNCTION("""COMPUTED_VALUE"""),2.18)</f>
        <v>2.18</v>
      </c>
      <c r="D230" s="7">
        <v>3.9857145E7</v>
      </c>
      <c r="E230" s="8">
        <v>8.688857610000001E7</v>
      </c>
    </row>
    <row r="231">
      <c r="A231" s="7" t="str">
        <f>IFERROR(__xludf.DUMMYFUNCTION("""COMPUTED_VALUE"""),"China")</f>
        <v>China</v>
      </c>
      <c r="B231" s="7" t="str">
        <f>IFERROR(__xludf.DUMMYFUNCTION("""COMPUTED_VALUE"""),"Bogan-Bartell")</f>
        <v>Bogan-Bartell</v>
      </c>
      <c r="C231" s="8">
        <f>IFERROR(__xludf.DUMMYFUNCTION("""COMPUTED_VALUE"""),1.33)</f>
        <v>1.33</v>
      </c>
      <c r="D231" s="7">
        <v>1.425887337E9</v>
      </c>
      <c r="E231" s="8">
        <v>1.89643015821E9</v>
      </c>
    </row>
    <row r="232">
      <c r="A232" s="7" t="str">
        <f>IFERROR(__xludf.DUMMYFUNCTION("""COMPUTED_VALUE"""),"Brazil")</f>
        <v>Brazil</v>
      </c>
      <c r="B232" s="7" t="str">
        <f>IFERROR(__xludf.DUMMYFUNCTION("""COMPUTED_VALUE"""),"Hudson-Fahey")</f>
        <v>Hudson-Fahey</v>
      </c>
      <c r="C232" s="8">
        <f>IFERROR(__xludf.DUMMYFUNCTION("""COMPUTED_VALUE"""),0.91)</f>
        <v>0.91</v>
      </c>
      <c r="D232" s="7">
        <v>2.15313498E8</v>
      </c>
      <c r="E232" s="8">
        <v>1.9593528318E8</v>
      </c>
    </row>
    <row r="233">
      <c r="A233" s="7" t="str">
        <f>IFERROR(__xludf.DUMMYFUNCTION("""COMPUTED_VALUE"""),"Poland")</f>
        <v>Poland</v>
      </c>
      <c r="B233" s="7" t="str">
        <f>IFERROR(__xludf.DUMMYFUNCTION("""COMPUTED_VALUE"""),"Hintz-Sanford")</f>
        <v>Hintz-Sanford</v>
      </c>
      <c r="C233" s="8">
        <f>IFERROR(__xludf.DUMMYFUNCTION("""COMPUTED_VALUE"""),1.57)</f>
        <v>1.57</v>
      </c>
      <c r="D233" s="7">
        <v>3.9857145E7</v>
      </c>
      <c r="E233" s="8">
        <v>6.2575717650000006E7</v>
      </c>
    </row>
    <row r="234">
      <c r="A234" s="7" t="str">
        <f>IFERROR(__xludf.DUMMYFUNCTION("""COMPUTED_VALUE"""),"China")</f>
        <v>China</v>
      </c>
      <c r="B234" s="7" t="str">
        <f>IFERROR(__xludf.DUMMYFUNCTION("""COMPUTED_VALUE"""),"Hahn, Hane and Olson")</f>
        <v>Hahn, Hane and Olson</v>
      </c>
      <c r="C234" s="8">
        <f>IFERROR(__xludf.DUMMYFUNCTION("""COMPUTED_VALUE"""),1.66)</f>
        <v>1.66</v>
      </c>
      <c r="D234" s="7">
        <v>1.425887337E9</v>
      </c>
      <c r="E234" s="8">
        <v>2.36697297942E9</v>
      </c>
    </row>
    <row r="235">
      <c r="A235" s="7" t="str">
        <f>IFERROR(__xludf.DUMMYFUNCTION("""COMPUTED_VALUE"""),"Poland")</f>
        <v>Poland</v>
      </c>
      <c r="B235" s="7" t="str">
        <f>IFERROR(__xludf.DUMMYFUNCTION("""COMPUTED_VALUE"""),"Beier-Howe")</f>
        <v>Beier-Howe</v>
      </c>
      <c r="C235" s="8">
        <f>IFERROR(__xludf.DUMMYFUNCTION("""COMPUTED_VALUE"""),1.65)</f>
        <v>1.65</v>
      </c>
      <c r="D235" s="7">
        <v>3.9857145E7</v>
      </c>
      <c r="E235" s="8">
        <v>6.576428925E7</v>
      </c>
    </row>
    <row r="236">
      <c r="A236" s="7" t="str">
        <f>IFERROR(__xludf.DUMMYFUNCTION("""COMPUTED_VALUE"""),"China")</f>
        <v>China</v>
      </c>
      <c r="B236" s="7" t="str">
        <f>IFERROR(__xludf.DUMMYFUNCTION("""COMPUTED_VALUE"""),"Marvin-Kuhic")</f>
        <v>Marvin-Kuhic</v>
      </c>
      <c r="C236" s="8">
        <f>IFERROR(__xludf.DUMMYFUNCTION("""COMPUTED_VALUE"""),1.78)</f>
        <v>1.78</v>
      </c>
      <c r="D236" s="7">
        <v>1.425887337E9</v>
      </c>
      <c r="E236" s="8">
        <v>2.53807945986E9</v>
      </c>
    </row>
    <row r="237">
      <c r="A237" s="7" t="str">
        <f>IFERROR(__xludf.DUMMYFUNCTION("""COMPUTED_VALUE"""),"Belarus")</f>
        <v>Belarus</v>
      </c>
      <c r="B237" s="7" t="str">
        <f>IFERROR(__xludf.DUMMYFUNCTION("""COMPUTED_VALUE"""),"Rosenbaum-Schneider")</f>
        <v>Rosenbaum-Schneider</v>
      </c>
      <c r="C237" s="8">
        <f>IFERROR(__xludf.DUMMYFUNCTION("""COMPUTED_VALUE"""),1.74)</f>
        <v>1.74</v>
      </c>
      <c r="D237" s="7">
        <v>9534954.0</v>
      </c>
      <c r="E237" s="8">
        <v>1.6590819959999999E7</v>
      </c>
    </row>
    <row r="238">
      <c r="A238" s="7" t="str">
        <f>IFERROR(__xludf.DUMMYFUNCTION("""COMPUTED_VALUE"""),"Poland")</f>
        <v>Poland</v>
      </c>
      <c r="B238" s="7" t="str">
        <f>IFERROR(__xludf.DUMMYFUNCTION("""COMPUTED_VALUE"""),"Wisoky, Becker and Ward")</f>
        <v>Wisoky, Becker and Ward</v>
      </c>
      <c r="C238" s="8">
        <f>IFERROR(__xludf.DUMMYFUNCTION("""COMPUTED_VALUE"""),1.81)</f>
        <v>1.81</v>
      </c>
      <c r="D238" s="7">
        <v>3.9857145E7</v>
      </c>
      <c r="E238" s="8">
        <v>7.214143245E7</v>
      </c>
    </row>
    <row r="239">
      <c r="A239" s="7" t="str">
        <f>IFERROR(__xludf.DUMMYFUNCTION("""COMPUTED_VALUE"""),"Norway")</f>
        <v>Norway</v>
      </c>
      <c r="B239" s="7" t="str">
        <f>IFERROR(__xludf.DUMMYFUNCTION("""COMPUTED_VALUE"""),"Wisoky, Schroeder and Kulas")</f>
        <v>Wisoky, Schroeder and Kulas</v>
      </c>
      <c r="C239" s="8">
        <f>IFERROR(__xludf.DUMMYFUNCTION("""COMPUTED_VALUE"""),2.18)</f>
        <v>2.18</v>
      </c>
      <c r="D239" s="7">
        <v>5434319.0</v>
      </c>
      <c r="E239" s="8">
        <v>1.1846815420000002E7</v>
      </c>
    </row>
    <row r="240">
      <c r="A240" s="7" t="str">
        <f>IFERROR(__xludf.DUMMYFUNCTION("""COMPUTED_VALUE"""),"Peru")</f>
        <v>Peru</v>
      </c>
      <c r="B240" s="7" t="str">
        <f>IFERROR(__xludf.DUMMYFUNCTION("""COMPUTED_VALUE"""),"Wuckert-Connelly")</f>
        <v>Wuckert-Connelly</v>
      </c>
      <c r="C240" s="8">
        <f>IFERROR(__xludf.DUMMYFUNCTION("""COMPUTED_VALUE"""),2.07)</f>
        <v>2.07</v>
      </c>
      <c r="D240" s="7">
        <v>3.4049588E7</v>
      </c>
      <c r="E240" s="8">
        <v>7.048264716E7</v>
      </c>
    </row>
    <row r="241">
      <c r="A241" s="7" t="str">
        <f>IFERROR(__xludf.DUMMYFUNCTION("""COMPUTED_VALUE"""),"Indonesia")</f>
        <v>Indonesia</v>
      </c>
      <c r="B241" s="7" t="str">
        <f>IFERROR(__xludf.DUMMYFUNCTION("""COMPUTED_VALUE"""),"Stehr LLC")</f>
        <v>Stehr LLC</v>
      </c>
      <c r="C241" s="8">
        <f>IFERROR(__xludf.DUMMYFUNCTION("""COMPUTED_VALUE"""),1.31)</f>
        <v>1.31</v>
      </c>
      <c r="D241" s="7">
        <v>2.75501339E8</v>
      </c>
      <c r="E241" s="8">
        <v>3.6090675409000003E8</v>
      </c>
    </row>
    <row r="242">
      <c r="A242" s="7" t="str">
        <f>IFERROR(__xludf.DUMMYFUNCTION("""COMPUTED_VALUE"""),"Philippines")</f>
        <v>Philippines</v>
      </c>
      <c r="B242" s="7" t="str">
        <f>IFERROR(__xludf.DUMMYFUNCTION("""COMPUTED_VALUE"""),"Zemlak, Feest and Bayer")</f>
        <v>Zemlak, Feest and Bayer</v>
      </c>
      <c r="C242" s="8">
        <f>IFERROR(__xludf.DUMMYFUNCTION("""COMPUTED_VALUE"""),1.22)</f>
        <v>1.22</v>
      </c>
      <c r="D242" s="7">
        <v>1.15559009E8</v>
      </c>
      <c r="E242" s="8">
        <v>1.4098199098E8</v>
      </c>
    </row>
    <row r="243">
      <c r="A243" s="7" t="str">
        <f>IFERROR(__xludf.DUMMYFUNCTION("""COMPUTED_VALUE"""),"Ecuador")</f>
        <v>Ecuador</v>
      </c>
      <c r="B243" s="7" t="str">
        <f>IFERROR(__xludf.DUMMYFUNCTION("""COMPUTED_VALUE"""),"Zboncak-Rolfson")</f>
        <v>Zboncak-Rolfson</v>
      </c>
      <c r="C243" s="8">
        <f>IFERROR(__xludf.DUMMYFUNCTION("""COMPUTED_VALUE"""),2.03)</f>
        <v>2.03</v>
      </c>
      <c r="D243" s="7">
        <v>1.8001E7</v>
      </c>
      <c r="E243" s="8">
        <v>3.654203E7</v>
      </c>
    </row>
    <row r="244">
      <c r="A244" s="7" t="str">
        <f>IFERROR(__xludf.DUMMYFUNCTION("""COMPUTED_VALUE"""),"China")</f>
        <v>China</v>
      </c>
      <c r="B244" s="7" t="str">
        <f>IFERROR(__xludf.DUMMYFUNCTION("""COMPUTED_VALUE"""),"McCullough Inc")</f>
        <v>McCullough Inc</v>
      </c>
      <c r="C244" s="8">
        <f>IFERROR(__xludf.DUMMYFUNCTION("""COMPUTED_VALUE"""),1.96)</f>
        <v>1.96</v>
      </c>
      <c r="D244" s="7">
        <v>1.425887337E9</v>
      </c>
      <c r="E244" s="8">
        <v>2.79473918052E9</v>
      </c>
    </row>
    <row r="245">
      <c r="A245" s="7" t="str">
        <f>IFERROR(__xludf.DUMMYFUNCTION("""COMPUTED_VALUE"""),"Poland")</f>
        <v>Poland</v>
      </c>
      <c r="B245" s="7" t="str">
        <f>IFERROR(__xludf.DUMMYFUNCTION("""COMPUTED_VALUE"""),"Pacocha, Waters and Hahn")</f>
        <v>Pacocha, Waters and Hahn</v>
      </c>
      <c r="C245" s="8">
        <f>IFERROR(__xludf.DUMMYFUNCTION("""COMPUTED_VALUE"""),1.63)</f>
        <v>1.63</v>
      </c>
      <c r="D245" s="7">
        <v>3.9857145E7</v>
      </c>
      <c r="E245" s="8">
        <v>6.4967146349999994E7</v>
      </c>
    </row>
    <row r="246">
      <c r="A246" s="7" t="str">
        <f>IFERROR(__xludf.DUMMYFUNCTION("""COMPUTED_VALUE"""),"China")</f>
        <v>China</v>
      </c>
      <c r="B246" s="7" t="str">
        <f>IFERROR(__xludf.DUMMYFUNCTION("""COMPUTED_VALUE"""),"Farrell, Cummings and Hettinger")</f>
        <v>Farrell, Cummings and Hettinger</v>
      </c>
      <c r="C246" s="8">
        <f>IFERROR(__xludf.DUMMYFUNCTION("""COMPUTED_VALUE"""),1.33)</f>
        <v>1.33</v>
      </c>
      <c r="D246" s="7">
        <v>1.425887337E9</v>
      </c>
      <c r="E246" s="8">
        <v>1.89643015821E9</v>
      </c>
    </row>
    <row r="247">
      <c r="A247" s="7" t="str">
        <f>IFERROR(__xludf.DUMMYFUNCTION("""COMPUTED_VALUE"""),"Russia")</f>
        <v>Russia</v>
      </c>
      <c r="B247" s="7" t="str">
        <f>IFERROR(__xludf.DUMMYFUNCTION("""COMPUTED_VALUE"""),"Batz, Hodkiewicz and Gulgowski")</f>
        <v>Batz, Hodkiewicz and Gulgowski</v>
      </c>
      <c r="C247" s="8">
        <f>IFERROR(__xludf.DUMMYFUNCTION("""COMPUTED_VALUE"""),1.18)</f>
        <v>1.18</v>
      </c>
      <c r="D247" s="7">
        <v>1.44713314E8</v>
      </c>
      <c r="E247" s="8">
        <v>1.7076171051999998E8</v>
      </c>
    </row>
    <row r="248">
      <c r="A248" s="7" t="str">
        <f>IFERROR(__xludf.DUMMYFUNCTION("""COMPUTED_VALUE"""),"Indonesia")</f>
        <v>Indonesia</v>
      </c>
      <c r="B248" s="7" t="str">
        <f>IFERROR(__xludf.DUMMYFUNCTION("""COMPUTED_VALUE"""),"Daugherty-Ebert")</f>
        <v>Daugherty-Ebert</v>
      </c>
      <c r="C248" s="8">
        <f>IFERROR(__xludf.DUMMYFUNCTION("""COMPUTED_VALUE"""),2.11)</f>
        <v>2.11</v>
      </c>
      <c r="D248" s="7">
        <v>2.75501339E8</v>
      </c>
      <c r="E248" s="8">
        <v>5.8130782529E8</v>
      </c>
    </row>
    <row r="249">
      <c r="A249" s="7" t="str">
        <f>IFERROR(__xludf.DUMMYFUNCTION("""COMPUTED_VALUE"""),"United States")</f>
        <v>United States</v>
      </c>
      <c r="B249" s="7" t="str">
        <f>IFERROR(__xludf.DUMMYFUNCTION("""COMPUTED_VALUE"""),"Stoltenberg-Walker")</f>
        <v>Stoltenberg-Walker</v>
      </c>
      <c r="C249" s="8">
        <f>IFERROR(__xludf.DUMMYFUNCTION("""COMPUTED_VALUE"""),1.95)</f>
        <v>1.95</v>
      </c>
      <c r="D249" s="7">
        <v>3.38289857E8</v>
      </c>
      <c r="E249" s="8">
        <v>6.5966522115E8</v>
      </c>
    </row>
    <row r="250">
      <c r="A250" s="7" t="str">
        <f>IFERROR(__xludf.DUMMYFUNCTION("""COMPUTED_VALUE"""),"Estonia")</f>
        <v>Estonia</v>
      </c>
      <c r="B250" s="7" t="str">
        <f>IFERROR(__xludf.DUMMYFUNCTION("""COMPUTED_VALUE"""),"Boyle, Wyman and Shanahan")</f>
        <v>Boyle, Wyman and Shanahan</v>
      </c>
      <c r="C250" s="8">
        <f>IFERROR(__xludf.DUMMYFUNCTION("""COMPUTED_VALUE"""),1.51)</f>
        <v>1.51</v>
      </c>
      <c r="D250" s="7">
        <v>1326062.0</v>
      </c>
      <c r="E250" s="8">
        <v>2002353.62</v>
      </c>
    </row>
    <row r="251">
      <c r="A251" s="7" t="str">
        <f>IFERROR(__xludf.DUMMYFUNCTION("""COMPUTED_VALUE"""),"Indonesia")</f>
        <v>Indonesia</v>
      </c>
      <c r="B251" s="7" t="str">
        <f>IFERROR(__xludf.DUMMYFUNCTION("""COMPUTED_VALUE"""),"Kiehn LLC")</f>
        <v>Kiehn LLC</v>
      </c>
      <c r="C251" s="8">
        <f>IFERROR(__xludf.DUMMYFUNCTION("""COMPUTED_VALUE"""),1.71)</f>
        <v>1.71</v>
      </c>
      <c r="D251" s="7">
        <v>2.75501339E8</v>
      </c>
      <c r="E251" s="8">
        <v>4.7110728969E8</v>
      </c>
    </row>
    <row r="252">
      <c r="A252" s="7" t="str">
        <f>IFERROR(__xludf.DUMMYFUNCTION("""COMPUTED_VALUE"""),"China")</f>
        <v>China</v>
      </c>
      <c r="B252" s="7" t="str">
        <f>IFERROR(__xludf.DUMMYFUNCTION("""COMPUTED_VALUE"""),"Graham LLC")</f>
        <v>Graham LLC</v>
      </c>
      <c r="C252" s="8">
        <f>IFERROR(__xludf.DUMMYFUNCTION("""COMPUTED_VALUE"""),1.81)</f>
        <v>1.81</v>
      </c>
      <c r="D252" s="7">
        <v>1.425887337E9</v>
      </c>
      <c r="E252" s="8">
        <v>2.5808560799700003E9</v>
      </c>
    </row>
    <row r="253">
      <c r="A253" s="7" t="str">
        <f>IFERROR(__xludf.DUMMYFUNCTION("""COMPUTED_VALUE"""),"Denmark")</f>
        <v>Denmark</v>
      </c>
      <c r="B253" s="7" t="str">
        <f>IFERROR(__xludf.DUMMYFUNCTION("""COMPUTED_VALUE"""),"Heaney-Spinka")</f>
        <v>Heaney-Spinka</v>
      </c>
      <c r="C253" s="8">
        <f>IFERROR(__xludf.DUMMYFUNCTION("""COMPUTED_VALUE"""),0.89)</f>
        <v>0.89</v>
      </c>
      <c r="D253" s="7">
        <v>5882261.0</v>
      </c>
      <c r="E253" s="8">
        <v>5235212.29</v>
      </c>
    </row>
    <row r="254">
      <c r="A254" s="7" t="str">
        <f>IFERROR(__xludf.DUMMYFUNCTION("""COMPUTED_VALUE"""),"Poland")</f>
        <v>Poland</v>
      </c>
      <c r="B254" s="7" t="str">
        <f>IFERROR(__xludf.DUMMYFUNCTION("""COMPUTED_VALUE"""),"Collier-Konopelski")</f>
        <v>Collier-Konopelski</v>
      </c>
      <c r="C254" s="8">
        <f>IFERROR(__xludf.DUMMYFUNCTION("""COMPUTED_VALUE"""),1.54)</f>
        <v>1.54</v>
      </c>
      <c r="D254" s="7">
        <v>3.9857145E7</v>
      </c>
      <c r="E254" s="8">
        <v>6.1380003300000004E7</v>
      </c>
    </row>
    <row r="255">
      <c r="A255" s="7" t="str">
        <f>IFERROR(__xludf.DUMMYFUNCTION("""COMPUTED_VALUE"""),"Norway")</f>
        <v>Norway</v>
      </c>
      <c r="B255" s="7" t="str">
        <f>IFERROR(__xludf.DUMMYFUNCTION("""COMPUTED_VALUE"""),"Herzog Group")</f>
        <v>Herzog Group</v>
      </c>
      <c r="C255" s="8">
        <f>IFERROR(__xludf.DUMMYFUNCTION("""COMPUTED_VALUE"""),1.52)</f>
        <v>1.52</v>
      </c>
      <c r="D255" s="7">
        <v>5434319.0</v>
      </c>
      <c r="E255" s="8">
        <v>8260164.88</v>
      </c>
    </row>
    <row r="256">
      <c r="A256" s="7" t="str">
        <f>IFERROR(__xludf.DUMMYFUNCTION("""COMPUTED_VALUE"""),"Japan")</f>
        <v>Japan</v>
      </c>
      <c r="B256" s="7" t="str">
        <f>IFERROR(__xludf.DUMMYFUNCTION("""COMPUTED_VALUE"""),"Schaden-Hamill")</f>
        <v>Schaden-Hamill</v>
      </c>
      <c r="C256" s="8">
        <f>IFERROR(__xludf.DUMMYFUNCTION("""COMPUTED_VALUE"""),1.1)</f>
        <v>1.1</v>
      </c>
      <c r="D256" s="7">
        <v>1.23951692E8</v>
      </c>
      <c r="E256" s="8">
        <v>1.3634686120000002E8</v>
      </c>
    </row>
    <row r="257">
      <c r="A257" s="7" t="str">
        <f>IFERROR(__xludf.DUMMYFUNCTION("""COMPUTED_VALUE"""),"Ukraine")</f>
        <v>Ukraine</v>
      </c>
      <c r="B257" s="7" t="str">
        <f>IFERROR(__xludf.DUMMYFUNCTION("""COMPUTED_VALUE"""),"Cummings and Sons")</f>
        <v>Cummings and Sons</v>
      </c>
      <c r="C257" s="8">
        <f>IFERROR(__xludf.DUMMYFUNCTION("""COMPUTED_VALUE"""),1.94)</f>
        <v>1.94</v>
      </c>
      <c r="D257" s="7">
        <v>3.9701739E7</v>
      </c>
      <c r="E257" s="8">
        <v>7.702137366E7</v>
      </c>
    </row>
    <row r="258">
      <c r="A258" s="7" t="str">
        <f>IFERROR(__xludf.DUMMYFUNCTION("""COMPUTED_VALUE"""),"China")</f>
        <v>China</v>
      </c>
      <c r="B258" s="7" t="str">
        <f>IFERROR(__xludf.DUMMYFUNCTION("""COMPUTED_VALUE"""),"Rutherford-Yost")</f>
        <v>Rutherford-Yost</v>
      </c>
      <c r="C258" s="8">
        <f>IFERROR(__xludf.DUMMYFUNCTION("""COMPUTED_VALUE"""),1.59)</f>
        <v>1.59</v>
      </c>
      <c r="D258" s="7">
        <v>1.425887337E9</v>
      </c>
      <c r="E258" s="8">
        <v>2.26716086583E9</v>
      </c>
    </row>
    <row r="259">
      <c r="A259" s="7" t="str">
        <f>IFERROR(__xludf.DUMMYFUNCTION("""COMPUTED_VALUE"""),"Mongolia")</f>
        <v>Mongolia</v>
      </c>
      <c r="B259" s="7" t="str">
        <f>IFERROR(__xludf.DUMMYFUNCTION("""COMPUTED_VALUE"""),"Gutmann, Grimes and Sawayn")</f>
        <v>Gutmann, Grimes and Sawayn</v>
      </c>
      <c r="C259" s="8">
        <f>IFERROR(__xludf.DUMMYFUNCTION("""COMPUTED_VALUE"""),1.75)</f>
        <v>1.75</v>
      </c>
      <c r="D259" s="7">
        <v>3398366.0</v>
      </c>
      <c r="E259" s="8">
        <v>5947140.5</v>
      </c>
    </row>
    <row r="260">
      <c r="A260" s="7" t="str">
        <f>IFERROR(__xludf.DUMMYFUNCTION("""COMPUTED_VALUE"""),"Portugal")</f>
        <v>Portugal</v>
      </c>
      <c r="B260" s="7" t="str">
        <f>IFERROR(__xludf.DUMMYFUNCTION("""COMPUTED_VALUE"""),"Leffler-Howell")</f>
        <v>Leffler-Howell</v>
      </c>
      <c r="C260" s="8">
        <f>IFERROR(__xludf.DUMMYFUNCTION("""COMPUTED_VALUE"""),2.11)</f>
        <v>2.11</v>
      </c>
      <c r="D260" s="7">
        <v>1.0270865E7</v>
      </c>
      <c r="E260" s="8">
        <v>2.167152515E7</v>
      </c>
    </row>
    <row r="261">
      <c r="A261" s="7" t="str">
        <f>IFERROR(__xludf.DUMMYFUNCTION("""COMPUTED_VALUE"""),"Russia")</f>
        <v>Russia</v>
      </c>
      <c r="B261" s="7" t="str">
        <f>IFERROR(__xludf.DUMMYFUNCTION("""COMPUTED_VALUE"""),"Davis, Ruecker and Hessel")</f>
        <v>Davis, Ruecker and Hessel</v>
      </c>
      <c r="C261" s="8">
        <f>IFERROR(__xludf.DUMMYFUNCTION("""COMPUTED_VALUE"""),1.9)</f>
        <v>1.9</v>
      </c>
      <c r="D261" s="7">
        <v>1.44713314E8</v>
      </c>
      <c r="E261" s="8">
        <v>2.7495529659999996E8</v>
      </c>
    </row>
    <row r="262">
      <c r="A262" s="7" t="str">
        <f>IFERROR(__xludf.DUMMYFUNCTION("""COMPUTED_VALUE"""),"Russia")</f>
        <v>Russia</v>
      </c>
      <c r="B262" s="7" t="str">
        <f>IFERROR(__xludf.DUMMYFUNCTION("""COMPUTED_VALUE"""),"Donnelly-Raynor")</f>
        <v>Donnelly-Raynor</v>
      </c>
      <c r="C262" s="8">
        <f>IFERROR(__xludf.DUMMYFUNCTION("""COMPUTED_VALUE"""),1.86)</f>
        <v>1.86</v>
      </c>
      <c r="D262" s="7">
        <v>1.44713314E8</v>
      </c>
      <c r="E262" s="8">
        <v>2.6916676404E8</v>
      </c>
    </row>
    <row r="263">
      <c r="A263" s="7" t="str">
        <f>IFERROR(__xludf.DUMMYFUNCTION("""COMPUTED_VALUE"""),"South Korea")</f>
        <v>South Korea</v>
      </c>
      <c r="B263" s="7" t="str">
        <f>IFERROR(__xludf.DUMMYFUNCTION("""COMPUTED_VALUE"""),"Gottlieb LLC")</f>
        <v>Gottlieb LLC</v>
      </c>
      <c r="C263" s="8">
        <f>IFERROR(__xludf.DUMMYFUNCTION("""COMPUTED_VALUE"""),1.88)</f>
        <v>1.88</v>
      </c>
      <c r="D263" s="7">
        <v>5.181581E7</v>
      </c>
      <c r="E263" s="8">
        <v>9.74137228E7</v>
      </c>
    </row>
    <row r="264">
      <c r="A264" s="7" t="str">
        <f>IFERROR(__xludf.DUMMYFUNCTION("""COMPUTED_VALUE"""),"Tanzania")</f>
        <v>Tanzania</v>
      </c>
      <c r="B264" s="7" t="str">
        <f>IFERROR(__xludf.DUMMYFUNCTION("""COMPUTED_VALUE"""),"Adams, Hudson and Bechtelar")</f>
        <v>Adams, Hudson and Bechtelar</v>
      </c>
      <c r="C264" s="8">
        <f>IFERROR(__xludf.DUMMYFUNCTION("""COMPUTED_VALUE"""),1.34)</f>
        <v>1.34</v>
      </c>
      <c r="D264" s="7">
        <v>6.5497748E7</v>
      </c>
      <c r="E264" s="8">
        <v>8.776698232000001E7</v>
      </c>
    </row>
    <row r="265">
      <c r="A265" s="7" t="str">
        <f>IFERROR(__xludf.DUMMYFUNCTION("""COMPUTED_VALUE"""),"Saudi Arabia")</f>
        <v>Saudi Arabia</v>
      </c>
      <c r="B265" s="7" t="str">
        <f>IFERROR(__xludf.DUMMYFUNCTION("""COMPUTED_VALUE"""),"Veum Group")</f>
        <v>Veum Group</v>
      </c>
      <c r="C265" s="8">
        <f>IFERROR(__xludf.DUMMYFUNCTION("""COMPUTED_VALUE"""),1.13)</f>
        <v>1.13</v>
      </c>
      <c r="D265" s="7">
        <v>3.640882E7</v>
      </c>
      <c r="E265" s="8">
        <v>4.1141966599999994E7</v>
      </c>
    </row>
    <row r="266">
      <c r="A266" s="7" t="str">
        <f>IFERROR(__xludf.DUMMYFUNCTION("""COMPUTED_VALUE"""),"Portugal")</f>
        <v>Portugal</v>
      </c>
      <c r="B266" s="7" t="str">
        <f>IFERROR(__xludf.DUMMYFUNCTION("""COMPUTED_VALUE"""),"Renner, Lynch and Bashirian")</f>
        <v>Renner, Lynch and Bashirian</v>
      </c>
      <c r="C266" s="8">
        <f>IFERROR(__xludf.DUMMYFUNCTION("""COMPUTED_VALUE"""),1.16)</f>
        <v>1.16</v>
      </c>
      <c r="D266" s="7">
        <v>1.0270865E7</v>
      </c>
      <c r="E266" s="8">
        <v>1.1914203399999999E7</v>
      </c>
    </row>
    <row r="267">
      <c r="A267" s="7" t="str">
        <f>IFERROR(__xludf.DUMMYFUNCTION("""COMPUTED_VALUE"""),"Madagascar")</f>
        <v>Madagascar</v>
      </c>
      <c r="B267" s="7" t="str">
        <f>IFERROR(__xludf.DUMMYFUNCTION("""COMPUTED_VALUE"""),"Collier, Rath and West")</f>
        <v>Collier, Rath and West</v>
      </c>
      <c r="C267" s="8">
        <f>IFERROR(__xludf.DUMMYFUNCTION("""COMPUTED_VALUE"""),1.5)</f>
        <v>1.5</v>
      </c>
      <c r="D267" s="7">
        <v>2.9611714E7</v>
      </c>
      <c r="E267" s="8">
        <v>4.4417571E7</v>
      </c>
    </row>
    <row r="268">
      <c r="A268" s="7" t="str">
        <f>IFERROR(__xludf.DUMMYFUNCTION("""COMPUTED_VALUE"""),"Netherlands")</f>
        <v>Netherlands</v>
      </c>
      <c r="B268" s="7" t="str">
        <f>IFERROR(__xludf.DUMMYFUNCTION("""COMPUTED_VALUE"""),"Huel Inc")</f>
        <v>Huel Inc</v>
      </c>
      <c r="C268" s="8">
        <f>IFERROR(__xludf.DUMMYFUNCTION("""COMPUTED_VALUE"""),0.87)</f>
        <v>0.87</v>
      </c>
      <c r="D268" s="7">
        <v>1.7564014E7</v>
      </c>
      <c r="E268" s="8">
        <v>1.528069218E7</v>
      </c>
    </row>
    <row r="269">
      <c r="A269" s="7" t="str">
        <f>IFERROR(__xludf.DUMMYFUNCTION("""COMPUTED_VALUE"""),"China")</f>
        <v>China</v>
      </c>
      <c r="B269" s="7" t="str">
        <f>IFERROR(__xludf.DUMMYFUNCTION("""COMPUTED_VALUE"""),"Glover, Kihn and West")</f>
        <v>Glover, Kihn and West</v>
      </c>
      <c r="C269" s="8">
        <f>IFERROR(__xludf.DUMMYFUNCTION("""COMPUTED_VALUE"""),1.47)</f>
        <v>1.47</v>
      </c>
      <c r="D269" s="7">
        <v>1.425887337E9</v>
      </c>
      <c r="E269" s="8">
        <v>2.0960543853899999E9</v>
      </c>
    </row>
    <row r="270">
      <c r="A270" s="7" t="str">
        <f>IFERROR(__xludf.DUMMYFUNCTION("""COMPUTED_VALUE"""),"Russia")</f>
        <v>Russia</v>
      </c>
      <c r="B270" s="7" t="str">
        <f>IFERROR(__xludf.DUMMYFUNCTION("""COMPUTED_VALUE"""),"Swaniawski-Nitzsche")</f>
        <v>Swaniawski-Nitzsche</v>
      </c>
      <c r="C270" s="8">
        <f>IFERROR(__xludf.DUMMYFUNCTION("""COMPUTED_VALUE"""),2.17)</f>
        <v>2.17</v>
      </c>
      <c r="D270" s="7">
        <v>1.44713314E8</v>
      </c>
      <c r="E270" s="8">
        <v>3.1402789138E8</v>
      </c>
    </row>
    <row r="271">
      <c r="A271" s="7" t="str">
        <f>IFERROR(__xludf.DUMMYFUNCTION("""COMPUTED_VALUE"""),"Moldova")</f>
        <v>Moldova</v>
      </c>
      <c r="B271" s="7" t="str">
        <f>IFERROR(__xludf.DUMMYFUNCTION("""COMPUTED_VALUE"""),"Ernser-Aufderhar")</f>
        <v>Ernser-Aufderhar</v>
      </c>
      <c r="C271" s="8">
        <f>IFERROR(__xludf.DUMMYFUNCTION("""COMPUTED_VALUE"""),1.64)</f>
        <v>1.64</v>
      </c>
      <c r="D271" s="7">
        <v>3272996.0</v>
      </c>
      <c r="E271" s="8">
        <v>5367713.4399999995</v>
      </c>
    </row>
    <row r="272">
      <c r="A272" s="7" t="str">
        <f>IFERROR(__xludf.DUMMYFUNCTION("""COMPUTED_VALUE"""),"Ukraine")</f>
        <v>Ukraine</v>
      </c>
      <c r="B272" s="7" t="str">
        <f>IFERROR(__xludf.DUMMYFUNCTION("""COMPUTED_VALUE"""),"Jones Inc")</f>
        <v>Jones Inc</v>
      </c>
      <c r="C272" s="8">
        <f>IFERROR(__xludf.DUMMYFUNCTION("""COMPUTED_VALUE"""),0.9)</f>
        <v>0.9</v>
      </c>
      <c r="D272" s="7">
        <v>3.9701739E7</v>
      </c>
      <c r="E272" s="8">
        <v>3.57315651E7</v>
      </c>
    </row>
    <row r="273">
      <c r="A273" s="7" t="str">
        <f>IFERROR(__xludf.DUMMYFUNCTION("""COMPUTED_VALUE"""),"China")</f>
        <v>China</v>
      </c>
      <c r="B273" s="7" t="str">
        <f>IFERROR(__xludf.DUMMYFUNCTION("""COMPUTED_VALUE"""),"Fritsch Inc")</f>
        <v>Fritsch Inc</v>
      </c>
      <c r="C273" s="8">
        <f>IFERROR(__xludf.DUMMYFUNCTION("""COMPUTED_VALUE"""),1.6)</f>
        <v>1.6</v>
      </c>
      <c r="D273" s="7">
        <v>1.425887337E9</v>
      </c>
      <c r="E273" s="8">
        <v>2.2814197392000003E9</v>
      </c>
    </row>
    <row r="274">
      <c r="A274" s="7" t="str">
        <f>IFERROR(__xludf.DUMMYFUNCTION("""COMPUTED_VALUE"""),"China")</f>
        <v>China</v>
      </c>
      <c r="B274" s="7" t="str">
        <f>IFERROR(__xludf.DUMMYFUNCTION("""COMPUTED_VALUE"""),"Emmerich-Beatty")</f>
        <v>Emmerich-Beatty</v>
      </c>
      <c r="C274" s="8">
        <f>IFERROR(__xludf.DUMMYFUNCTION("""COMPUTED_VALUE"""),0.87)</f>
        <v>0.87</v>
      </c>
      <c r="D274" s="7">
        <v>1.425887337E9</v>
      </c>
      <c r="E274" s="8">
        <v>1.24052198319E9</v>
      </c>
    </row>
    <row r="275">
      <c r="A275" s="7" t="str">
        <f>IFERROR(__xludf.DUMMYFUNCTION("""COMPUTED_VALUE"""),"China")</f>
        <v>China</v>
      </c>
      <c r="B275" s="7" t="str">
        <f>IFERROR(__xludf.DUMMYFUNCTION("""COMPUTED_VALUE"""),"Effertz Inc")</f>
        <v>Effertz Inc</v>
      </c>
      <c r="C275" s="8">
        <f>IFERROR(__xludf.DUMMYFUNCTION("""COMPUTED_VALUE"""),1.21)</f>
        <v>1.21</v>
      </c>
      <c r="D275" s="7">
        <v>1.425887337E9</v>
      </c>
      <c r="E275" s="8">
        <v>1.72532367777E9</v>
      </c>
    </row>
    <row r="276">
      <c r="A276" s="7" t="str">
        <f>IFERROR(__xludf.DUMMYFUNCTION("""COMPUTED_VALUE"""),"China")</f>
        <v>China</v>
      </c>
      <c r="B276" s="7" t="str">
        <f>IFERROR(__xludf.DUMMYFUNCTION("""COMPUTED_VALUE"""),"Ledner-Lakin")</f>
        <v>Ledner-Lakin</v>
      </c>
      <c r="C276" s="8">
        <f>IFERROR(__xludf.DUMMYFUNCTION("""COMPUTED_VALUE"""),1.5)</f>
        <v>1.5</v>
      </c>
      <c r="D276" s="7">
        <v>1.425887337E9</v>
      </c>
      <c r="E276" s="8">
        <v>2.1388310055E9</v>
      </c>
    </row>
    <row r="277">
      <c r="A277" s="7" t="str">
        <f>IFERROR(__xludf.DUMMYFUNCTION("""COMPUTED_VALUE"""),"Morocco")</f>
        <v>Morocco</v>
      </c>
      <c r="B277" s="7" t="str">
        <f>IFERROR(__xludf.DUMMYFUNCTION("""COMPUTED_VALUE"""),"Moore-Hayes")</f>
        <v>Moore-Hayes</v>
      </c>
      <c r="C277" s="8">
        <f>IFERROR(__xludf.DUMMYFUNCTION("""COMPUTED_VALUE"""),1.37)</f>
        <v>1.37</v>
      </c>
      <c r="D277" s="7">
        <v>3.7457971E7</v>
      </c>
      <c r="E277" s="8">
        <v>5.131742027E7</v>
      </c>
    </row>
    <row r="278">
      <c r="A278" s="7" t="str">
        <f>IFERROR(__xludf.DUMMYFUNCTION("""COMPUTED_VALUE"""),"China")</f>
        <v>China</v>
      </c>
      <c r="B278" s="7" t="str">
        <f>IFERROR(__xludf.DUMMYFUNCTION("""COMPUTED_VALUE"""),"Mraz-Kohler")</f>
        <v>Mraz-Kohler</v>
      </c>
      <c r="C278" s="8">
        <f>IFERROR(__xludf.DUMMYFUNCTION("""COMPUTED_VALUE"""),2.08)</f>
        <v>2.08</v>
      </c>
      <c r="D278" s="7">
        <v>1.425887337E9</v>
      </c>
      <c r="E278" s="8">
        <v>2.96584566096E9</v>
      </c>
    </row>
    <row r="279">
      <c r="A279" s="7" t="str">
        <f>IFERROR(__xludf.DUMMYFUNCTION("""COMPUTED_VALUE"""),"Malaysia")</f>
        <v>Malaysia</v>
      </c>
      <c r="B279" s="7" t="str">
        <f>IFERROR(__xludf.DUMMYFUNCTION("""COMPUTED_VALUE"""),"Franecki Inc")</f>
        <v>Franecki Inc</v>
      </c>
      <c r="C279" s="8">
        <f>IFERROR(__xludf.DUMMYFUNCTION("""COMPUTED_VALUE"""),0.91)</f>
        <v>0.91</v>
      </c>
      <c r="D279" s="7">
        <v>3.3938221E7</v>
      </c>
      <c r="E279" s="8">
        <v>3.088378111E7</v>
      </c>
    </row>
    <row r="280">
      <c r="A280" s="7" t="str">
        <f>IFERROR(__xludf.DUMMYFUNCTION("""COMPUTED_VALUE"""),"Mexico")</f>
        <v>Mexico</v>
      </c>
      <c r="B280" s="7" t="str">
        <f>IFERROR(__xludf.DUMMYFUNCTION("""COMPUTED_VALUE"""),"Kris-Quigley")</f>
        <v>Kris-Quigley</v>
      </c>
      <c r="C280" s="8">
        <f>IFERROR(__xludf.DUMMYFUNCTION("""COMPUTED_VALUE"""),2.03)</f>
        <v>2.03</v>
      </c>
      <c r="D280" s="7">
        <v>1.27504125E8</v>
      </c>
      <c r="E280" s="8">
        <v>2.5883337374999997E8</v>
      </c>
    </row>
    <row r="281">
      <c r="A281" s="7" t="str">
        <f>IFERROR(__xludf.DUMMYFUNCTION("""COMPUTED_VALUE"""),"Brazil")</f>
        <v>Brazil</v>
      </c>
      <c r="B281" s="7" t="str">
        <f>IFERROR(__xludf.DUMMYFUNCTION("""COMPUTED_VALUE"""),"Hagenes-Schaden")</f>
        <v>Hagenes-Schaden</v>
      </c>
      <c r="C281" s="8">
        <f>IFERROR(__xludf.DUMMYFUNCTION("""COMPUTED_VALUE"""),1.05)</f>
        <v>1.05</v>
      </c>
      <c r="D281" s="7">
        <v>2.15313498E8</v>
      </c>
      <c r="E281" s="8">
        <v>2.260791729E8</v>
      </c>
    </row>
    <row r="282">
      <c r="A282" s="7" t="str">
        <f>IFERROR(__xludf.DUMMYFUNCTION("""COMPUTED_VALUE"""),"Poland")</f>
        <v>Poland</v>
      </c>
      <c r="B282" s="7" t="str">
        <f>IFERROR(__xludf.DUMMYFUNCTION("""COMPUTED_VALUE"""),"Marvin-McKenzie")</f>
        <v>Marvin-McKenzie</v>
      </c>
      <c r="C282" s="8">
        <f>IFERROR(__xludf.DUMMYFUNCTION("""COMPUTED_VALUE"""),1.82)</f>
        <v>1.82</v>
      </c>
      <c r="D282" s="7">
        <v>3.9857145E7</v>
      </c>
      <c r="E282" s="8">
        <v>7.25400039E7</v>
      </c>
    </row>
    <row r="283">
      <c r="A283" s="7" t="str">
        <f>IFERROR(__xludf.DUMMYFUNCTION("""COMPUTED_VALUE"""),"Sweden")</f>
        <v>Sweden</v>
      </c>
      <c r="B283" s="7" t="str">
        <f>IFERROR(__xludf.DUMMYFUNCTION("""COMPUTED_VALUE"""),"Rogahn Inc")</f>
        <v>Rogahn Inc</v>
      </c>
      <c r="C283" s="8">
        <f>IFERROR(__xludf.DUMMYFUNCTION("""COMPUTED_VALUE"""),2.09)</f>
        <v>2.09</v>
      </c>
      <c r="D283" s="7">
        <v>1.0549347E7</v>
      </c>
      <c r="E283" s="8">
        <v>2.2048135229999997E7</v>
      </c>
    </row>
    <row r="284">
      <c r="A284" s="7" t="str">
        <f>IFERROR(__xludf.DUMMYFUNCTION("""COMPUTED_VALUE"""),"Sweden")</f>
        <v>Sweden</v>
      </c>
      <c r="B284" s="7" t="str">
        <f>IFERROR(__xludf.DUMMYFUNCTION("""COMPUTED_VALUE"""),"Baumbach-Barton")</f>
        <v>Baumbach-Barton</v>
      </c>
      <c r="C284" s="8">
        <f>IFERROR(__xludf.DUMMYFUNCTION("""COMPUTED_VALUE"""),1.89)</f>
        <v>1.89</v>
      </c>
      <c r="D284" s="7">
        <v>1.0549347E7</v>
      </c>
      <c r="E284" s="8">
        <v>1.993826583E7</v>
      </c>
    </row>
    <row r="285">
      <c r="A285" s="7" t="str">
        <f>IFERROR(__xludf.DUMMYFUNCTION("""COMPUTED_VALUE"""),"China")</f>
        <v>China</v>
      </c>
      <c r="B285" s="7" t="str">
        <f>IFERROR(__xludf.DUMMYFUNCTION("""COMPUTED_VALUE"""),"Gerhold, Thiel and Mitchell")</f>
        <v>Gerhold, Thiel and Mitchell</v>
      </c>
      <c r="C285" s="8">
        <f>IFERROR(__xludf.DUMMYFUNCTION("""COMPUTED_VALUE"""),1.68)</f>
        <v>1.68</v>
      </c>
      <c r="D285" s="7">
        <v>1.425887337E9</v>
      </c>
      <c r="E285" s="8">
        <v>2.39549072616E9</v>
      </c>
    </row>
    <row r="286">
      <c r="A286" s="7" t="str">
        <f>IFERROR(__xludf.DUMMYFUNCTION("""COMPUTED_VALUE"""),"Russia")</f>
        <v>Russia</v>
      </c>
      <c r="B286" s="7" t="str">
        <f>IFERROR(__xludf.DUMMYFUNCTION("""COMPUTED_VALUE"""),"Satterfield, Keeling and Rosenbaum")</f>
        <v>Satterfield, Keeling and Rosenbaum</v>
      </c>
      <c r="C286" s="8">
        <f>IFERROR(__xludf.DUMMYFUNCTION("""COMPUTED_VALUE"""),1.44)</f>
        <v>1.44</v>
      </c>
      <c r="D286" s="7">
        <v>1.44713314E8</v>
      </c>
      <c r="E286" s="8">
        <v>2.0838717216E8</v>
      </c>
    </row>
    <row r="287">
      <c r="A287" s="7" t="str">
        <f>IFERROR(__xludf.DUMMYFUNCTION("""COMPUTED_VALUE"""),"Greece")</f>
        <v>Greece</v>
      </c>
      <c r="B287" s="7" t="str">
        <f>IFERROR(__xludf.DUMMYFUNCTION("""COMPUTED_VALUE"""),"Kirlin and Sons")</f>
        <v>Kirlin and Sons</v>
      </c>
      <c r="C287" s="8">
        <f>IFERROR(__xludf.DUMMYFUNCTION("""COMPUTED_VALUE"""),1.04)</f>
        <v>1.04</v>
      </c>
      <c r="D287" s="7">
        <v>1.0384971E7</v>
      </c>
      <c r="E287" s="8">
        <v>1.080036984E7</v>
      </c>
    </row>
    <row r="288">
      <c r="A288" s="7" t="str">
        <f>IFERROR(__xludf.DUMMYFUNCTION("""COMPUTED_VALUE"""),"China")</f>
        <v>China</v>
      </c>
      <c r="B288" s="7" t="str">
        <f>IFERROR(__xludf.DUMMYFUNCTION("""COMPUTED_VALUE"""),"Doyle-Predovic")</f>
        <v>Doyle-Predovic</v>
      </c>
      <c r="C288" s="8">
        <f>IFERROR(__xludf.DUMMYFUNCTION("""COMPUTED_VALUE"""),1.76)</f>
        <v>1.76</v>
      </c>
      <c r="D288" s="7">
        <v>1.425887337E9</v>
      </c>
      <c r="E288" s="8">
        <v>2.50956171312E9</v>
      </c>
    </row>
    <row r="289">
      <c r="A289" s="7" t="str">
        <f>IFERROR(__xludf.DUMMYFUNCTION("""COMPUTED_VALUE"""),"United States")</f>
        <v>United States</v>
      </c>
      <c r="B289" s="7" t="str">
        <f>IFERROR(__xludf.DUMMYFUNCTION("""COMPUTED_VALUE"""),"Prosacco, McDermott and Dietrich")</f>
        <v>Prosacco, McDermott and Dietrich</v>
      </c>
      <c r="C289" s="8">
        <f>IFERROR(__xludf.DUMMYFUNCTION("""COMPUTED_VALUE"""),1.11)</f>
        <v>1.11</v>
      </c>
      <c r="D289" s="7">
        <v>3.38289857E8</v>
      </c>
      <c r="E289" s="8">
        <v>3.7550174127000004E8</v>
      </c>
    </row>
    <row r="290">
      <c r="A290" s="7" t="str">
        <f>IFERROR(__xludf.DUMMYFUNCTION("""COMPUTED_VALUE"""),"Ukraine")</f>
        <v>Ukraine</v>
      </c>
      <c r="B290" s="7" t="str">
        <f>IFERROR(__xludf.DUMMYFUNCTION("""COMPUTED_VALUE"""),"Macejkovic LLC")</f>
        <v>Macejkovic LLC</v>
      </c>
      <c r="C290" s="8">
        <f>IFERROR(__xludf.DUMMYFUNCTION("""COMPUTED_VALUE"""),1.47)</f>
        <v>1.47</v>
      </c>
      <c r="D290" s="7">
        <v>3.9701739E7</v>
      </c>
      <c r="E290" s="8">
        <v>5.836155633E7</v>
      </c>
    </row>
    <row r="291">
      <c r="A291" s="7" t="str">
        <f>IFERROR(__xludf.DUMMYFUNCTION("""COMPUTED_VALUE"""),"Indonesia")</f>
        <v>Indonesia</v>
      </c>
      <c r="B291" s="7" t="str">
        <f>IFERROR(__xludf.DUMMYFUNCTION("""COMPUTED_VALUE"""),"Langosh Group")</f>
        <v>Langosh Group</v>
      </c>
      <c r="C291" s="8">
        <f>IFERROR(__xludf.DUMMYFUNCTION("""COMPUTED_VALUE"""),1.49)</f>
        <v>1.49</v>
      </c>
      <c r="D291" s="7">
        <v>2.75501339E8</v>
      </c>
      <c r="E291" s="8">
        <v>4.1049699511E8</v>
      </c>
    </row>
    <row r="292">
      <c r="A292" s="7" t="str">
        <f>IFERROR(__xludf.DUMMYFUNCTION("""COMPUTED_VALUE"""),"China")</f>
        <v>China</v>
      </c>
      <c r="B292" s="7" t="str">
        <f>IFERROR(__xludf.DUMMYFUNCTION("""COMPUTED_VALUE"""),"Gutkowski-Rippin")</f>
        <v>Gutkowski-Rippin</v>
      </c>
      <c r="C292" s="8">
        <f>IFERROR(__xludf.DUMMYFUNCTION("""COMPUTED_VALUE"""),1.63)</f>
        <v>1.63</v>
      </c>
      <c r="D292" s="7">
        <v>1.425887337E9</v>
      </c>
      <c r="E292" s="8">
        <v>2.32419635931E9</v>
      </c>
    </row>
    <row r="293">
      <c r="A293" s="7" t="str">
        <f>IFERROR(__xludf.DUMMYFUNCTION("""COMPUTED_VALUE"""),"Finland")</f>
        <v>Finland</v>
      </c>
      <c r="B293" s="7" t="str">
        <f>IFERROR(__xludf.DUMMYFUNCTION("""COMPUTED_VALUE"""),"Oberbrunner and Sons")</f>
        <v>Oberbrunner and Sons</v>
      </c>
      <c r="C293" s="8">
        <f>IFERROR(__xludf.DUMMYFUNCTION("""COMPUTED_VALUE"""),1.82)</f>
        <v>1.82</v>
      </c>
      <c r="D293" s="7">
        <v>5540745.0</v>
      </c>
      <c r="E293" s="8">
        <v>1.00841559E7</v>
      </c>
    </row>
    <row r="294">
      <c r="A294" s="7" t="str">
        <f>IFERROR(__xludf.DUMMYFUNCTION("""COMPUTED_VALUE"""),"Indonesia")</f>
        <v>Indonesia</v>
      </c>
      <c r="B294" s="7" t="str">
        <f>IFERROR(__xludf.DUMMYFUNCTION("""COMPUTED_VALUE"""),"Breitenberg and Sons")</f>
        <v>Breitenberg and Sons</v>
      </c>
      <c r="C294" s="8">
        <f>IFERROR(__xludf.DUMMYFUNCTION("""COMPUTED_VALUE"""),1.06)</f>
        <v>1.06</v>
      </c>
      <c r="D294" s="7">
        <v>2.75501339E8</v>
      </c>
      <c r="E294" s="8">
        <v>2.9203141934000003E8</v>
      </c>
    </row>
    <row r="295">
      <c r="A295" s="7" t="str">
        <f>IFERROR(__xludf.DUMMYFUNCTION("""COMPUTED_VALUE"""),"France")</f>
        <v>France</v>
      </c>
      <c r="B295" s="7" t="str">
        <f>IFERROR(__xludf.DUMMYFUNCTION("""COMPUTED_VALUE"""),"Blanda and Sons")</f>
        <v>Blanda and Sons</v>
      </c>
      <c r="C295" s="8">
        <f>IFERROR(__xludf.DUMMYFUNCTION("""COMPUTED_VALUE"""),1.5)</f>
        <v>1.5</v>
      </c>
      <c r="D295" s="7">
        <v>6.4626628E7</v>
      </c>
      <c r="E295" s="8">
        <v>9.6939942E7</v>
      </c>
    </row>
    <row r="296">
      <c r="A296" s="7" t="str">
        <f>IFERROR(__xludf.DUMMYFUNCTION("""COMPUTED_VALUE"""),"Peru")</f>
        <v>Peru</v>
      </c>
      <c r="B296" s="7" t="str">
        <f>IFERROR(__xludf.DUMMYFUNCTION("""COMPUTED_VALUE"""),"Goodwin-Dach")</f>
        <v>Goodwin-Dach</v>
      </c>
      <c r="C296" s="8">
        <f>IFERROR(__xludf.DUMMYFUNCTION("""COMPUTED_VALUE"""),1.64)</f>
        <v>1.64</v>
      </c>
      <c r="D296" s="7">
        <v>3.4049588E7</v>
      </c>
      <c r="E296" s="8">
        <v>5.584132432E7</v>
      </c>
    </row>
    <row r="297">
      <c r="A297" s="7" t="str">
        <f>IFERROR(__xludf.DUMMYFUNCTION("""COMPUTED_VALUE"""),"Ukraine")</f>
        <v>Ukraine</v>
      </c>
      <c r="B297" s="7" t="str">
        <f>IFERROR(__xludf.DUMMYFUNCTION("""COMPUTED_VALUE"""),"Keebler Group")</f>
        <v>Keebler Group</v>
      </c>
      <c r="C297" s="8">
        <f>IFERROR(__xludf.DUMMYFUNCTION("""COMPUTED_VALUE"""),1.55)</f>
        <v>1.55</v>
      </c>
      <c r="D297" s="7">
        <v>3.9701739E7</v>
      </c>
      <c r="E297" s="8">
        <v>6.153769545E7</v>
      </c>
    </row>
    <row r="298">
      <c r="A298" s="7" t="str">
        <f>IFERROR(__xludf.DUMMYFUNCTION("""COMPUTED_VALUE"""),"China")</f>
        <v>China</v>
      </c>
      <c r="B298" s="7" t="str">
        <f>IFERROR(__xludf.DUMMYFUNCTION("""COMPUTED_VALUE"""),"Harris, Grady and Pacocha")</f>
        <v>Harris, Grady and Pacocha</v>
      </c>
      <c r="C298" s="8">
        <f>IFERROR(__xludf.DUMMYFUNCTION("""COMPUTED_VALUE"""),1.53)</f>
        <v>1.53</v>
      </c>
      <c r="D298" s="7">
        <v>1.425887337E9</v>
      </c>
      <c r="E298" s="8">
        <v>2.18160762561E9</v>
      </c>
    </row>
    <row r="299">
      <c r="A299" s="7" t="str">
        <f>IFERROR(__xludf.DUMMYFUNCTION("""COMPUTED_VALUE"""),"Philippines")</f>
        <v>Philippines</v>
      </c>
      <c r="B299" s="7" t="str">
        <f>IFERROR(__xludf.DUMMYFUNCTION("""COMPUTED_VALUE"""),"Kulas-Larkin")</f>
        <v>Kulas-Larkin</v>
      </c>
      <c r="C299" s="8">
        <f>IFERROR(__xludf.DUMMYFUNCTION("""COMPUTED_VALUE"""),0.95)</f>
        <v>0.95</v>
      </c>
      <c r="D299" s="7">
        <v>1.15559009E8</v>
      </c>
      <c r="E299" s="8">
        <v>1.0978105855E8</v>
      </c>
    </row>
    <row r="300">
      <c r="A300" s="7" t="str">
        <f>IFERROR(__xludf.DUMMYFUNCTION("""COMPUTED_VALUE"""),"Bangladesh")</f>
        <v>Bangladesh</v>
      </c>
      <c r="B300" s="7" t="str">
        <f>IFERROR(__xludf.DUMMYFUNCTION("""COMPUTED_VALUE"""),"Weissnat, Lesch and Beier")</f>
        <v>Weissnat, Lesch and Beier</v>
      </c>
      <c r="C300" s="8">
        <f>IFERROR(__xludf.DUMMYFUNCTION("""COMPUTED_VALUE"""),1.44)</f>
        <v>1.44</v>
      </c>
      <c r="D300" s="7">
        <v>1.71186372E8</v>
      </c>
      <c r="E300" s="8">
        <v>2.4650837567999998E8</v>
      </c>
    </row>
    <row r="301">
      <c r="A301" s="7" t="str">
        <f>IFERROR(__xludf.DUMMYFUNCTION("""COMPUTED_VALUE"""),"Poland")</f>
        <v>Poland</v>
      </c>
      <c r="B301" s="7" t="str">
        <f>IFERROR(__xludf.DUMMYFUNCTION("""COMPUTED_VALUE"""),"Brown, Nienow and Homenick")</f>
        <v>Brown, Nienow and Homenick</v>
      </c>
      <c r="C301" s="8">
        <f>IFERROR(__xludf.DUMMYFUNCTION("""COMPUTED_VALUE"""),0.93)</f>
        <v>0.93</v>
      </c>
      <c r="D301" s="7">
        <v>3.9857145E7</v>
      </c>
      <c r="E301" s="8">
        <v>3.706714485E7</v>
      </c>
    </row>
    <row r="302">
      <c r="A302" s="7" t="str">
        <f>IFERROR(__xludf.DUMMYFUNCTION("""COMPUTED_VALUE"""),"China")</f>
        <v>China</v>
      </c>
      <c r="B302" s="7" t="str">
        <f>IFERROR(__xludf.DUMMYFUNCTION("""COMPUTED_VALUE"""),"Block and Sons")</f>
        <v>Block and Sons</v>
      </c>
      <c r="C302" s="8">
        <f>IFERROR(__xludf.DUMMYFUNCTION("""COMPUTED_VALUE"""),0.96)</f>
        <v>0.96</v>
      </c>
      <c r="D302" s="7">
        <v>1.425887337E9</v>
      </c>
      <c r="E302" s="8">
        <v>1.36885184352E9</v>
      </c>
    </row>
    <row r="303">
      <c r="A303" s="7" t="str">
        <f>IFERROR(__xludf.DUMMYFUNCTION("""COMPUTED_VALUE"""),"China")</f>
        <v>China</v>
      </c>
      <c r="B303" s="7" t="str">
        <f>IFERROR(__xludf.DUMMYFUNCTION("""COMPUTED_VALUE"""),"Davis, Hickle and Larkin")</f>
        <v>Davis, Hickle and Larkin</v>
      </c>
      <c r="C303" s="8">
        <f>IFERROR(__xludf.DUMMYFUNCTION("""COMPUTED_VALUE"""),1.75)</f>
        <v>1.75</v>
      </c>
      <c r="D303" s="7">
        <v>1.425887337E9</v>
      </c>
      <c r="E303" s="8">
        <v>2.49530283975E9</v>
      </c>
    </row>
    <row r="304">
      <c r="A304" s="7" t="str">
        <f>IFERROR(__xludf.DUMMYFUNCTION("""COMPUTED_VALUE"""),"Japan")</f>
        <v>Japan</v>
      </c>
      <c r="B304" s="7" t="str">
        <f>IFERROR(__xludf.DUMMYFUNCTION("""COMPUTED_VALUE"""),"Von, Dietrich and Altenwerth")</f>
        <v>Von, Dietrich and Altenwerth</v>
      </c>
      <c r="C304" s="8">
        <f>IFERROR(__xludf.DUMMYFUNCTION("""COMPUTED_VALUE"""),1.81)</f>
        <v>1.81</v>
      </c>
      <c r="D304" s="7">
        <v>1.23951692E8</v>
      </c>
      <c r="E304" s="8">
        <v>2.2435256252E8</v>
      </c>
    </row>
    <row r="305">
      <c r="A305" s="7" t="str">
        <f>IFERROR(__xludf.DUMMYFUNCTION("""COMPUTED_VALUE"""),"France")</f>
        <v>France</v>
      </c>
      <c r="B305" s="7" t="str">
        <f>IFERROR(__xludf.DUMMYFUNCTION("""COMPUTED_VALUE"""),"O'Keefe-Smitham")</f>
        <v>O'Keefe-Smitham</v>
      </c>
      <c r="C305" s="8">
        <f>IFERROR(__xludf.DUMMYFUNCTION("""COMPUTED_VALUE"""),2.24)</f>
        <v>2.24</v>
      </c>
      <c r="D305" s="7">
        <v>6.4626628E7</v>
      </c>
      <c r="E305" s="8">
        <v>1.4476364672000003E8</v>
      </c>
    </row>
    <row r="306">
      <c r="A306" s="7" t="str">
        <f>IFERROR(__xludf.DUMMYFUNCTION("""COMPUTED_VALUE"""),"Indonesia")</f>
        <v>Indonesia</v>
      </c>
      <c r="B306" s="7" t="str">
        <f>IFERROR(__xludf.DUMMYFUNCTION("""COMPUTED_VALUE"""),"Quigley-Medhurst")</f>
        <v>Quigley-Medhurst</v>
      </c>
      <c r="C306" s="8">
        <f>IFERROR(__xludf.DUMMYFUNCTION("""COMPUTED_VALUE"""),1.09)</f>
        <v>1.09</v>
      </c>
      <c r="D306" s="7">
        <v>2.75501339E8</v>
      </c>
      <c r="E306" s="8">
        <v>3.0029645951000005E8</v>
      </c>
    </row>
    <row r="307">
      <c r="A307" s="7" t="str">
        <f>IFERROR(__xludf.DUMMYFUNCTION("""COMPUTED_VALUE"""),"Indonesia")</f>
        <v>Indonesia</v>
      </c>
      <c r="B307" s="7" t="str">
        <f>IFERROR(__xludf.DUMMYFUNCTION("""COMPUTED_VALUE"""),"Gottlieb-Koch")</f>
        <v>Gottlieb-Koch</v>
      </c>
      <c r="C307" s="8">
        <f>IFERROR(__xludf.DUMMYFUNCTION("""COMPUTED_VALUE"""),2.12)</f>
        <v>2.12</v>
      </c>
      <c r="D307" s="7">
        <v>2.75501339E8</v>
      </c>
      <c r="E307" s="8">
        <v>5.840628386800001E8</v>
      </c>
    </row>
    <row r="308">
      <c r="A308" s="7" t="str">
        <f>IFERROR(__xludf.DUMMYFUNCTION("""COMPUTED_VALUE"""),"Nigeria")</f>
        <v>Nigeria</v>
      </c>
      <c r="B308" s="7" t="str">
        <f>IFERROR(__xludf.DUMMYFUNCTION("""COMPUTED_VALUE"""),"Stark, Farrell and Mante")</f>
        <v>Stark, Farrell and Mante</v>
      </c>
      <c r="C308" s="8">
        <f>IFERROR(__xludf.DUMMYFUNCTION("""COMPUTED_VALUE"""),1.57)</f>
        <v>1.57</v>
      </c>
      <c r="D308" s="7">
        <v>2.18541212E8</v>
      </c>
      <c r="E308" s="8">
        <v>3.4310970284000003E8</v>
      </c>
    </row>
    <row r="309">
      <c r="A309" s="7" t="str">
        <f>IFERROR(__xludf.DUMMYFUNCTION("""COMPUTED_VALUE"""),"Bangladesh")</f>
        <v>Bangladesh</v>
      </c>
      <c r="B309" s="7" t="str">
        <f>IFERROR(__xludf.DUMMYFUNCTION("""COMPUTED_VALUE"""),"Mraz-Goldner")</f>
        <v>Mraz-Goldner</v>
      </c>
      <c r="C309" s="8">
        <f>IFERROR(__xludf.DUMMYFUNCTION("""COMPUTED_VALUE"""),1.42)</f>
        <v>1.42</v>
      </c>
      <c r="D309" s="7">
        <v>1.71186372E8</v>
      </c>
      <c r="E309" s="8">
        <v>2.4308464823999998E8</v>
      </c>
    </row>
    <row r="310">
      <c r="A310" s="7" t="str">
        <f>IFERROR(__xludf.DUMMYFUNCTION("""COMPUTED_VALUE"""),"Philippines")</f>
        <v>Philippines</v>
      </c>
      <c r="B310" s="7" t="str">
        <f>IFERROR(__xludf.DUMMYFUNCTION("""COMPUTED_VALUE"""),"Kulas, Carroll and Erdman")</f>
        <v>Kulas, Carroll and Erdman</v>
      </c>
      <c r="C310" s="8">
        <f>IFERROR(__xludf.DUMMYFUNCTION("""COMPUTED_VALUE"""),1.72)</f>
        <v>1.72</v>
      </c>
      <c r="D310" s="7">
        <v>1.15559009E8</v>
      </c>
      <c r="E310" s="8">
        <v>1.9876149548E8</v>
      </c>
    </row>
    <row r="311">
      <c r="A311" s="7" t="str">
        <f>IFERROR(__xludf.DUMMYFUNCTION("""COMPUTED_VALUE"""),"Indonesia")</f>
        <v>Indonesia</v>
      </c>
      <c r="B311" s="7" t="str">
        <f>IFERROR(__xludf.DUMMYFUNCTION("""COMPUTED_VALUE"""),"Botsford, Schuster and Hane")</f>
        <v>Botsford, Schuster and Hane</v>
      </c>
      <c r="C311" s="8">
        <f>IFERROR(__xludf.DUMMYFUNCTION("""COMPUTED_VALUE"""),1.62)</f>
        <v>1.62</v>
      </c>
      <c r="D311" s="7">
        <v>2.75501339E8</v>
      </c>
      <c r="E311" s="8">
        <v>4.4631216918E8</v>
      </c>
    </row>
    <row r="312">
      <c r="A312" s="7" t="str">
        <f>IFERROR(__xludf.DUMMYFUNCTION("""COMPUTED_VALUE"""),"Thailand")</f>
        <v>Thailand</v>
      </c>
      <c r="B312" s="7" t="str">
        <f>IFERROR(__xludf.DUMMYFUNCTION("""COMPUTED_VALUE"""),"Harvey Inc")</f>
        <v>Harvey Inc</v>
      </c>
      <c r="C312" s="8">
        <f>IFERROR(__xludf.DUMMYFUNCTION("""COMPUTED_VALUE"""),1.84)</f>
        <v>1.84</v>
      </c>
      <c r="D312" s="7">
        <v>7.169703E7</v>
      </c>
      <c r="E312" s="8">
        <v>1.319225352E8</v>
      </c>
    </row>
    <row r="313">
      <c r="A313" s="7" t="str">
        <f>IFERROR(__xludf.DUMMYFUNCTION("""COMPUTED_VALUE"""),"Vietnam")</f>
        <v>Vietnam</v>
      </c>
      <c r="B313" s="7" t="str">
        <f>IFERROR(__xludf.DUMMYFUNCTION("""COMPUTED_VALUE"""),"Schroeder LLC")</f>
        <v>Schroeder LLC</v>
      </c>
      <c r="C313" s="8">
        <f>IFERROR(__xludf.DUMMYFUNCTION("""COMPUTED_VALUE"""),1.46)</f>
        <v>1.46</v>
      </c>
      <c r="D313" s="7">
        <v>9.8186856E7</v>
      </c>
      <c r="E313" s="8">
        <v>1.4335280976E8</v>
      </c>
    </row>
    <row r="314">
      <c r="A314" s="7" t="str">
        <f>IFERROR(__xludf.DUMMYFUNCTION("""COMPUTED_VALUE"""),"China")</f>
        <v>China</v>
      </c>
      <c r="B314" s="7" t="str">
        <f>IFERROR(__xludf.DUMMYFUNCTION("""COMPUTED_VALUE"""),"Johns, Johnson and Lemke")</f>
        <v>Johns, Johnson and Lemke</v>
      </c>
      <c r="C314" s="8">
        <f>IFERROR(__xludf.DUMMYFUNCTION("""COMPUTED_VALUE"""),1.82)</f>
        <v>1.82</v>
      </c>
      <c r="D314" s="7">
        <v>1.425887337E9</v>
      </c>
      <c r="E314" s="8">
        <v>2.59511495334E9</v>
      </c>
    </row>
    <row r="315">
      <c r="A315" s="7" t="str">
        <f>IFERROR(__xludf.DUMMYFUNCTION("""COMPUTED_VALUE"""),"Mexico")</f>
        <v>Mexico</v>
      </c>
      <c r="B315" s="7" t="str">
        <f>IFERROR(__xludf.DUMMYFUNCTION("""COMPUTED_VALUE"""),"Streich LLC")</f>
        <v>Streich LLC</v>
      </c>
      <c r="C315" s="8">
        <f>IFERROR(__xludf.DUMMYFUNCTION("""COMPUTED_VALUE"""),1.55)</f>
        <v>1.55</v>
      </c>
      <c r="D315" s="7">
        <v>1.27504125E8</v>
      </c>
      <c r="E315" s="8">
        <v>1.9763139375E8</v>
      </c>
    </row>
    <row r="316">
      <c r="A316" s="7" t="str">
        <f>IFERROR(__xludf.DUMMYFUNCTION("""COMPUTED_VALUE"""),"Indonesia")</f>
        <v>Indonesia</v>
      </c>
      <c r="B316" s="7" t="str">
        <f>IFERROR(__xludf.DUMMYFUNCTION("""COMPUTED_VALUE"""),"Kassulke and Sons")</f>
        <v>Kassulke and Sons</v>
      </c>
      <c r="C316" s="8">
        <f>IFERROR(__xludf.DUMMYFUNCTION("""COMPUTED_VALUE"""),1.78)</f>
        <v>1.78</v>
      </c>
      <c r="D316" s="7">
        <v>2.75501339E8</v>
      </c>
      <c r="E316" s="8">
        <v>4.9039238342E8</v>
      </c>
    </row>
    <row r="317">
      <c r="A317" s="7" t="str">
        <f>IFERROR(__xludf.DUMMYFUNCTION("""COMPUTED_VALUE"""),"Comoros")</f>
        <v>Comoros</v>
      </c>
      <c r="B317" s="7" t="str">
        <f>IFERROR(__xludf.DUMMYFUNCTION("""COMPUTED_VALUE"""),"Lowe LLC")</f>
        <v>Lowe LLC</v>
      </c>
      <c r="C317" s="8">
        <f>IFERROR(__xludf.DUMMYFUNCTION("""COMPUTED_VALUE"""),1.58)</f>
        <v>1.58</v>
      </c>
      <c r="D317" s="7">
        <v>836774.0</v>
      </c>
      <c r="E317" s="8">
        <v>1322102.9200000002</v>
      </c>
    </row>
    <row r="318">
      <c r="A318" s="7" t="str">
        <f>IFERROR(__xludf.DUMMYFUNCTION("""COMPUTED_VALUE"""),"China")</f>
        <v>China</v>
      </c>
      <c r="B318" s="7" t="str">
        <f>IFERROR(__xludf.DUMMYFUNCTION("""COMPUTED_VALUE"""),"Lindgren, Harvey and Dooley")</f>
        <v>Lindgren, Harvey and Dooley</v>
      </c>
      <c r="C318" s="8">
        <f>IFERROR(__xludf.DUMMYFUNCTION("""COMPUTED_VALUE"""),1.04)</f>
        <v>1.04</v>
      </c>
      <c r="D318" s="7">
        <v>1.425887337E9</v>
      </c>
      <c r="E318" s="8">
        <v>1.48292283048E9</v>
      </c>
    </row>
    <row r="319">
      <c r="A319" s="7" t="str">
        <f>IFERROR(__xludf.DUMMYFUNCTION("""COMPUTED_VALUE"""),"Colombia")</f>
        <v>Colombia</v>
      </c>
      <c r="B319" s="7" t="str">
        <f>IFERROR(__xludf.DUMMYFUNCTION("""COMPUTED_VALUE"""),"Baumbach, Boyle and Williamson")</f>
        <v>Baumbach, Boyle and Williamson</v>
      </c>
      <c r="C319" s="8">
        <f>IFERROR(__xludf.DUMMYFUNCTION("""COMPUTED_VALUE"""),2.11)</f>
        <v>2.11</v>
      </c>
      <c r="D319" s="7">
        <v>5.1874024E7</v>
      </c>
      <c r="E319" s="8">
        <v>1.0945419064E8</v>
      </c>
    </row>
    <row r="320">
      <c r="A320" s="7" t="str">
        <f>IFERROR(__xludf.DUMMYFUNCTION("""COMPUTED_VALUE"""),"Philippines")</f>
        <v>Philippines</v>
      </c>
      <c r="B320" s="7" t="str">
        <f>IFERROR(__xludf.DUMMYFUNCTION("""COMPUTED_VALUE"""),"Klein Group")</f>
        <v>Klein Group</v>
      </c>
      <c r="C320" s="8">
        <f>IFERROR(__xludf.DUMMYFUNCTION("""COMPUTED_VALUE"""),0.92)</f>
        <v>0.92</v>
      </c>
      <c r="D320" s="7">
        <v>1.15559009E8</v>
      </c>
      <c r="E320" s="8">
        <v>1.0631428828E8</v>
      </c>
    </row>
    <row r="321">
      <c r="A321" s="7" t="str">
        <f>IFERROR(__xludf.DUMMYFUNCTION("""COMPUTED_VALUE"""),"Nigeria")</f>
        <v>Nigeria</v>
      </c>
      <c r="B321" s="7" t="str">
        <f>IFERROR(__xludf.DUMMYFUNCTION("""COMPUTED_VALUE"""),"Jast Inc")</f>
        <v>Jast Inc</v>
      </c>
      <c r="C321" s="8">
        <f>IFERROR(__xludf.DUMMYFUNCTION("""COMPUTED_VALUE"""),1.26)</f>
        <v>1.26</v>
      </c>
      <c r="D321" s="7">
        <v>2.18541212E8</v>
      </c>
      <c r="E321" s="8">
        <v>2.7536192712E8</v>
      </c>
    </row>
    <row r="322">
      <c r="A322" s="7" t="str">
        <f>IFERROR(__xludf.DUMMYFUNCTION("""COMPUTED_VALUE"""),"Philippines")</f>
        <v>Philippines</v>
      </c>
      <c r="B322" s="7" t="str">
        <f>IFERROR(__xludf.DUMMYFUNCTION("""COMPUTED_VALUE"""),"Feil-Borer")</f>
        <v>Feil-Borer</v>
      </c>
      <c r="C322" s="8">
        <f>IFERROR(__xludf.DUMMYFUNCTION("""COMPUTED_VALUE"""),0.91)</f>
        <v>0.91</v>
      </c>
      <c r="D322" s="7">
        <v>1.15559009E8</v>
      </c>
      <c r="E322" s="8">
        <v>1.0515869819E8</v>
      </c>
    </row>
    <row r="323">
      <c r="A323" s="7" t="str">
        <f>IFERROR(__xludf.DUMMYFUNCTION("""COMPUTED_VALUE"""),"Haiti")</f>
        <v>Haiti</v>
      </c>
      <c r="B323" s="7" t="str">
        <f>IFERROR(__xludf.DUMMYFUNCTION("""COMPUTED_VALUE"""),"Lynch Group")</f>
        <v>Lynch Group</v>
      </c>
      <c r="C323" s="8">
        <f>IFERROR(__xludf.DUMMYFUNCTION("""COMPUTED_VALUE"""),0.87)</f>
        <v>0.87</v>
      </c>
      <c r="D323" s="7">
        <v>1.1584996E7</v>
      </c>
      <c r="E323" s="8">
        <v>1.007894652E7</v>
      </c>
    </row>
    <row r="324">
      <c r="A324" s="7" t="str">
        <f>IFERROR(__xludf.DUMMYFUNCTION("""COMPUTED_VALUE"""),"China")</f>
        <v>China</v>
      </c>
      <c r="B324" s="7" t="str">
        <f>IFERROR(__xludf.DUMMYFUNCTION("""COMPUTED_VALUE"""),"Mante LLC")</f>
        <v>Mante LLC</v>
      </c>
      <c r="C324" s="8">
        <f>IFERROR(__xludf.DUMMYFUNCTION("""COMPUTED_VALUE"""),1.39)</f>
        <v>1.39</v>
      </c>
      <c r="D324" s="7">
        <v>1.425887337E9</v>
      </c>
      <c r="E324" s="8">
        <v>1.9819833984299998E9</v>
      </c>
    </row>
    <row r="325">
      <c r="A325" s="7" t="str">
        <f>IFERROR(__xludf.DUMMYFUNCTION("""COMPUTED_VALUE"""),"Russia")</f>
        <v>Russia</v>
      </c>
      <c r="B325" s="7" t="str">
        <f>IFERROR(__xludf.DUMMYFUNCTION("""COMPUTED_VALUE"""),"Kerluke-Swift")</f>
        <v>Kerluke-Swift</v>
      </c>
      <c r="C325" s="8">
        <f>IFERROR(__xludf.DUMMYFUNCTION("""COMPUTED_VALUE"""),2.18)</f>
        <v>2.18</v>
      </c>
      <c r="D325" s="7">
        <v>1.44713314E8</v>
      </c>
      <c r="E325" s="8">
        <v>3.1547502452000004E8</v>
      </c>
    </row>
    <row r="326">
      <c r="A326" s="7" t="str">
        <f>IFERROR(__xludf.DUMMYFUNCTION("""COMPUTED_VALUE"""),"Bulgaria")</f>
        <v>Bulgaria</v>
      </c>
      <c r="B326" s="7" t="str">
        <f>IFERROR(__xludf.DUMMYFUNCTION("""COMPUTED_VALUE"""),"Hodkiewicz, Price and Bruen")</f>
        <v>Hodkiewicz, Price and Bruen</v>
      </c>
      <c r="C326" s="8">
        <f>IFERROR(__xludf.DUMMYFUNCTION("""COMPUTED_VALUE"""),1.58)</f>
        <v>1.58</v>
      </c>
      <c r="D326" s="7">
        <v>6781953.0</v>
      </c>
      <c r="E326" s="8">
        <v>1.071548574E7</v>
      </c>
    </row>
    <row r="327">
      <c r="A327" s="7" t="str">
        <f>IFERROR(__xludf.DUMMYFUNCTION("""COMPUTED_VALUE"""),"Russia")</f>
        <v>Russia</v>
      </c>
      <c r="B327" s="7" t="str">
        <f>IFERROR(__xludf.DUMMYFUNCTION("""COMPUTED_VALUE"""),"Dicki-Gulgowski")</f>
        <v>Dicki-Gulgowski</v>
      </c>
      <c r="C327" s="8">
        <f>IFERROR(__xludf.DUMMYFUNCTION("""COMPUTED_VALUE"""),1.52)</f>
        <v>1.52</v>
      </c>
      <c r="D327" s="7">
        <v>1.44713314E8</v>
      </c>
      <c r="E327" s="8">
        <v>2.1996423728E8</v>
      </c>
    </row>
    <row r="328">
      <c r="A328" s="7" t="str">
        <f>IFERROR(__xludf.DUMMYFUNCTION("""COMPUTED_VALUE"""),"Russia")</f>
        <v>Russia</v>
      </c>
      <c r="B328" s="7" t="str">
        <f>IFERROR(__xludf.DUMMYFUNCTION("""COMPUTED_VALUE"""),"Frami-Morissette")</f>
        <v>Frami-Morissette</v>
      </c>
      <c r="C328" s="8">
        <f>IFERROR(__xludf.DUMMYFUNCTION("""COMPUTED_VALUE"""),1.86)</f>
        <v>1.86</v>
      </c>
      <c r="D328" s="7">
        <v>1.44713314E8</v>
      </c>
      <c r="E328" s="8">
        <v>2.6916676404E8</v>
      </c>
    </row>
    <row r="329">
      <c r="A329" s="7" t="str">
        <f>IFERROR(__xludf.DUMMYFUNCTION("""COMPUTED_VALUE"""),"Poland")</f>
        <v>Poland</v>
      </c>
      <c r="B329" s="7" t="str">
        <f>IFERROR(__xludf.DUMMYFUNCTION("""COMPUTED_VALUE"""),"Steuber Group")</f>
        <v>Steuber Group</v>
      </c>
      <c r="C329" s="8">
        <f>IFERROR(__xludf.DUMMYFUNCTION("""COMPUTED_VALUE"""),0.95)</f>
        <v>0.95</v>
      </c>
      <c r="D329" s="7">
        <v>3.9857145E7</v>
      </c>
      <c r="E329" s="8">
        <v>3.786428775E7</v>
      </c>
    </row>
    <row r="330">
      <c r="A330" s="7" t="str">
        <f>IFERROR(__xludf.DUMMYFUNCTION("""COMPUTED_VALUE"""),"China")</f>
        <v>China</v>
      </c>
      <c r="B330" s="7" t="str">
        <f>IFERROR(__xludf.DUMMYFUNCTION("""COMPUTED_VALUE"""),"Simonis-Ledner")</f>
        <v>Simonis-Ledner</v>
      </c>
      <c r="C330" s="8">
        <f>IFERROR(__xludf.DUMMYFUNCTION("""COMPUTED_VALUE"""),1.85)</f>
        <v>1.85</v>
      </c>
      <c r="D330" s="7">
        <v>1.425887337E9</v>
      </c>
      <c r="E330" s="8">
        <v>2.6378915734500003E9</v>
      </c>
    </row>
    <row r="331">
      <c r="A331" s="7" t="str">
        <f>IFERROR(__xludf.DUMMYFUNCTION("""COMPUTED_VALUE"""),"China")</f>
        <v>China</v>
      </c>
      <c r="B331" s="7" t="str">
        <f>IFERROR(__xludf.DUMMYFUNCTION("""COMPUTED_VALUE"""),"Kessler-Will")</f>
        <v>Kessler-Will</v>
      </c>
      <c r="C331" s="8">
        <f>IFERROR(__xludf.DUMMYFUNCTION("""COMPUTED_VALUE"""),1.77)</f>
        <v>1.77</v>
      </c>
      <c r="D331" s="7">
        <v>1.425887337E9</v>
      </c>
      <c r="E331" s="8">
        <v>2.5238205864900002E9</v>
      </c>
    </row>
    <row r="332">
      <c r="A332" s="7" t="str">
        <f>IFERROR(__xludf.DUMMYFUNCTION("""COMPUTED_VALUE"""),"Argentina")</f>
        <v>Argentina</v>
      </c>
      <c r="B332" s="7" t="str">
        <f>IFERROR(__xludf.DUMMYFUNCTION("""COMPUTED_VALUE"""),"Reichel-Bosco")</f>
        <v>Reichel-Bosco</v>
      </c>
      <c r="C332" s="8">
        <f>IFERROR(__xludf.DUMMYFUNCTION("""COMPUTED_VALUE"""),1.11)</f>
        <v>1.11</v>
      </c>
      <c r="D332" s="7">
        <v>4.5510318E7</v>
      </c>
      <c r="E332" s="8">
        <v>5.0516452980000004E7</v>
      </c>
    </row>
    <row r="333">
      <c r="A333" s="7" t="str">
        <f>IFERROR(__xludf.DUMMYFUNCTION("""COMPUTED_VALUE"""),"China")</f>
        <v>China</v>
      </c>
      <c r="B333" s="7" t="str">
        <f>IFERROR(__xludf.DUMMYFUNCTION("""COMPUTED_VALUE"""),"Vandervort-Blick")</f>
        <v>Vandervort-Blick</v>
      </c>
      <c r="C333" s="8">
        <f>IFERROR(__xludf.DUMMYFUNCTION("""COMPUTED_VALUE"""),1.15)</f>
        <v>1.15</v>
      </c>
      <c r="D333" s="7">
        <v>1.425887337E9</v>
      </c>
      <c r="E333" s="8">
        <v>1.63977043755E9</v>
      </c>
    </row>
    <row r="334">
      <c r="A334" s="7" t="str">
        <f>IFERROR(__xludf.DUMMYFUNCTION("""COMPUTED_VALUE"""),"China")</f>
        <v>China</v>
      </c>
      <c r="B334" s="7" t="str">
        <f>IFERROR(__xludf.DUMMYFUNCTION("""COMPUTED_VALUE"""),"Shields and Sons")</f>
        <v>Shields and Sons</v>
      </c>
      <c r="C334" s="8">
        <f>IFERROR(__xludf.DUMMYFUNCTION("""COMPUTED_VALUE"""),1.79)</f>
        <v>1.79</v>
      </c>
      <c r="D334" s="7">
        <v>1.425887337E9</v>
      </c>
      <c r="E334" s="8">
        <v>2.55233833323E9</v>
      </c>
    </row>
    <row r="335">
      <c r="A335" s="7" t="str">
        <f>IFERROR(__xludf.DUMMYFUNCTION("""COMPUTED_VALUE"""),"Portugal")</f>
        <v>Portugal</v>
      </c>
      <c r="B335" s="7" t="str">
        <f>IFERROR(__xludf.DUMMYFUNCTION("""COMPUTED_VALUE"""),"Zemlak LLC")</f>
        <v>Zemlak LLC</v>
      </c>
      <c r="C335" s="8">
        <f>IFERROR(__xludf.DUMMYFUNCTION("""COMPUTED_VALUE"""),2.13)</f>
        <v>2.13</v>
      </c>
      <c r="D335" s="7">
        <v>1.0270865E7</v>
      </c>
      <c r="E335" s="8">
        <v>2.187694245E7</v>
      </c>
    </row>
    <row r="336">
      <c r="A336" s="7" t="str">
        <f>IFERROR(__xludf.DUMMYFUNCTION("""COMPUTED_VALUE"""),"Thailand")</f>
        <v>Thailand</v>
      </c>
      <c r="B336" s="7" t="str">
        <f>IFERROR(__xludf.DUMMYFUNCTION("""COMPUTED_VALUE"""),"Erdman-Wiza")</f>
        <v>Erdman-Wiza</v>
      </c>
      <c r="C336" s="8">
        <f>IFERROR(__xludf.DUMMYFUNCTION("""COMPUTED_VALUE"""),1.61)</f>
        <v>1.61</v>
      </c>
      <c r="D336" s="7">
        <v>7.169703E7</v>
      </c>
      <c r="E336" s="8">
        <v>1.1543221830000001E8</v>
      </c>
    </row>
    <row r="337">
      <c r="A337" s="7" t="str">
        <f>IFERROR(__xludf.DUMMYFUNCTION("""COMPUTED_VALUE"""),"Canada")</f>
        <v>Canada</v>
      </c>
      <c r="B337" s="7" t="str">
        <f>IFERROR(__xludf.DUMMYFUNCTION("""COMPUTED_VALUE"""),"Cummerata Group")</f>
        <v>Cummerata Group</v>
      </c>
      <c r="C337" s="8">
        <f>IFERROR(__xludf.DUMMYFUNCTION("""COMPUTED_VALUE"""),0.89)</f>
        <v>0.89</v>
      </c>
      <c r="D337" s="7">
        <v>3.8454327E7</v>
      </c>
      <c r="E337" s="8">
        <v>3.422435103E7</v>
      </c>
    </row>
    <row r="338">
      <c r="A338" s="7" t="str">
        <f>IFERROR(__xludf.DUMMYFUNCTION("""COMPUTED_VALUE"""),"Nigeria")</f>
        <v>Nigeria</v>
      </c>
      <c r="B338" s="7" t="str">
        <f>IFERROR(__xludf.DUMMYFUNCTION("""COMPUTED_VALUE"""),"Fay Group")</f>
        <v>Fay Group</v>
      </c>
      <c r="C338" s="8">
        <f>IFERROR(__xludf.DUMMYFUNCTION("""COMPUTED_VALUE"""),2.2)</f>
        <v>2.2</v>
      </c>
      <c r="D338" s="7">
        <v>2.18541212E8</v>
      </c>
      <c r="E338" s="8">
        <v>4.8079066640000004E8</v>
      </c>
    </row>
    <row r="339">
      <c r="A339" s="7" t="str">
        <f>IFERROR(__xludf.DUMMYFUNCTION("""COMPUTED_VALUE"""),"Indonesia")</f>
        <v>Indonesia</v>
      </c>
      <c r="B339" s="7" t="str">
        <f>IFERROR(__xludf.DUMMYFUNCTION("""COMPUTED_VALUE"""),"Rau, McLaughlin and Kreiger")</f>
        <v>Rau, McLaughlin and Kreiger</v>
      </c>
      <c r="C339" s="8">
        <f>IFERROR(__xludf.DUMMYFUNCTION("""COMPUTED_VALUE"""),1.04)</f>
        <v>1.04</v>
      </c>
      <c r="D339" s="7">
        <v>2.75501339E8</v>
      </c>
      <c r="E339" s="8">
        <v>2.8652139256E8</v>
      </c>
    </row>
    <row r="340">
      <c r="A340" s="7" t="str">
        <f>IFERROR(__xludf.DUMMYFUNCTION("""COMPUTED_VALUE"""),"Russia")</f>
        <v>Russia</v>
      </c>
      <c r="B340" s="7" t="str">
        <f>IFERROR(__xludf.DUMMYFUNCTION("""COMPUTED_VALUE"""),"Kub-Abbott")</f>
        <v>Kub-Abbott</v>
      </c>
      <c r="C340" s="8">
        <f>IFERROR(__xludf.DUMMYFUNCTION("""COMPUTED_VALUE"""),1.93)</f>
        <v>1.93</v>
      </c>
      <c r="D340" s="7">
        <v>1.44713314E8</v>
      </c>
      <c r="E340" s="8">
        <v>2.7929669602E8</v>
      </c>
    </row>
    <row r="341">
      <c r="A341" s="7" t="str">
        <f>IFERROR(__xludf.DUMMYFUNCTION("""COMPUTED_VALUE"""),"Portugal")</f>
        <v>Portugal</v>
      </c>
      <c r="B341" s="7" t="str">
        <f>IFERROR(__xludf.DUMMYFUNCTION("""COMPUTED_VALUE"""),"Grant, O'Connell and Altenwerth")</f>
        <v>Grant, O'Connell and Altenwerth</v>
      </c>
      <c r="C341" s="8">
        <f>IFERROR(__xludf.DUMMYFUNCTION("""COMPUTED_VALUE"""),1.69)</f>
        <v>1.69</v>
      </c>
      <c r="D341" s="7">
        <v>1.0270865E7</v>
      </c>
      <c r="E341" s="8">
        <v>1.7357761849999998E7</v>
      </c>
    </row>
    <row r="342">
      <c r="A342" s="7" t="str">
        <f>IFERROR(__xludf.DUMMYFUNCTION("""COMPUTED_VALUE"""),"Vietnam")</f>
        <v>Vietnam</v>
      </c>
      <c r="B342" s="7" t="str">
        <f>IFERROR(__xludf.DUMMYFUNCTION("""COMPUTED_VALUE"""),"Yost, Moen and Mann")</f>
        <v>Yost, Moen and Mann</v>
      </c>
      <c r="C342" s="8">
        <f>IFERROR(__xludf.DUMMYFUNCTION("""COMPUTED_VALUE"""),1.22)</f>
        <v>1.22</v>
      </c>
      <c r="D342" s="7">
        <v>9.8186856E7</v>
      </c>
      <c r="E342" s="8">
        <v>1.1978796432E8</v>
      </c>
    </row>
    <row r="343">
      <c r="A343" s="7" t="str">
        <f>IFERROR(__xludf.DUMMYFUNCTION("""COMPUTED_VALUE"""),"Iran")</f>
        <v>Iran</v>
      </c>
      <c r="B343" s="7" t="str">
        <f>IFERROR(__xludf.DUMMYFUNCTION("""COMPUTED_VALUE"""),"Schoen Inc")</f>
        <v>Schoen Inc</v>
      </c>
      <c r="C343" s="8">
        <f>IFERROR(__xludf.DUMMYFUNCTION("""COMPUTED_VALUE"""),1.68)</f>
        <v>1.68</v>
      </c>
      <c r="D343" s="7">
        <v>8.855057E7</v>
      </c>
      <c r="E343" s="8">
        <v>1.487649576E8</v>
      </c>
    </row>
    <row r="344">
      <c r="A344" s="7" t="str">
        <f>IFERROR(__xludf.DUMMYFUNCTION("""COMPUTED_VALUE"""),"Tunisia")</f>
        <v>Tunisia</v>
      </c>
      <c r="B344" s="7" t="str">
        <f>IFERROR(__xludf.DUMMYFUNCTION("""COMPUTED_VALUE"""),"Grimes Group")</f>
        <v>Grimes Group</v>
      </c>
      <c r="C344" s="8">
        <f>IFERROR(__xludf.DUMMYFUNCTION("""COMPUTED_VALUE"""),1.29)</f>
        <v>1.29</v>
      </c>
      <c r="D344" s="7">
        <v>1.2356117E7</v>
      </c>
      <c r="E344" s="8">
        <v>1.593939093E7</v>
      </c>
    </row>
    <row r="345">
      <c r="A345" s="7" t="str">
        <f>IFERROR(__xludf.DUMMYFUNCTION("""COMPUTED_VALUE"""),"Brazil")</f>
        <v>Brazil</v>
      </c>
      <c r="B345" s="7" t="str">
        <f>IFERROR(__xludf.DUMMYFUNCTION("""COMPUTED_VALUE"""),"Brekke-Ondricka")</f>
        <v>Brekke-Ondricka</v>
      </c>
      <c r="C345" s="8">
        <f>IFERROR(__xludf.DUMMYFUNCTION("""COMPUTED_VALUE"""),1.88)</f>
        <v>1.88</v>
      </c>
      <c r="D345" s="7">
        <v>2.15313498E8</v>
      </c>
      <c r="E345" s="8">
        <v>4.0478937623999995E8</v>
      </c>
    </row>
    <row r="346">
      <c r="A346" s="7" t="str">
        <f>IFERROR(__xludf.DUMMYFUNCTION("""COMPUTED_VALUE"""),"Mexico")</f>
        <v>Mexico</v>
      </c>
      <c r="B346" s="7" t="str">
        <f>IFERROR(__xludf.DUMMYFUNCTION("""COMPUTED_VALUE"""),"Champlin, Bartell and Homenick")</f>
        <v>Champlin, Bartell and Homenick</v>
      </c>
      <c r="C346" s="8">
        <f>IFERROR(__xludf.DUMMYFUNCTION("""COMPUTED_VALUE"""),1.65)</f>
        <v>1.65</v>
      </c>
      <c r="D346" s="7">
        <v>1.27504125E8</v>
      </c>
      <c r="E346" s="8">
        <v>2.1038180625E8</v>
      </c>
    </row>
    <row r="347">
      <c r="A347" s="7" t="str">
        <f>IFERROR(__xludf.DUMMYFUNCTION("""COMPUTED_VALUE"""),"Malta")</f>
        <v>Malta</v>
      </c>
      <c r="B347" s="7" t="str">
        <f>IFERROR(__xludf.DUMMYFUNCTION("""COMPUTED_VALUE"""),"Veum, Emard and Botsford")</f>
        <v>Veum, Emard and Botsford</v>
      </c>
      <c r="C347" s="8">
        <f>IFERROR(__xludf.DUMMYFUNCTION("""COMPUTED_VALUE"""),1.12)</f>
        <v>1.12</v>
      </c>
      <c r="D347" s="7">
        <v>533286.0</v>
      </c>
      <c r="E347" s="8">
        <v>597280.3200000001</v>
      </c>
    </row>
    <row r="348">
      <c r="A348" s="7" t="str">
        <f>IFERROR(__xludf.DUMMYFUNCTION("""COMPUTED_VALUE"""),"Brazil")</f>
        <v>Brazil</v>
      </c>
      <c r="B348" s="7" t="str">
        <f>IFERROR(__xludf.DUMMYFUNCTION("""COMPUTED_VALUE"""),"Mueller, Mosciski and DuBuque")</f>
        <v>Mueller, Mosciski and DuBuque</v>
      </c>
      <c r="C348" s="8">
        <f>IFERROR(__xludf.DUMMYFUNCTION("""COMPUTED_VALUE"""),1.26)</f>
        <v>1.26</v>
      </c>
      <c r="D348" s="7">
        <v>2.15313498E8</v>
      </c>
      <c r="E348" s="8">
        <v>2.7129500748E8</v>
      </c>
    </row>
    <row r="349">
      <c r="A349" s="7" t="str">
        <f>IFERROR(__xludf.DUMMYFUNCTION("""COMPUTED_VALUE"""),"Ukraine")</f>
        <v>Ukraine</v>
      </c>
      <c r="B349" s="7" t="str">
        <f>IFERROR(__xludf.DUMMYFUNCTION("""COMPUTED_VALUE"""),"Kassulke Inc")</f>
        <v>Kassulke Inc</v>
      </c>
      <c r="C349" s="8">
        <f>IFERROR(__xludf.DUMMYFUNCTION("""COMPUTED_VALUE"""),2.04)</f>
        <v>2.04</v>
      </c>
      <c r="D349" s="7">
        <v>3.9701739E7</v>
      </c>
      <c r="E349" s="8">
        <v>8.099154756E7</v>
      </c>
    </row>
    <row r="350">
      <c r="A350" s="7" t="str">
        <f>IFERROR(__xludf.DUMMYFUNCTION("""COMPUTED_VALUE"""),"Qatar")</f>
        <v>Qatar</v>
      </c>
      <c r="B350" s="7" t="str">
        <f>IFERROR(__xludf.DUMMYFUNCTION("""COMPUTED_VALUE"""),"Wiza, DuBuque and Dare")</f>
        <v>Wiza, DuBuque and Dare</v>
      </c>
      <c r="C350" s="8">
        <f>IFERROR(__xludf.DUMMYFUNCTION("""COMPUTED_VALUE"""),1.31)</f>
        <v>1.31</v>
      </c>
      <c r="D350" s="7">
        <v>2695122.0</v>
      </c>
      <c r="E350" s="8">
        <v>3530609.8200000003</v>
      </c>
    </row>
    <row r="351">
      <c r="A351" s="7" t="str">
        <f>IFERROR(__xludf.DUMMYFUNCTION("""COMPUTED_VALUE"""),"Finland")</f>
        <v>Finland</v>
      </c>
      <c r="B351" s="7" t="str">
        <f>IFERROR(__xludf.DUMMYFUNCTION("""COMPUTED_VALUE"""),"Toy, Crooks and Dickens")</f>
        <v>Toy, Crooks and Dickens</v>
      </c>
      <c r="C351" s="8">
        <f>IFERROR(__xludf.DUMMYFUNCTION("""COMPUTED_VALUE"""),1.58)</f>
        <v>1.58</v>
      </c>
      <c r="D351" s="7">
        <v>5540745.0</v>
      </c>
      <c r="E351" s="8">
        <v>8754377.1</v>
      </c>
    </row>
    <row r="352">
      <c r="A352" s="7" t="str">
        <f>IFERROR(__xludf.DUMMYFUNCTION("""COMPUTED_VALUE"""),"Philippines")</f>
        <v>Philippines</v>
      </c>
      <c r="B352" s="7" t="str">
        <f>IFERROR(__xludf.DUMMYFUNCTION("""COMPUTED_VALUE"""),"Gleason Inc")</f>
        <v>Gleason Inc</v>
      </c>
      <c r="C352" s="8">
        <f>IFERROR(__xludf.DUMMYFUNCTION("""COMPUTED_VALUE"""),1.63)</f>
        <v>1.63</v>
      </c>
      <c r="D352" s="7">
        <v>1.15559009E8</v>
      </c>
      <c r="E352" s="8">
        <v>1.8836118467E8</v>
      </c>
    </row>
    <row r="353">
      <c r="A353" s="7" t="str">
        <f>IFERROR(__xludf.DUMMYFUNCTION("""COMPUTED_VALUE"""),"France")</f>
        <v>France</v>
      </c>
      <c r="B353" s="7" t="str">
        <f>IFERROR(__xludf.DUMMYFUNCTION("""COMPUTED_VALUE"""),"Fay-Huel")</f>
        <v>Fay-Huel</v>
      </c>
      <c r="C353" s="8">
        <f>IFERROR(__xludf.DUMMYFUNCTION("""COMPUTED_VALUE"""),1.27)</f>
        <v>1.27</v>
      </c>
      <c r="D353" s="7">
        <v>6.4626628E7</v>
      </c>
      <c r="E353" s="8">
        <v>8.207581756E7</v>
      </c>
    </row>
    <row r="354">
      <c r="A354" s="7" t="str">
        <f>IFERROR(__xludf.DUMMYFUNCTION("""COMPUTED_VALUE"""),"Philippines")</f>
        <v>Philippines</v>
      </c>
      <c r="B354" s="7" t="str">
        <f>IFERROR(__xludf.DUMMYFUNCTION("""COMPUTED_VALUE"""),"Schaefer and Sons")</f>
        <v>Schaefer and Sons</v>
      </c>
      <c r="C354" s="8">
        <f>IFERROR(__xludf.DUMMYFUNCTION("""COMPUTED_VALUE"""),2.24)</f>
        <v>2.24</v>
      </c>
      <c r="D354" s="7">
        <v>1.15559009E8</v>
      </c>
      <c r="E354" s="8">
        <v>2.5885218016000003E8</v>
      </c>
    </row>
    <row r="355">
      <c r="A355" s="7" t="str">
        <f>IFERROR(__xludf.DUMMYFUNCTION("""COMPUTED_VALUE"""),"Chile")</f>
        <v>Chile</v>
      </c>
      <c r="B355" s="7" t="str">
        <f>IFERROR(__xludf.DUMMYFUNCTION("""COMPUTED_VALUE"""),"Jaskolski and Sons")</f>
        <v>Jaskolski and Sons</v>
      </c>
      <c r="C355" s="8">
        <f>IFERROR(__xludf.DUMMYFUNCTION("""COMPUTED_VALUE"""),1.62)</f>
        <v>1.62</v>
      </c>
      <c r="D355" s="7">
        <v>1.9603733E7</v>
      </c>
      <c r="E355" s="8">
        <v>3.175804746E7</v>
      </c>
    </row>
    <row r="356">
      <c r="A356" s="7" t="str">
        <f>IFERROR(__xludf.DUMMYFUNCTION("""COMPUTED_VALUE"""),"China")</f>
        <v>China</v>
      </c>
      <c r="B356" s="7" t="str">
        <f>IFERROR(__xludf.DUMMYFUNCTION("""COMPUTED_VALUE"""),"Langosh Inc")</f>
        <v>Langosh Inc</v>
      </c>
      <c r="C356" s="8">
        <f>IFERROR(__xludf.DUMMYFUNCTION("""COMPUTED_VALUE"""),1.69)</f>
        <v>1.69</v>
      </c>
      <c r="D356" s="7">
        <v>1.425887337E9</v>
      </c>
      <c r="E356" s="8">
        <v>2.4097495995299997E9</v>
      </c>
    </row>
    <row r="357">
      <c r="A357" s="7" t="str">
        <f>IFERROR(__xludf.DUMMYFUNCTION("""COMPUTED_VALUE"""),"Comoros")</f>
        <v>Comoros</v>
      </c>
      <c r="B357" s="7" t="str">
        <f>IFERROR(__xludf.DUMMYFUNCTION("""COMPUTED_VALUE"""),"Bednar Inc")</f>
        <v>Bednar Inc</v>
      </c>
      <c r="C357" s="8">
        <f>IFERROR(__xludf.DUMMYFUNCTION("""COMPUTED_VALUE"""),1.73)</f>
        <v>1.73</v>
      </c>
      <c r="D357" s="7">
        <v>836774.0</v>
      </c>
      <c r="E357" s="8">
        <v>1447619.02</v>
      </c>
    </row>
    <row r="358">
      <c r="A358" s="7" t="str">
        <f>IFERROR(__xludf.DUMMYFUNCTION("""COMPUTED_VALUE"""),"Poland")</f>
        <v>Poland</v>
      </c>
      <c r="B358" s="7" t="str">
        <f>IFERROR(__xludf.DUMMYFUNCTION("""COMPUTED_VALUE"""),"Gottlieb-Harris")</f>
        <v>Gottlieb-Harris</v>
      </c>
      <c r="C358" s="8">
        <f>IFERROR(__xludf.DUMMYFUNCTION("""COMPUTED_VALUE"""),2.11)</f>
        <v>2.11</v>
      </c>
      <c r="D358" s="7">
        <v>3.9857145E7</v>
      </c>
      <c r="E358" s="8">
        <v>8.409857594999999E7</v>
      </c>
    </row>
    <row r="359">
      <c r="A359" s="7" t="str">
        <f>IFERROR(__xludf.DUMMYFUNCTION("""COMPUTED_VALUE"""),"Sweden")</f>
        <v>Sweden</v>
      </c>
      <c r="B359" s="7" t="str">
        <f>IFERROR(__xludf.DUMMYFUNCTION("""COMPUTED_VALUE"""),"Rice Inc")</f>
        <v>Rice Inc</v>
      </c>
      <c r="C359" s="8">
        <f>IFERROR(__xludf.DUMMYFUNCTION("""COMPUTED_VALUE"""),1.27)</f>
        <v>1.27</v>
      </c>
      <c r="D359" s="7">
        <v>1.0549347E7</v>
      </c>
      <c r="E359" s="8">
        <v>1.339767069E7</v>
      </c>
    </row>
    <row r="360">
      <c r="A360" s="7" t="str">
        <f>IFERROR(__xludf.DUMMYFUNCTION("""COMPUTED_VALUE"""),"China")</f>
        <v>China</v>
      </c>
      <c r="B360" s="7" t="str">
        <f>IFERROR(__xludf.DUMMYFUNCTION("""COMPUTED_VALUE"""),"Lueilwitz Group")</f>
        <v>Lueilwitz Group</v>
      </c>
      <c r="C360" s="8">
        <f>IFERROR(__xludf.DUMMYFUNCTION("""COMPUTED_VALUE"""),1.1)</f>
        <v>1.1</v>
      </c>
      <c r="D360" s="7">
        <v>1.425887337E9</v>
      </c>
      <c r="E360" s="8">
        <v>1.5684760707E9</v>
      </c>
    </row>
    <row r="361">
      <c r="A361" s="7" t="str">
        <f>IFERROR(__xludf.DUMMYFUNCTION("""COMPUTED_VALUE"""),"Philippines")</f>
        <v>Philippines</v>
      </c>
      <c r="B361" s="7" t="str">
        <f>IFERROR(__xludf.DUMMYFUNCTION("""COMPUTED_VALUE"""),"Price and Sons")</f>
        <v>Price and Sons</v>
      </c>
      <c r="C361" s="8">
        <f>IFERROR(__xludf.DUMMYFUNCTION("""COMPUTED_VALUE"""),1.62)</f>
        <v>1.62</v>
      </c>
      <c r="D361" s="7">
        <v>1.15559009E8</v>
      </c>
      <c r="E361" s="8">
        <v>1.8720559458E8</v>
      </c>
    </row>
    <row r="362">
      <c r="A362" s="7" t="str">
        <f>IFERROR(__xludf.DUMMYFUNCTION("""COMPUTED_VALUE"""),"Russia")</f>
        <v>Russia</v>
      </c>
      <c r="B362" s="7" t="str">
        <f>IFERROR(__xludf.DUMMYFUNCTION("""COMPUTED_VALUE"""),"Mraz Inc")</f>
        <v>Mraz Inc</v>
      </c>
      <c r="C362" s="8">
        <f>IFERROR(__xludf.DUMMYFUNCTION("""COMPUTED_VALUE"""),1.64)</f>
        <v>1.64</v>
      </c>
      <c r="D362" s="7">
        <v>1.44713314E8</v>
      </c>
      <c r="E362" s="8">
        <v>2.3732983495999998E8</v>
      </c>
    </row>
    <row r="363">
      <c r="A363" s="7" t="str">
        <f>IFERROR(__xludf.DUMMYFUNCTION("""COMPUTED_VALUE"""),"Kazakhstan")</f>
        <v>Kazakhstan</v>
      </c>
      <c r="B363" s="7" t="str">
        <f>IFERROR(__xludf.DUMMYFUNCTION("""COMPUTED_VALUE"""),"Powlowski, Corwin and Haley")</f>
        <v>Powlowski, Corwin and Haley</v>
      </c>
      <c r="C363" s="8">
        <f>IFERROR(__xludf.DUMMYFUNCTION("""COMPUTED_VALUE"""),1.36)</f>
        <v>1.36</v>
      </c>
      <c r="D363" s="7">
        <v>1.9397998E7</v>
      </c>
      <c r="E363" s="8">
        <v>2.638127728E7</v>
      </c>
    </row>
    <row r="364">
      <c r="A364" s="7" t="str">
        <f>IFERROR(__xludf.DUMMYFUNCTION("""COMPUTED_VALUE"""),"China")</f>
        <v>China</v>
      </c>
      <c r="B364" s="7" t="str">
        <f>IFERROR(__xludf.DUMMYFUNCTION("""COMPUTED_VALUE"""),"Waters and Sons")</f>
        <v>Waters and Sons</v>
      </c>
      <c r="C364" s="8">
        <f>IFERROR(__xludf.DUMMYFUNCTION("""COMPUTED_VALUE"""),1.84)</f>
        <v>1.84</v>
      </c>
      <c r="D364" s="7">
        <v>1.425887337E9</v>
      </c>
      <c r="E364" s="8">
        <v>2.62363270008E9</v>
      </c>
    </row>
    <row r="365">
      <c r="A365" s="7" t="str">
        <f>IFERROR(__xludf.DUMMYFUNCTION("""COMPUTED_VALUE"""),"Indonesia")</f>
        <v>Indonesia</v>
      </c>
      <c r="B365" s="7" t="str">
        <f>IFERROR(__xludf.DUMMYFUNCTION("""COMPUTED_VALUE"""),"Koch Group")</f>
        <v>Koch Group</v>
      </c>
      <c r="C365" s="8">
        <f>IFERROR(__xludf.DUMMYFUNCTION("""COMPUTED_VALUE"""),1.07)</f>
        <v>1.07</v>
      </c>
      <c r="D365" s="7">
        <v>2.75501339E8</v>
      </c>
      <c r="E365" s="8">
        <v>2.9478643273E8</v>
      </c>
    </row>
    <row r="366">
      <c r="A366" s="7" t="str">
        <f>IFERROR(__xludf.DUMMYFUNCTION("""COMPUTED_VALUE"""),"Bolivia")</f>
        <v>Bolivia</v>
      </c>
      <c r="B366" s="7" t="str">
        <f>IFERROR(__xludf.DUMMYFUNCTION("""COMPUTED_VALUE"""),"Fadel, Davis and Ebert")</f>
        <v>Fadel, Davis and Ebert</v>
      </c>
      <c r="C366" s="8">
        <f>IFERROR(__xludf.DUMMYFUNCTION("""COMPUTED_VALUE"""),2.08)</f>
        <v>2.08</v>
      </c>
      <c r="D366" s="7">
        <v>1.222411E7</v>
      </c>
      <c r="E366" s="8">
        <v>2.54261488E7</v>
      </c>
    </row>
    <row r="367">
      <c r="A367" s="7" t="str">
        <f>IFERROR(__xludf.DUMMYFUNCTION("""COMPUTED_VALUE"""),"El Salvador")</f>
        <v>El Salvador</v>
      </c>
      <c r="B367" s="7" t="str">
        <f>IFERROR(__xludf.DUMMYFUNCTION("""COMPUTED_VALUE"""),"Predovic LLC")</f>
        <v>Predovic LLC</v>
      </c>
      <c r="C367" s="8">
        <f>IFERROR(__xludf.DUMMYFUNCTION("""COMPUTED_VALUE"""),1.02)</f>
        <v>1.02</v>
      </c>
      <c r="D367" s="7">
        <v>6336392.0</v>
      </c>
      <c r="E367" s="8">
        <v>6463119.84</v>
      </c>
    </row>
    <row r="368">
      <c r="A368" s="7" t="str">
        <f>IFERROR(__xludf.DUMMYFUNCTION("""COMPUTED_VALUE"""),"Philippines")</f>
        <v>Philippines</v>
      </c>
      <c r="B368" s="7" t="str">
        <f>IFERROR(__xludf.DUMMYFUNCTION("""COMPUTED_VALUE"""),"Schaefer, Parisian and Ondricka")</f>
        <v>Schaefer, Parisian and Ondricka</v>
      </c>
      <c r="C368" s="8">
        <f>IFERROR(__xludf.DUMMYFUNCTION("""COMPUTED_VALUE"""),1.19)</f>
        <v>1.19</v>
      </c>
      <c r="D368" s="7">
        <v>1.15559009E8</v>
      </c>
      <c r="E368" s="8">
        <v>1.3751522071E8</v>
      </c>
    </row>
    <row r="369">
      <c r="A369" s="7" t="str">
        <f>IFERROR(__xludf.DUMMYFUNCTION("""COMPUTED_VALUE"""),"Philippines")</f>
        <v>Philippines</v>
      </c>
      <c r="B369" s="7" t="str">
        <f>IFERROR(__xludf.DUMMYFUNCTION("""COMPUTED_VALUE"""),"Marks, Bergstrom and Klocko")</f>
        <v>Marks, Bergstrom and Klocko</v>
      </c>
      <c r="C369" s="8">
        <f>IFERROR(__xludf.DUMMYFUNCTION("""COMPUTED_VALUE"""),1.99)</f>
        <v>1.99</v>
      </c>
      <c r="D369" s="7">
        <v>1.15559009E8</v>
      </c>
      <c r="E369" s="8">
        <v>2.2996242791E8</v>
      </c>
    </row>
    <row r="370">
      <c r="A370" s="7" t="str">
        <f>IFERROR(__xludf.DUMMYFUNCTION("""COMPUTED_VALUE"""),"Poland")</f>
        <v>Poland</v>
      </c>
      <c r="B370" s="7" t="str">
        <f>IFERROR(__xludf.DUMMYFUNCTION("""COMPUTED_VALUE"""),"Hagenes, Wolf and Batz")</f>
        <v>Hagenes, Wolf and Batz</v>
      </c>
      <c r="C370" s="8">
        <f>IFERROR(__xludf.DUMMYFUNCTION("""COMPUTED_VALUE"""),1.34)</f>
        <v>1.34</v>
      </c>
      <c r="D370" s="7">
        <v>3.9857145E7</v>
      </c>
      <c r="E370" s="8">
        <v>5.3408574300000004E7</v>
      </c>
    </row>
    <row r="371">
      <c r="A371" s="7" t="str">
        <f>IFERROR(__xludf.DUMMYFUNCTION("""COMPUTED_VALUE"""),"Philippines")</f>
        <v>Philippines</v>
      </c>
      <c r="B371" s="7" t="str">
        <f>IFERROR(__xludf.DUMMYFUNCTION("""COMPUTED_VALUE"""),"Williamson Inc")</f>
        <v>Williamson Inc</v>
      </c>
      <c r="C371" s="8">
        <f>IFERROR(__xludf.DUMMYFUNCTION("""COMPUTED_VALUE"""),1.79)</f>
        <v>1.79</v>
      </c>
      <c r="D371" s="7">
        <v>1.15559009E8</v>
      </c>
      <c r="E371" s="8">
        <v>2.0685062611E8</v>
      </c>
    </row>
    <row r="372">
      <c r="A372" s="7" t="str">
        <f>IFERROR(__xludf.DUMMYFUNCTION("""COMPUTED_VALUE"""),"Cape Verde")</f>
        <v>Cape Verde</v>
      </c>
      <c r="B372" s="7" t="str">
        <f>IFERROR(__xludf.DUMMYFUNCTION("""COMPUTED_VALUE"""),"Rogahn LLC")</f>
        <v>Rogahn LLC</v>
      </c>
      <c r="C372" s="8">
        <f>IFERROR(__xludf.DUMMYFUNCTION("""COMPUTED_VALUE"""),1.13)</f>
        <v>1.13</v>
      </c>
      <c r="D372" s="7">
        <v>593149.0</v>
      </c>
      <c r="E372" s="8">
        <v>670258.3699999999</v>
      </c>
    </row>
    <row r="373">
      <c r="A373" s="7" t="str">
        <f>IFERROR(__xludf.DUMMYFUNCTION("""COMPUTED_VALUE"""),"Indonesia")</f>
        <v>Indonesia</v>
      </c>
      <c r="B373" s="7" t="str">
        <f>IFERROR(__xludf.DUMMYFUNCTION("""COMPUTED_VALUE"""),"Reichert and Sons")</f>
        <v>Reichert and Sons</v>
      </c>
      <c r="C373" s="8">
        <f>IFERROR(__xludf.DUMMYFUNCTION("""COMPUTED_VALUE"""),1.64)</f>
        <v>1.64</v>
      </c>
      <c r="D373" s="7">
        <v>2.75501339E8</v>
      </c>
      <c r="E373" s="8">
        <v>4.5182219596E8</v>
      </c>
    </row>
    <row r="374">
      <c r="A374" s="7" t="str">
        <f>IFERROR(__xludf.DUMMYFUNCTION("""COMPUTED_VALUE"""),"Bulgaria")</f>
        <v>Bulgaria</v>
      </c>
      <c r="B374" s="7" t="str">
        <f>IFERROR(__xludf.DUMMYFUNCTION("""COMPUTED_VALUE"""),"Bergnaum LLC")</f>
        <v>Bergnaum LLC</v>
      </c>
      <c r="C374" s="8">
        <f>IFERROR(__xludf.DUMMYFUNCTION("""COMPUTED_VALUE"""),1.31)</f>
        <v>1.31</v>
      </c>
      <c r="D374" s="7">
        <v>6781953.0</v>
      </c>
      <c r="E374" s="8">
        <v>8884358.43</v>
      </c>
    </row>
    <row r="375">
      <c r="A375" s="7" t="str">
        <f>IFERROR(__xludf.DUMMYFUNCTION("""COMPUTED_VALUE"""),"China")</f>
        <v>China</v>
      </c>
      <c r="B375" s="7" t="str">
        <f>IFERROR(__xludf.DUMMYFUNCTION("""COMPUTED_VALUE"""),"Stoltenberg-Schoen")</f>
        <v>Stoltenberg-Schoen</v>
      </c>
      <c r="C375" s="8">
        <f>IFERROR(__xludf.DUMMYFUNCTION("""COMPUTED_VALUE"""),1.59)</f>
        <v>1.59</v>
      </c>
      <c r="D375" s="7">
        <v>1.425887337E9</v>
      </c>
      <c r="E375" s="8">
        <v>2.26716086583E9</v>
      </c>
    </row>
    <row r="376">
      <c r="A376" s="7" t="str">
        <f>IFERROR(__xludf.DUMMYFUNCTION("""COMPUTED_VALUE"""),"China")</f>
        <v>China</v>
      </c>
      <c r="B376" s="7" t="str">
        <f>IFERROR(__xludf.DUMMYFUNCTION("""COMPUTED_VALUE"""),"Bernier Inc")</f>
        <v>Bernier Inc</v>
      </c>
      <c r="C376" s="8">
        <f>IFERROR(__xludf.DUMMYFUNCTION("""COMPUTED_VALUE"""),2.19)</f>
        <v>2.19</v>
      </c>
      <c r="D376" s="7">
        <v>1.425887337E9</v>
      </c>
      <c r="E376" s="8">
        <v>3.1226932680299997E9</v>
      </c>
    </row>
    <row r="377">
      <c r="A377" s="7" t="str">
        <f>IFERROR(__xludf.DUMMYFUNCTION("""COMPUTED_VALUE"""),"Japan")</f>
        <v>Japan</v>
      </c>
      <c r="B377" s="7" t="str">
        <f>IFERROR(__xludf.DUMMYFUNCTION("""COMPUTED_VALUE"""),"Hills-Walter")</f>
        <v>Hills-Walter</v>
      </c>
      <c r="C377" s="8">
        <f>IFERROR(__xludf.DUMMYFUNCTION("""COMPUTED_VALUE"""),1.48)</f>
        <v>1.48</v>
      </c>
      <c r="D377" s="7">
        <v>1.23951692E8</v>
      </c>
      <c r="E377" s="8">
        <v>1.8344850416E8</v>
      </c>
    </row>
    <row r="378">
      <c r="A378" s="7" t="str">
        <f>IFERROR(__xludf.DUMMYFUNCTION("""COMPUTED_VALUE"""),"China")</f>
        <v>China</v>
      </c>
      <c r="B378" s="7" t="str">
        <f>IFERROR(__xludf.DUMMYFUNCTION("""COMPUTED_VALUE"""),"Roberts-Funk")</f>
        <v>Roberts-Funk</v>
      </c>
      <c r="C378" s="8">
        <f>IFERROR(__xludf.DUMMYFUNCTION("""COMPUTED_VALUE"""),2.08)</f>
        <v>2.08</v>
      </c>
      <c r="D378" s="7">
        <v>1.425887337E9</v>
      </c>
      <c r="E378" s="8">
        <v>2.96584566096E9</v>
      </c>
    </row>
    <row r="379">
      <c r="A379" s="7" t="str">
        <f>IFERROR(__xludf.DUMMYFUNCTION("""COMPUTED_VALUE"""),"Greece")</f>
        <v>Greece</v>
      </c>
      <c r="B379" s="7" t="str">
        <f>IFERROR(__xludf.DUMMYFUNCTION("""COMPUTED_VALUE"""),"Gorczany Group")</f>
        <v>Gorczany Group</v>
      </c>
      <c r="C379" s="8">
        <f>IFERROR(__xludf.DUMMYFUNCTION("""COMPUTED_VALUE"""),1.63)</f>
        <v>1.63</v>
      </c>
      <c r="D379" s="7">
        <v>1.0384971E7</v>
      </c>
      <c r="E379" s="8">
        <v>1.692750273E7</v>
      </c>
    </row>
    <row r="380">
      <c r="A380" s="7" t="str">
        <f>IFERROR(__xludf.DUMMYFUNCTION("""COMPUTED_VALUE"""),"Peru")</f>
        <v>Peru</v>
      </c>
      <c r="B380" s="7" t="str">
        <f>IFERROR(__xludf.DUMMYFUNCTION("""COMPUTED_VALUE"""),"Abshire Inc")</f>
        <v>Abshire Inc</v>
      </c>
      <c r="C380" s="8">
        <f>IFERROR(__xludf.DUMMYFUNCTION("""COMPUTED_VALUE"""),1.13)</f>
        <v>1.13</v>
      </c>
      <c r="D380" s="7">
        <v>3.4049588E7</v>
      </c>
      <c r="E380" s="8">
        <v>3.847603444E7</v>
      </c>
    </row>
    <row r="381">
      <c r="A381" s="7" t="str">
        <f>IFERROR(__xludf.DUMMYFUNCTION("""COMPUTED_VALUE"""),"Armenia")</f>
        <v>Armenia</v>
      </c>
      <c r="B381" s="7" t="str">
        <f>IFERROR(__xludf.DUMMYFUNCTION("""COMPUTED_VALUE"""),"Kessler-Becker")</f>
        <v>Kessler-Becker</v>
      </c>
      <c r="C381" s="8">
        <f>IFERROR(__xludf.DUMMYFUNCTION("""COMPUTED_VALUE"""),2.0)</f>
        <v>2</v>
      </c>
      <c r="D381" s="7">
        <v>2780469.0</v>
      </c>
      <c r="E381" s="8">
        <v>5560938.0</v>
      </c>
    </row>
    <row r="382">
      <c r="A382" s="7" t="str">
        <f>IFERROR(__xludf.DUMMYFUNCTION("""COMPUTED_VALUE"""),"Bolivia")</f>
        <v>Bolivia</v>
      </c>
      <c r="B382" s="7" t="str">
        <f>IFERROR(__xludf.DUMMYFUNCTION("""COMPUTED_VALUE"""),"Bernhard-Grady")</f>
        <v>Bernhard-Grady</v>
      </c>
      <c r="C382" s="8">
        <f>IFERROR(__xludf.DUMMYFUNCTION("""COMPUTED_VALUE"""),0.9)</f>
        <v>0.9</v>
      </c>
      <c r="D382" s="7">
        <v>1.222411E7</v>
      </c>
      <c r="E382" s="8">
        <v>1.1001699E7</v>
      </c>
    </row>
    <row r="383">
      <c r="A383" s="7" t="str">
        <f>IFERROR(__xludf.DUMMYFUNCTION("""COMPUTED_VALUE"""),"China")</f>
        <v>China</v>
      </c>
      <c r="B383" s="7" t="str">
        <f>IFERROR(__xludf.DUMMYFUNCTION("""COMPUTED_VALUE"""),"Sporer Inc")</f>
        <v>Sporer Inc</v>
      </c>
      <c r="C383" s="8">
        <f>IFERROR(__xludf.DUMMYFUNCTION("""COMPUTED_VALUE"""),2.12)</f>
        <v>2.12</v>
      </c>
      <c r="D383" s="7">
        <v>1.425887337E9</v>
      </c>
      <c r="E383" s="8">
        <v>3.02288115444E9</v>
      </c>
    </row>
    <row r="384">
      <c r="A384" s="7" t="str">
        <f>IFERROR(__xludf.DUMMYFUNCTION("""COMPUTED_VALUE"""),"Indonesia")</f>
        <v>Indonesia</v>
      </c>
      <c r="B384" s="7" t="str">
        <f>IFERROR(__xludf.DUMMYFUNCTION("""COMPUTED_VALUE"""),"Friesen LLC")</f>
        <v>Friesen LLC</v>
      </c>
      <c r="C384" s="8">
        <f>IFERROR(__xludf.DUMMYFUNCTION("""COMPUTED_VALUE"""),1.56)</f>
        <v>1.56</v>
      </c>
      <c r="D384" s="7">
        <v>2.75501339E8</v>
      </c>
      <c r="E384" s="8">
        <v>4.2978208884000003E8</v>
      </c>
    </row>
    <row r="385">
      <c r="A385" s="7" t="str">
        <f>IFERROR(__xludf.DUMMYFUNCTION("""COMPUTED_VALUE"""),"China")</f>
        <v>China</v>
      </c>
      <c r="B385" s="7" t="str">
        <f>IFERROR(__xludf.DUMMYFUNCTION("""COMPUTED_VALUE"""),"Schoen and Sons")</f>
        <v>Schoen and Sons</v>
      </c>
      <c r="C385" s="8">
        <f>IFERROR(__xludf.DUMMYFUNCTION("""COMPUTED_VALUE"""),1.58)</f>
        <v>1.58</v>
      </c>
      <c r="D385" s="7">
        <v>1.425887337E9</v>
      </c>
      <c r="E385" s="8">
        <v>2.25290199246E9</v>
      </c>
    </row>
    <row r="386">
      <c r="A386" s="7" t="str">
        <f>IFERROR(__xludf.DUMMYFUNCTION("""COMPUTED_VALUE"""),"Nicaragua")</f>
        <v>Nicaragua</v>
      </c>
      <c r="B386" s="7" t="str">
        <f>IFERROR(__xludf.DUMMYFUNCTION("""COMPUTED_VALUE"""),"Bernier-Rath")</f>
        <v>Bernier-Rath</v>
      </c>
      <c r="C386" s="8">
        <f>IFERROR(__xludf.DUMMYFUNCTION("""COMPUTED_VALUE"""),1.56)</f>
        <v>1.56</v>
      </c>
      <c r="D386" s="7">
        <v>6948392.0</v>
      </c>
      <c r="E386" s="8">
        <v>1.083949152E7</v>
      </c>
    </row>
    <row r="387">
      <c r="A387" s="7" t="str">
        <f>IFERROR(__xludf.DUMMYFUNCTION("""COMPUTED_VALUE"""),"Canada")</f>
        <v>Canada</v>
      </c>
      <c r="B387" s="7" t="str">
        <f>IFERROR(__xludf.DUMMYFUNCTION("""COMPUTED_VALUE"""),"Fahey, Brekke and Predovic")</f>
        <v>Fahey, Brekke and Predovic</v>
      </c>
      <c r="C387" s="8">
        <f>IFERROR(__xludf.DUMMYFUNCTION("""COMPUTED_VALUE"""),1.02)</f>
        <v>1.02</v>
      </c>
      <c r="D387" s="7">
        <v>3.8454327E7</v>
      </c>
      <c r="E387" s="8">
        <v>3.922341354E7</v>
      </c>
    </row>
    <row r="388">
      <c r="A388" s="7" t="str">
        <f>IFERROR(__xludf.DUMMYFUNCTION("""COMPUTED_VALUE"""),"Mexico")</f>
        <v>Mexico</v>
      </c>
      <c r="B388" s="7" t="str">
        <f>IFERROR(__xludf.DUMMYFUNCTION("""COMPUTED_VALUE"""),"Towne Group")</f>
        <v>Towne Group</v>
      </c>
      <c r="C388" s="8">
        <f>IFERROR(__xludf.DUMMYFUNCTION("""COMPUTED_VALUE"""),2.15)</f>
        <v>2.15</v>
      </c>
      <c r="D388" s="7">
        <v>1.27504125E8</v>
      </c>
      <c r="E388" s="8">
        <v>2.7413386875E8</v>
      </c>
    </row>
    <row r="389">
      <c r="A389" s="7" t="str">
        <f>IFERROR(__xludf.DUMMYFUNCTION("""COMPUTED_VALUE"""),"Canada")</f>
        <v>Canada</v>
      </c>
      <c r="B389" s="7" t="str">
        <f>IFERROR(__xludf.DUMMYFUNCTION("""COMPUTED_VALUE"""),"O'Kon, Lockman and Batz")</f>
        <v>O'Kon, Lockman and Batz</v>
      </c>
      <c r="C389" s="8">
        <f>IFERROR(__xludf.DUMMYFUNCTION("""COMPUTED_VALUE"""),2.14)</f>
        <v>2.14</v>
      </c>
      <c r="D389" s="7">
        <v>3.8454327E7</v>
      </c>
      <c r="E389" s="8">
        <v>8.229225978E7</v>
      </c>
    </row>
    <row r="390">
      <c r="A390" s="7" t="str">
        <f>IFERROR(__xludf.DUMMYFUNCTION("""COMPUTED_VALUE"""),"China")</f>
        <v>China</v>
      </c>
      <c r="B390" s="7" t="str">
        <f>IFERROR(__xludf.DUMMYFUNCTION("""COMPUTED_VALUE"""),"Barton LLC")</f>
        <v>Barton LLC</v>
      </c>
      <c r="C390" s="8">
        <f>IFERROR(__xludf.DUMMYFUNCTION("""COMPUTED_VALUE"""),0.9)</f>
        <v>0.9</v>
      </c>
      <c r="D390" s="7">
        <v>1.425887337E9</v>
      </c>
      <c r="E390" s="8">
        <v>1.2832986033E9</v>
      </c>
    </row>
    <row r="391">
      <c r="A391" s="7" t="str">
        <f>IFERROR(__xludf.DUMMYFUNCTION("""COMPUTED_VALUE"""),"Thailand")</f>
        <v>Thailand</v>
      </c>
      <c r="B391" s="7" t="str">
        <f>IFERROR(__xludf.DUMMYFUNCTION("""COMPUTED_VALUE"""),"Bernhard-Labadie")</f>
        <v>Bernhard-Labadie</v>
      </c>
      <c r="C391" s="8">
        <f>IFERROR(__xludf.DUMMYFUNCTION("""COMPUTED_VALUE"""),0.97)</f>
        <v>0.97</v>
      </c>
      <c r="D391" s="7">
        <v>7.169703E7</v>
      </c>
      <c r="E391" s="8">
        <v>6.95461191E7</v>
      </c>
    </row>
    <row r="392">
      <c r="A392" s="7" t="str">
        <f>IFERROR(__xludf.DUMMYFUNCTION("""COMPUTED_VALUE"""),"Portugal")</f>
        <v>Portugal</v>
      </c>
      <c r="B392" s="7" t="str">
        <f>IFERROR(__xludf.DUMMYFUNCTION("""COMPUTED_VALUE"""),"Stamm-Kassulke")</f>
        <v>Stamm-Kassulke</v>
      </c>
      <c r="C392" s="8">
        <f>IFERROR(__xludf.DUMMYFUNCTION("""COMPUTED_VALUE"""),2.18)</f>
        <v>2.18</v>
      </c>
      <c r="D392" s="7">
        <v>1.0270865E7</v>
      </c>
      <c r="E392" s="8">
        <v>2.2390485700000003E7</v>
      </c>
    </row>
    <row r="393">
      <c r="A393" s="7" t="str">
        <f>IFERROR(__xludf.DUMMYFUNCTION("""COMPUTED_VALUE"""),"Russia")</f>
        <v>Russia</v>
      </c>
      <c r="B393" s="7" t="str">
        <f>IFERROR(__xludf.DUMMYFUNCTION("""COMPUTED_VALUE"""),"Schneider, Bahringer and Mann")</f>
        <v>Schneider, Bahringer and Mann</v>
      </c>
      <c r="C393" s="8">
        <f>IFERROR(__xludf.DUMMYFUNCTION("""COMPUTED_VALUE"""),0.93)</f>
        <v>0.93</v>
      </c>
      <c r="D393" s="7">
        <v>1.44713314E8</v>
      </c>
      <c r="E393" s="8">
        <v>1.3458338202E8</v>
      </c>
    </row>
    <row r="394">
      <c r="A394" s="7" t="str">
        <f>IFERROR(__xludf.DUMMYFUNCTION("""COMPUTED_VALUE"""),"Russia")</f>
        <v>Russia</v>
      </c>
      <c r="B394" s="7" t="str">
        <f>IFERROR(__xludf.DUMMYFUNCTION("""COMPUTED_VALUE"""),"Nicolas, Zemlak and Considine")</f>
        <v>Nicolas, Zemlak and Considine</v>
      </c>
      <c r="C394" s="8">
        <f>IFERROR(__xludf.DUMMYFUNCTION("""COMPUTED_VALUE"""),2.15)</f>
        <v>2.15</v>
      </c>
      <c r="D394" s="7">
        <v>1.44713314E8</v>
      </c>
      <c r="E394" s="8">
        <v>3.1113362509999996E8</v>
      </c>
    </row>
    <row r="395">
      <c r="A395" s="7" t="str">
        <f>IFERROR(__xludf.DUMMYFUNCTION("""COMPUTED_VALUE"""),"United States")</f>
        <v>United States</v>
      </c>
      <c r="B395" s="7" t="str">
        <f>IFERROR(__xludf.DUMMYFUNCTION("""COMPUTED_VALUE"""),"Shanahan Inc")</f>
        <v>Shanahan Inc</v>
      </c>
      <c r="C395" s="8">
        <f>IFERROR(__xludf.DUMMYFUNCTION("""COMPUTED_VALUE"""),1.47)</f>
        <v>1.47</v>
      </c>
      <c r="D395" s="7">
        <v>3.38289857E8</v>
      </c>
      <c r="E395" s="8">
        <v>4.9728608978999996E8</v>
      </c>
    </row>
    <row r="396">
      <c r="A396" s="7" t="str">
        <f>IFERROR(__xludf.DUMMYFUNCTION("""COMPUTED_VALUE"""),"Uruguay")</f>
        <v>Uruguay</v>
      </c>
      <c r="B396" s="7" t="str">
        <f>IFERROR(__xludf.DUMMYFUNCTION("""COMPUTED_VALUE"""),"Muller, Friesen and Jerde")</f>
        <v>Muller, Friesen and Jerde</v>
      </c>
      <c r="C396" s="8">
        <f>IFERROR(__xludf.DUMMYFUNCTION("""COMPUTED_VALUE"""),1.16)</f>
        <v>1.16</v>
      </c>
      <c r="D396" s="7">
        <v>3422794.0</v>
      </c>
      <c r="E396" s="8">
        <v>3970441.0399999996</v>
      </c>
    </row>
    <row r="397">
      <c r="A397" s="7" t="str">
        <f>IFERROR(__xludf.DUMMYFUNCTION("""COMPUTED_VALUE"""),"Slovenia")</f>
        <v>Slovenia</v>
      </c>
      <c r="B397" s="7" t="str">
        <f>IFERROR(__xludf.DUMMYFUNCTION("""COMPUTED_VALUE"""),"Schaefer Group")</f>
        <v>Schaefer Group</v>
      </c>
      <c r="C397" s="8">
        <f>IFERROR(__xludf.DUMMYFUNCTION("""COMPUTED_VALUE"""),1.15)</f>
        <v>1.15</v>
      </c>
      <c r="D397" s="7">
        <v>2119844.0</v>
      </c>
      <c r="E397" s="8">
        <v>2437820.5999999996</v>
      </c>
    </row>
    <row r="398">
      <c r="A398" s="7" t="str">
        <f>IFERROR(__xludf.DUMMYFUNCTION("""COMPUTED_VALUE"""),"Djibouti")</f>
        <v>Djibouti</v>
      </c>
      <c r="B398" s="7" t="str">
        <f>IFERROR(__xludf.DUMMYFUNCTION("""COMPUTED_VALUE"""),"Bosco, Funk and Roob")</f>
        <v>Bosco, Funk and Roob</v>
      </c>
      <c r="C398" s="8">
        <f>IFERROR(__xludf.DUMMYFUNCTION("""COMPUTED_VALUE"""),0.87)</f>
        <v>0.87</v>
      </c>
      <c r="D398" s="7">
        <v>1120849.0</v>
      </c>
      <c r="E398" s="8">
        <v>975138.63</v>
      </c>
    </row>
    <row r="399">
      <c r="A399" s="7" t="str">
        <f>IFERROR(__xludf.DUMMYFUNCTION("""COMPUTED_VALUE"""),"Russia")</f>
        <v>Russia</v>
      </c>
      <c r="B399" s="7" t="str">
        <f>IFERROR(__xludf.DUMMYFUNCTION("""COMPUTED_VALUE"""),"Upton, Wunsch and Doyle")</f>
        <v>Upton, Wunsch and Doyle</v>
      </c>
      <c r="C399" s="8">
        <f>IFERROR(__xludf.DUMMYFUNCTION("""COMPUTED_VALUE"""),1.29)</f>
        <v>1.29</v>
      </c>
      <c r="D399" s="7">
        <v>1.44713314E8</v>
      </c>
      <c r="E399" s="8">
        <v>1.8668017506E8</v>
      </c>
    </row>
    <row r="400">
      <c r="A400" s="7" t="str">
        <f>IFERROR(__xludf.DUMMYFUNCTION("""COMPUTED_VALUE"""),"Ukraine")</f>
        <v>Ukraine</v>
      </c>
      <c r="B400" s="7" t="str">
        <f>IFERROR(__xludf.DUMMYFUNCTION("""COMPUTED_VALUE"""),"Kutch-Yundt")</f>
        <v>Kutch-Yundt</v>
      </c>
      <c r="C400" s="8">
        <f>IFERROR(__xludf.DUMMYFUNCTION("""COMPUTED_VALUE"""),2.14)</f>
        <v>2.14</v>
      </c>
      <c r="D400" s="7">
        <v>3.9701739E7</v>
      </c>
      <c r="E400" s="8">
        <v>8.496172146000001E7</v>
      </c>
    </row>
    <row r="401">
      <c r="A401" s="7" t="str">
        <f>IFERROR(__xludf.DUMMYFUNCTION("""COMPUTED_VALUE"""),"Brazil")</f>
        <v>Brazil</v>
      </c>
      <c r="B401" s="7" t="str">
        <f>IFERROR(__xludf.DUMMYFUNCTION("""COMPUTED_VALUE"""),"Blanda-Douglas")</f>
        <v>Blanda-Douglas</v>
      </c>
      <c r="C401" s="8">
        <f>IFERROR(__xludf.DUMMYFUNCTION("""COMPUTED_VALUE"""),1.52)</f>
        <v>1.52</v>
      </c>
      <c r="D401" s="7">
        <v>2.15313498E8</v>
      </c>
      <c r="E401" s="8">
        <v>3.2727651696E8</v>
      </c>
    </row>
    <row r="402">
      <c r="A402" s="7" t="str">
        <f>IFERROR(__xludf.DUMMYFUNCTION("""COMPUTED_VALUE"""),"Sweden")</f>
        <v>Sweden</v>
      </c>
      <c r="B402" s="7" t="str">
        <f>IFERROR(__xludf.DUMMYFUNCTION("""COMPUTED_VALUE"""),"Williamson-Johnston")</f>
        <v>Williamson-Johnston</v>
      </c>
      <c r="C402" s="8">
        <f>IFERROR(__xludf.DUMMYFUNCTION("""COMPUTED_VALUE"""),1.85)</f>
        <v>1.85</v>
      </c>
      <c r="D402" s="7">
        <v>1.0549347E7</v>
      </c>
      <c r="E402" s="8">
        <v>1.951629195E7</v>
      </c>
    </row>
    <row r="403">
      <c r="A403" s="7" t="str">
        <f>IFERROR(__xludf.DUMMYFUNCTION("""COMPUTED_VALUE"""),"Tanzania")</f>
        <v>Tanzania</v>
      </c>
      <c r="B403" s="7" t="str">
        <f>IFERROR(__xludf.DUMMYFUNCTION("""COMPUTED_VALUE"""),"Blick, Rolfson and Marvin")</f>
        <v>Blick, Rolfson and Marvin</v>
      </c>
      <c r="C403" s="8">
        <f>IFERROR(__xludf.DUMMYFUNCTION("""COMPUTED_VALUE"""),2.11)</f>
        <v>2.11</v>
      </c>
      <c r="D403" s="7">
        <v>6.5497748E7</v>
      </c>
      <c r="E403" s="8">
        <v>1.3820024828E8</v>
      </c>
    </row>
    <row r="404">
      <c r="A404" s="7" t="str">
        <f>IFERROR(__xludf.DUMMYFUNCTION("""COMPUTED_VALUE"""),"Croatia")</f>
        <v>Croatia</v>
      </c>
      <c r="B404" s="7" t="str">
        <f>IFERROR(__xludf.DUMMYFUNCTION("""COMPUTED_VALUE"""),"Bashirian Group")</f>
        <v>Bashirian Group</v>
      </c>
      <c r="C404" s="8">
        <f>IFERROR(__xludf.DUMMYFUNCTION("""COMPUTED_VALUE"""),1.53)</f>
        <v>1.53</v>
      </c>
      <c r="D404" s="7">
        <v>4030358.0</v>
      </c>
      <c r="E404" s="8">
        <v>6166447.74</v>
      </c>
    </row>
    <row r="405">
      <c r="A405" s="7" t="str">
        <f>IFERROR(__xludf.DUMMYFUNCTION("""COMPUTED_VALUE"""),"Sweden")</f>
        <v>Sweden</v>
      </c>
      <c r="B405" s="7" t="str">
        <f>IFERROR(__xludf.DUMMYFUNCTION("""COMPUTED_VALUE"""),"Stroman, Lowe and Marquardt")</f>
        <v>Stroman, Lowe and Marquardt</v>
      </c>
      <c r="C405" s="8">
        <f>IFERROR(__xludf.DUMMYFUNCTION("""COMPUTED_VALUE"""),2.06)</f>
        <v>2.06</v>
      </c>
      <c r="D405" s="7">
        <v>1.0549347E7</v>
      </c>
      <c r="E405" s="8">
        <v>2.173165482E7</v>
      </c>
    </row>
    <row r="406">
      <c r="A406" s="7" t="str">
        <f>IFERROR(__xludf.DUMMYFUNCTION("""COMPUTED_VALUE"""),"China")</f>
        <v>China</v>
      </c>
      <c r="B406" s="7" t="str">
        <f>IFERROR(__xludf.DUMMYFUNCTION("""COMPUTED_VALUE"""),"Gerlach Group")</f>
        <v>Gerlach Group</v>
      </c>
      <c r="C406" s="8">
        <f>IFERROR(__xludf.DUMMYFUNCTION("""COMPUTED_VALUE"""),1.27)</f>
        <v>1.27</v>
      </c>
      <c r="D406" s="7">
        <v>1.425887337E9</v>
      </c>
      <c r="E406" s="8">
        <v>1.81087691799E9</v>
      </c>
    </row>
    <row r="407">
      <c r="A407" s="7" t="str">
        <f>IFERROR(__xludf.DUMMYFUNCTION("""COMPUTED_VALUE"""),"Russia")</f>
        <v>Russia</v>
      </c>
      <c r="B407" s="7" t="str">
        <f>IFERROR(__xludf.DUMMYFUNCTION("""COMPUTED_VALUE"""),"Lakin, Mills and Turcotte")</f>
        <v>Lakin, Mills and Turcotte</v>
      </c>
      <c r="C407" s="8">
        <f>IFERROR(__xludf.DUMMYFUNCTION("""COMPUTED_VALUE"""),1.42)</f>
        <v>1.42</v>
      </c>
      <c r="D407" s="7">
        <v>1.44713314E8</v>
      </c>
      <c r="E407" s="8">
        <v>2.0549290588E8</v>
      </c>
    </row>
    <row r="408">
      <c r="A408" s="7" t="str">
        <f>IFERROR(__xludf.DUMMYFUNCTION("""COMPUTED_VALUE"""),"Belarus")</f>
        <v>Belarus</v>
      </c>
      <c r="B408" s="7" t="str">
        <f>IFERROR(__xludf.DUMMYFUNCTION("""COMPUTED_VALUE"""),"Jacobi, Gottlieb and Volkman")</f>
        <v>Jacobi, Gottlieb and Volkman</v>
      </c>
      <c r="C408" s="8">
        <f>IFERROR(__xludf.DUMMYFUNCTION("""COMPUTED_VALUE"""),1.38)</f>
        <v>1.38</v>
      </c>
      <c r="D408" s="7">
        <v>9534954.0</v>
      </c>
      <c r="E408" s="8">
        <v>1.315823652E7</v>
      </c>
    </row>
    <row r="409">
      <c r="A409" s="7" t="str">
        <f>IFERROR(__xludf.DUMMYFUNCTION("""COMPUTED_VALUE"""),"Iran")</f>
        <v>Iran</v>
      </c>
      <c r="B409" s="7" t="str">
        <f>IFERROR(__xludf.DUMMYFUNCTION("""COMPUTED_VALUE"""),"Sauer LLC")</f>
        <v>Sauer LLC</v>
      </c>
      <c r="C409" s="8">
        <f>IFERROR(__xludf.DUMMYFUNCTION("""COMPUTED_VALUE"""),1.0)</f>
        <v>1</v>
      </c>
      <c r="D409" s="7">
        <v>8.855057E7</v>
      </c>
      <c r="E409" s="8">
        <v>8.855057E7</v>
      </c>
    </row>
    <row r="410">
      <c r="A410" s="7" t="str">
        <f>IFERROR(__xludf.DUMMYFUNCTION("""COMPUTED_VALUE"""),"Latvia")</f>
        <v>Latvia</v>
      </c>
      <c r="B410" s="7" t="str">
        <f>IFERROR(__xludf.DUMMYFUNCTION("""COMPUTED_VALUE"""),"Carroll and Sons")</f>
        <v>Carroll and Sons</v>
      </c>
      <c r="C410" s="8">
        <f>IFERROR(__xludf.DUMMYFUNCTION("""COMPUTED_VALUE"""),1.71)</f>
        <v>1.71</v>
      </c>
      <c r="D410" s="7">
        <v>1850651.0</v>
      </c>
      <c r="E410" s="8">
        <v>3164613.21</v>
      </c>
    </row>
    <row r="411">
      <c r="A411" s="7" t="str">
        <f>IFERROR(__xludf.DUMMYFUNCTION("""COMPUTED_VALUE"""),"Indonesia")</f>
        <v>Indonesia</v>
      </c>
      <c r="B411" s="7" t="str">
        <f>IFERROR(__xludf.DUMMYFUNCTION("""COMPUTED_VALUE"""),"Boyle-Jast")</f>
        <v>Boyle-Jast</v>
      </c>
      <c r="C411" s="8">
        <f>IFERROR(__xludf.DUMMYFUNCTION("""COMPUTED_VALUE"""),1.95)</f>
        <v>1.95</v>
      </c>
      <c r="D411" s="7">
        <v>2.75501339E8</v>
      </c>
      <c r="E411" s="8">
        <v>5.3722761105E8</v>
      </c>
    </row>
    <row r="412">
      <c r="A412" s="7" t="str">
        <f>IFERROR(__xludf.DUMMYFUNCTION("""COMPUTED_VALUE"""),"Indonesia")</f>
        <v>Indonesia</v>
      </c>
      <c r="B412" s="7" t="str">
        <f>IFERROR(__xludf.DUMMYFUNCTION("""COMPUTED_VALUE"""),"Hamill, Bednar and Green")</f>
        <v>Hamill, Bednar and Green</v>
      </c>
      <c r="C412" s="8">
        <f>IFERROR(__xludf.DUMMYFUNCTION("""COMPUTED_VALUE"""),1.56)</f>
        <v>1.56</v>
      </c>
      <c r="D412" s="7">
        <v>2.75501339E8</v>
      </c>
      <c r="E412" s="8">
        <v>4.2978208884000003E8</v>
      </c>
    </row>
    <row r="413">
      <c r="A413" s="7" t="str">
        <f>IFERROR(__xludf.DUMMYFUNCTION("""COMPUTED_VALUE"""),"Indonesia")</f>
        <v>Indonesia</v>
      </c>
      <c r="B413" s="7" t="str">
        <f>IFERROR(__xludf.DUMMYFUNCTION("""COMPUTED_VALUE"""),"Krajcik-Roberts")</f>
        <v>Krajcik-Roberts</v>
      </c>
      <c r="C413" s="8">
        <f>IFERROR(__xludf.DUMMYFUNCTION("""COMPUTED_VALUE"""),0.89)</f>
        <v>0.89</v>
      </c>
      <c r="D413" s="7">
        <v>2.75501339E8</v>
      </c>
      <c r="E413" s="8">
        <v>2.4519619171E8</v>
      </c>
    </row>
    <row r="414">
      <c r="A414" s="7" t="str">
        <f>IFERROR(__xludf.DUMMYFUNCTION("""COMPUTED_VALUE"""),"Czech Republic")</f>
        <v>Czech Republic</v>
      </c>
      <c r="B414" s="7" t="str">
        <f>IFERROR(__xludf.DUMMYFUNCTION("""COMPUTED_VALUE"""),"Dach-Nolan")</f>
        <v>Dach-Nolan</v>
      </c>
      <c r="C414" s="8">
        <f>IFERROR(__xludf.DUMMYFUNCTION("""COMPUTED_VALUE"""),0.89)</f>
        <v>0.89</v>
      </c>
      <c r="D414" s="7">
        <v>1.0493986E7</v>
      </c>
      <c r="E414" s="8">
        <v>9339647.540000001</v>
      </c>
    </row>
    <row r="415">
      <c r="A415" s="7" t="str">
        <f>IFERROR(__xludf.DUMMYFUNCTION("""COMPUTED_VALUE"""),"Peru")</f>
        <v>Peru</v>
      </c>
      <c r="B415" s="7" t="str">
        <f>IFERROR(__xludf.DUMMYFUNCTION("""COMPUTED_VALUE"""),"Schumm LLC")</f>
        <v>Schumm LLC</v>
      </c>
      <c r="C415" s="8">
        <f>IFERROR(__xludf.DUMMYFUNCTION("""COMPUTED_VALUE"""),1.64)</f>
        <v>1.64</v>
      </c>
      <c r="D415" s="7">
        <v>3.4049588E7</v>
      </c>
      <c r="E415" s="8">
        <v>5.584132432E7</v>
      </c>
    </row>
    <row r="416">
      <c r="A416" s="7" t="str">
        <f>IFERROR(__xludf.DUMMYFUNCTION("""COMPUTED_VALUE"""),"Netherlands")</f>
        <v>Netherlands</v>
      </c>
      <c r="B416" s="7" t="str">
        <f>IFERROR(__xludf.DUMMYFUNCTION("""COMPUTED_VALUE"""),"Boehm, Quitzon and Wunsch")</f>
        <v>Boehm, Quitzon and Wunsch</v>
      </c>
      <c r="C416" s="8">
        <f>IFERROR(__xludf.DUMMYFUNCTION("""COMPUTED_VALUE"""),1.01)</f>
        <v>1.01</v>
      </c>
      <c r="D416" s="7">
        <v>1.7564014E7</v>
      </c>
      <c r="E416" s="8">
        <v>1.773965414E7</v>
      </c>
    </row>
    <row r="417">
      <c r="A417" s="7" t="str">
        <f>IFERROR(__xludf.DUMMYFUNCTION("""COMPUTED_VALUE"""),"Indonesia")</f>
        <v>Indonesia</v>
      </c>
      <c r="B417" s="7" t="str">
        <f>IFERROR(__xludf.DUMMYFUNCTION("""COMPUTED_VALUE"""),"Hansen Group")</f>
        <v>Hansen Group</v>
      </c>
      <c r="C417" s="8">
        <f>IFERROR(__xludf.DUMMYFUNCTION("""COMPUTED_VALUE"""),1.17)</f>
        <v>1.17</v>
      </c>
      <c r="D417" s="7">
        <v>2.75501339E8</v>
      </c>
      <c r="E417" s="8">
        <v>3.2233656663E8</v>
      </c>
    </row>
    <row r="418">
      <c r="A418" s="7" t="str">
        <f>IFERROR(__xludf.DUMMYFUNCTION("""COMPUTED_VALUE"""),"Poland")</f>
        <v>Poland</v>
      </c>
      <c r="B418" s="7" t="str">
        <f>IFERROR(__xludf.DUMMYFUNCTION("""COMPUTED_VALUE"""),"Stanton, Williamson and Orn")</f>
        <v>Stanton, Williamson and Orn</v>
      </c>
      <c r="C418" s="8">
        <f>IFERROR(__xludf.DUMMYFUNCTION("""COMPUTED_VALUE"""),2.05)</f>
        <v>2.05</v>
      </c>
      <c r="D418" s="7">
        <v>3.9857145E7</v>
      </c>
      <c r="E418" s="8">
        <v>8.170714725E7</v>
      </c>
    </row>
    <row r="419">
      <c r="A419" s="7" t="str">
        <f>IFERROR(__xludf.DUMMYFUNCTION("""COMPUTED_VALUE"""),"Philippines")</f>
        <v>Philippines</v>
      </c>
      <c r="B419" s="7" t="str">
        <f>IFERROR(__xludf.DUMMYFUNCTION("""COMPUTED_VALUE"""),"Emmerich-Davis")</f>
        <v>Emmerich-Davis</v>
      </c>
      <c r="C419" s="8">
        <f>IFERROR(__xludf.DUMMYFUNCTION("""COMPUTED_VALUE"""),1.37)</f>
        <v>1.37</v>
      </c>
      <c r="D419" s="7">
        <v>1.15559009E8</v>
      </c>
      <c r="E419" s="8">
        <v>1.5831584233E8</v>
      </c>
    </row>
    <row r="420">
      <c r="A420" s="7" t="str">
        <f>IFERROR(__xludf.DUMMYFUNCTION("""COMPUTED_VALUE"""),"Colombia")</f>
        <v>Colombia</v>
      </c>
      <c r="B420" s="7" t="str">
        <f>IFERROR(__xludf.DUMMYFUNCTION("""COMPUTED_VALUE"""),"Kilback-Kemmer")</f>
        <v>Kilback-Kemmer</v>
      </c>
      <c r="C420" s="8">
        <f>IFERROR(__xludf.DUMMYFUNCTION("""COMPUTED_VALUE"""),1.39)</f>
        <v>1.39</v>
      </c>
      <c r="D420" s="7">
        <v>5.1874024E7</v>
      </c>
      <c r="E420" s="8">
        <v>7.210489336E7</v>
      </c>
    </row>
    <row r="421">
      <c r="A421" s="7" t="str">
        <f>IFERROR(__xludf.DUMMYFUNCTION("""COMPUTED_VALUE"""),"Russia")</f>
        <v>Russia</v>
      </c>
      <c r="B421" s="7" t="str">
        <f>IFERROR(__xludf.DUMMYFUNCTION("""COMPUTED_VALUE"""),"Walter, Jacobi and Lang")</f>
        <v>Walter, Jacobi and Lang</v>
      </c>
      <c r="C421" s="8">
        <f>IFERROR(__xludf.DUMMYFUNCTION("""COMPUTED_VALUE"""),1.03)</f>
        <v>1.03</v>
      </c>
      <c r="D421" s="7">
        <v>1.44713314E8</v>
      </c>
      <c r="E421" s="8">
        <v>1.4905471342000002E8</v>
      </c>
    </row>
    <row r="422">
      <c r="A422" s="7" t="str">
        <f>IFERROR(__xludf.DUMMYFUNCTION("""COMPUTED_VALUE"""),"China")</f>
        <v>China</v>
      </c>
      <c r="B422" s="7" t="str">
        <f>IFERROR(__xludf.DUMMYFUNCTION("""COMPUTED_VALUE"""),"Barton Inc")</f>
        <v>Barton Inc</v>
      </c>
      <c r="C422" s="8">
        <f>IFERROR(__xludf.DUMMYFUNCTION("""COMPUTED_VALUE"""),1.45)</f>
        <v>1.45</v>
      </c>
      <c r="D422" s="7">
        <v>1.425887337E9</v>
      </c>
      <c r="E422" s="8">
        <v>2.0675366386499999E9</v>
      </c>
    </row>
    <row r="423">
      <c r="A423" s="7" t="str">
        <f>IFERROR(__xludf.DUMMYFUNCTION("""COMPUTED_VALUE"""),"Iran")</f>
        <v>Iran</v>
      </c>
      <c r="B423" s="7" t="str">
        <f>IFERROR(__xludf.DUMMYFUNCTION("""COMPUTED_VALUE"""),"Collins, Dooley and Herman")</f>
        <v>Collins, Dooley and Herman</v>
      </c>
      <c r="C423" s="8">
        <f>IFERROR(__xludf.DUMMYFUNCTION("""COMPUTED_VALUE"""),1.18)</f>
        <v>1.18</v>
      </c>
      <c r="D423" s="7">
        <v>8.855057E7</v>
      </c>
      <c r="E423" s="8">
        <v>1.044896726E8</v>
      </c>
    </row>
    <row r="424">
      <c r="A424" s="7" t="str">
        <f>IFERROR(__xludf.DUMMYFUNCTION("""COMPUTED_VALUE"""),"Indonesia")</f>
        <v>Indonesia</v>
      </c>
      <c r="B424" s="7" t="str">
        <f>IFERROR(__xludf.DUMMYFUNCTION("""COMPUTED_VALUE"""),"Cruickshank and Sons")</f>
        <v>Cruickshank and Sons</v>
      </c>
      <c r="C424" s="8">
        <f>IFERROR(__xludf.DUMMYFUNCTION("""COMPUTED_VALUE"""),2.0)</f>
        <v>2</v>
      </c>
      <c r="D424" s="7">
        <v>2.75501339E8</v>
      </c>
      <c r="E424" s="8">
        <v>5.51002678E8</v>
      </c>
    </row>
    <row r="425">
      <c r="A425" s="7" t="str">
        <f>IFERROR(__xludf.DUMMYFUNCTION("""COMPUTED_VALUE"""),"Indonesia")</f>
        <v>Indonesia</v>
      </c>
      <c r="B425" s="7" t="str">
        <f>IFERROR(__xludf.DUMMYFUNCTION("""COMPUTED_VALUE"""),"Durgan, Mohr and Batz")</f>
        <v>Durgan, Mohr and Batz</v>
      </c>
      <c r="C425" s="8">
        <f>IFERROR(__xludf.DUMMYFUNCTION("""COMPUTED_VALUE"""),1.64)</f>
        <v>1.64</v>
      </c>
      <c r="D425" s="7">
        <v>2.75501339E8</v>
      </c>
      <c r="E425" s="8">
        <v>4.5182219596E8</v>
      </c>
    </row>
    <row r="426">
      <c r="A426" s="7" t="str">
        <f>IFERROR(__xludf.DUMMYFUNCTION("""COMPUTED_VALUE"""),"Indonesia")</f>
        <v>Indonesia</v>
      </c>
      <c r="B426" s="7" t="str">
        <f>IFERROR(__xludf.DUMMYFUNCTION("""COMPUTED_VALUE"""),"Jacobson-Bins")</f>
        <v>Jacobson-Bins</v>
      </c>
      <c r="C426" s="8">
        <f>IFERROR(__xludf.DUMMYFUNCTION("""COMPUTED_VALUE"""),1.61)</f>
        <v>1.61</v>
      </c>
      <c r="D426" s="7">
        <v>2.75501339E8</v>
      </c>
      <c r="E426" s="8">
        <v>4.4355715579E8</v>
      </c>
    </row>
    <row r="427">
      <c r="A427" s="7" t="str">
        <f>IFERROR(__xludf.DUMMYFUNCTION("""COMPUTED_VALUE"""),"Brazil")</f>
        <v>Brazil</v>
      </c>
      <c r="B427" s="7" t="str">
        <f>IFERROR(__xludf.DUMMYFUNCTION("""COMPUTED_VALUE"""),"Flatley-Blick")</f>
        <v>Flatley-Blick</v>
      </c>
      <c r="C427" s="8">
        <f>IFERROR(__xludf.DUMMYFUNCTION("""COMPUTED_VALUE"""),1.84)</f>
        <v>1.84</v>
      </c>
      <c r="D427" s="7">
        <v>2.15313498E8</v>
      </c>
      <c r="E427" s="8">
        <v>3.9617683632E8</v>
      </c>
    </row>
    <row r="428">
      <c r="A428" s="7" t="str">
        <f>IFERROR(__xludf.DUMMYFUNCTION("""COMPUTED_VALUE"""),"France")</f>
        <v>France</v>
      </c>
      <c r="B428" s="7" t="str">
        <f>IFERROR(__xludf.DUMMYFUNCTION("""COMPUTED_VALUE"""),"Schuppe, Thompson and Braun")</f>
        <v>Schuppe, Thompson and Braun</v>
      </c>
      <c r="C428" s="8">
        <f>IFERROR(__xludf.DUMMYFUNCTION("""COMPUTED_VALUE"""),1.05)</f>
        <v>1.05</v>
      </c>
      <c r="D428" s="7">
        <v>6.4626628E7</v>
      </c>
      <c r="E428" s="8">
        <v>6.78579594E7</v>
      </c>
    </row>
    <row r="429">
      <c r="A429" s="7" t="str">
        <f>IFERROR(__xludf.DUMMYFUNCTION("""COMPUTED_VALUE"""),"American Samoa")</f>
        <v>American Samoa</v>
      </c>
      <c r="B429" s="7" t="str">
        <f>IFERROR(__xludf.DUMMYFUNCTION("""COMPUTED_VALUE"""),"Reilly and Sons")</f>
        <v>Reilly and Sons</v>
      </c>
      <c r="C429" s="8">
        <f>IFERROR(__xludf.DUMMYFUNCTION("""COMPUTED_VALUE"""),1.89)</f>
        <v>1.89</v>
      </c>
      <c r="D429" s="7">
        <v>44273.0</v>
      </c>
      <c r="E429" s="8">
        <v>83675.97</v>
      </c>
    </row>
    <row r="430">
      <c r="A430" s="7" t="str">
        <f>IFERROR(__xludf.DUMMYFUNCTION("""COMPUTED_VALUE"""),"Finland")</f>
        <v>Finland</v>
      </c>
      <c r="B430" s="7" t="str">
        <f>IFERROR(__xludf.DUMMYFUNCTION("""COMPUTED_VALUE"""),"Jakubowski and Sons")</f>
        <v>Jakubowski and Sons</v>
      </c>
      <c r="C430" s="8">
        <f>IFERROR(__xludf.DUMMYFUNCTION("""COMPUTED_VALUE"""),2.05)</f>
        <v>2.05</v>
      </c>
      <c r="D430" s="7">
        <v>5540745.0</v>
      </c>
      <c r="E430" s="8">
        <v>1.1358527249999998E7</v>
      </c>
    </row>
    <row r="431">
      <c r="A431" s="7" t="str">
        <f>IFERROR(__xludf.DUMMYFUNCTION("""COMPUTED_VALUE"""),"Botswana")</f>
        <v>Botswana</v>
      </c>
      <c r="B431" s="7" t="str">
        <f>IFERROR(__xludf.DUMMYFUNCTION("""COMPUTED_VALUE"""),"Dickens-Harris")</f>
        <v>Dickens-Harris</v>
      </c>
      <c r="C431" s="8">
        <f>IFERROR(__xludf.DUMMYFUNCTION("""COMPUTED_VALUE"""),2.07)</f>
        <v>2.07</v>
      </c>
      <c r="D431" s="7">
        <v>2630296.0</v>
      </c>
      <c r="E431" s="8">
        <v>5444712.72</v>
      </c>
    </row>
    <row r="432">
      <c r="A432" s="7" t="str">
        <f>IFERROR(__xludf.DUMMYFUNCTION("""COMPUTED_VALUE"""),"Brazil")</f>
        <v>Brazil</v>
      </c>
      <c r="B432" s="7" t="str">
        <f>IFERROR(__xludf.DUMMYFUNCTION("""COMPUTED_VALUE"""),"Friesen-Bradtke")</f>
        <v>Friesen-Bradtke</v>
      </c>
      <c r="C432" s="8">
        <f>IFERROR(__xludf.DUMMYFUNCTION("""COMPUTED_VALUE"""),1.84)</f>
        <v>1.84</v>
      </c>
      <c r="D432" s="7">
        <v>2.15313498E8</v>
      </c>
      <c r="E432" s="8">
        <v>3.9617683632E8</v>
      </c>
    </row>
    <row r="433">
      <c r="A433" s="7" t="str">
        <f>IFERROR(__xludf.DUMMYFUNCTION("""COMPUTED_VALUE"""),"Syria")</f>
        <v>Syria</v>
      </c>
      <c r="B433" s="7" t="str">
        <f>IFERROR(__xludf.DUMMYFUNCTION("""COMPUTED_VALUE"""),"Williamson-Hilll")</f>
        <v>Williamson-Hilll</v>
      </c>
      <c r="C433" s="8">
        <f>IFERROR(__xludf.DUMMYFUNCTION("""COMPUTED_VALUE"""),0.94)</f>
        <v>0.94</v>
      </c>
      <c r="D433" s="7">
        <v>2.2125249E7</v>
      </c>
      <c r="E433" s="8">
        <v>2.079773406E7</v>
      </c>
    </row>
    <row r="434">
      <c r="A434" s="7" t="str">
        <f>IFERROR(__xludf.DUMMYFUNCTION("""COMPUTED_VALUE"""),"Somalia")</f>
        <v>Somalia</v>
      </c>
      <c r="B434" s="7" t="str">
        <f>IFERROR(__xludf.DUMMYFUNCTION("""COMPUTED_VALUE"""),"Cormier Group")</f>
        <v>Cormier Group</v>
      </c>
      <c r="C434" s="8">
        <f>IFERROR(__xludf.DUMMYFUNCTION("""COMPUTED_VALUE"""),1.6)</f>
        <v>1.6</v>
      </c>
      <c r="D434" s="7">
        <v>1.7597511E7</v>
      </c>
      <c r="E434" s="8">
        <v>2.81560176E7</v>
      </c>
    </row>
    <row r="435">
      <c r="A435" s="7" t="str">
        <f>IFERROR(__xludf.DUMMYFUNCTION("""COMPUTED_VALUE"""),"Portugal")</f>
        <v>Portugal</v>
      </c>
      <c r="B435" s="7" t="str">
        <f>IFERROR(__xludf.DUMMYFUNCTION("""COMPUTED_VALUE"""),"Goldner-Dare")</f>
        <v>Goldner-Dare</v>
      </c>
      <c r="C435" s="8">
        <f>IFERROR(__xludf.DUMMYFUNCTION("""COMPUTED_VALUE"""),1.88)</f>
        <v>1.88</v>
      </c>
      <c r="D435" s="7">
        <v>1.0270865E7</v>
      </c>
      <c r="E435" s="8">
        <v>1.93092262E7</v>
      </c>
    </row>
    <row r="436">
      <c r="A436" s="7" t="str">
        <f>IFERROR(__xludf.DUMMYFUNCTION("""COMPUTED_VALUE"""),"Indonesia")</f>
        <v>Indonesia</v>
      </c>
      <c r="B436" s="7" t="str">
        <f>IFERROR(__xludf.DUMMYFUNCTION("""COMPUTED_VALUE"""),"Walker-Marvin")</f>
        <v>Walker-Marvin</v>
      </c>
      <c r="C436" s="8">
        <f>IFERROR(__xludf.DUMMYFUNCTION("""COMPUTED_VALUE"""),2.14)</f>
        <v>2.14</v>
      </c>
      <c r="D436" s="7">
        <v>2.75501339E8</v>
      </c>
      <c r="E436" s="8">
        <v>5.8957286546E8</v>
      </c>
    </row>
    <row r="437">
      <c r="A437" s="7" t="str">
        <f>IFERROR(__xludf.DUMMYFUNCTION("""COMPUTED_VALUE"""),"Indonesia")</f>
        <v>Indonesia</v>
      </c>
      <c r="B437" s="7" t="str">
        <f>IFERROR(__xludf.DUMMYFUNCTION("""COMPUTED_VALUE"""),"Howell Group")</f>
        <v>Howell Group</v>
      </c>
      <c r="C437" s="8">
        <f>IFERROR(__xludf.DUMMYFUNCTION("""COMPUTED_VALUE"""),0.96)</f>
        <v>0.96</v>
      </c>
      <c r="D437" s="7">
        <v>2.75501339E8</v>
      </c>
      <c r="E437" s="8">
        <v>2.6448128544E8</v>
      </c>
    </row>
    <row r="438">
      <c r="A438" s="7" t="str">
        <f>IFERROR(__xludf.DUMMYFUNCTION("""COMPUTED_VALUE"""),"France")</f>
        <v>France</v>
      </c>
      <c r="B438" s="7" t="str">
        <f>IFERROR(__xludf.DUMMYFUNCTION("""COMPUTED_VALUE"""),"Wisoky Inc")</f>
        <v>Wisoky Inc</v>
      </c>
      <c r="C438" s="8">
        <f>IFERROR(__xludf.DUMMYFUNCTION("""COMPUTED_VALUE"""),1.01)</f>
        <v>1.01</v>
      </c>
      <c r="D438" s="7">
        <v>6.4626628E7</v>
      </c>
      <c r="E438" s="8">
        <v>6.527289428E7</v>
      </c>
    </row>
    <row r="439">
      <c r="A439" s="7" t="str">
        <f>IFERROR(__xludf.DUMMYFUNCTION("""COMPUTED_VALUE"""),"El Salvador")</f>
        <v>El Salvador</v>
      </c>
      <c r="B439" s="7" t="str">
        <f>IFERROR(__xludf.DUMMYFUNCTION("""COMPUTED_VALUE"""),"Hoeger, Heller and Effertz")</f>
        <v>Hoeger, Heller and Effertz</v>
      </c>
      <c r="C439" s="8">
        <f>IFERROR(__xludf.DUMMYFUNCTION("""COMPUTED_VALUE"""),1.58)</f>
        <v>1.58</v>
      </c>
      <c r="D439" s="7">
        <v>6336392.0</v>
      </c>
      <c r="E439" s="8">
        <v>1.0011499360000001E7</v>
      </c>
    </row>
    <row r="440">
      <c r="A440" s="7" t="str">
        <f>IFERROR(__xludf.DUMMYFUNCTION("""COMPUTED_VALUE"""),"China")</f>
        <v>China</v>
      </c>
      <c r="B440" s="7" t="str">
        <f>IFERROR(__xludf.DUMMYFUNCTION("""COMPUTED_VALUE"""),"Howell Group")</f>
        <v>Howell Group</v>
      </c>
      <c r="C440" s="8">
        <f>IFERROR(__xludf.DUMMYFUNCTION("""COMPUTED_VALUE"""),1.83)</f>
        <v>1.83</v>
      </c>
      <c r="D440" s="7">
        <v>1.425887337E9</v>
      </c>
      <c r="E440" s="8">
        <v>2.60937382671E9</v>
      </c>
    </row>
    <row r="441">
      <c r="A441" s="7" t="str">
        <f>IFERROR(__xludf.DUMMYFUNCTION("""COMPUTED_VALUE"""),"China")</f>
        <v>China</v>
      </c>
      <c r="B441" s="7" t="str">
        <f>IFERROR(__xludf.DUMMYFUNCTION("""COMPUTED_VALUE"""),"Towne and Sons")</f>
        <v>Towne and Sons</v>
      </c>
      <c r="C441" s="8">
        <f>IFERROR(__xludf.DUMMYFUNCTION("""COMPUTED_VALUE"""),0.9)</f>
        <v>0.9</v>
      </c>
      <c r="D441" s="7">
        <v>1.425887337E9</v>
      </c>
      <c r="E441" s="8">
        <v>1.2832986033E9</v>
      </c>
    </row>
    <row r="442">
      <c r="A442" s="7" t="str">
        <f>IFERROR(__xludf.DUMMYFUNCTION("""COMPUTED_VALUE"""),"Philippines")</f>
        <v>Philippines</v>
      </c>
      <c r="B442" s="7" t="str">
        <f>IFERROR(__xludf.DUMMYFUNCTION("""COMPUTED_VALUE"""),"Nader, Lockman and Lueilwitz")</f>
        <v>Nader, Lockman and Lueilwitz</v>
      </c>
      <c r="C442" s="8">
        <f>IFERROR(__xludf.DUMMYFUNCTION("""COMPUTED_VALUE"""),1.02)</f>
        <v>1.02</v>
      </c>
      <c r="D442" s="7">
        <v>1.15559009E8</v>
      </c>
      <c r="E442" s="8">
        <v>1.1787018918E8</v>
      </c>
    </row>
    <row r="443">
      <c r="A443" s="7" t="str">
        <f>IFERROR(__xludf.DUMMYFUNCTION("""COMPUTED_VALUE"""),"Lithuania")</f>
        <v>Lithuania</v>
      </c>
      <c r="B443" s="7" t="str">
        <f>IFERROR(__xludf.DUMMYFUNCTION("""COMPUTED_VALUE"""),"Lind Inc")</f>
        <v>Lind Inc</v>
      </c>
      <c r="C443" s="8">
        <f>IFERROR(__xludf.DUMMYFUNCTION("""COMPUTED_VALUE"""),1.89)</f>
        <v>1.89</v>
      </c>
      <c r="D443" s="7">
        <v>2750055.0</v>
      </c>
      <c r="E443" s="8">
        <v>5197603.95</v>
      </c>
    </row>
    <row r="444">
      <c r="A444" s="7" t="str">
        <f>IFERROR(__xludf.DUMMYFUNCTION("""COMPUTED_VALUE"""),"Mexico")</f>
        <v>Mexico</v>
      </c>
      <c r="B444" s="7" t="str">
        <f>IFERROR(__xludf.DUMMYFUNCTION("""COMPUTED_VALUE"""),"Feeney-Beier")</f>
        <v>Feeney-Beier</v>
      </c>
      <c r="C444" s="8">
        <f>IFERROR(__xludf.DUMMYFUNCTION("""COMPUTED_VALUE"""),1.82)</f>
        <v>1.82</v>
      </c>
      <c r="D444" s="7">
        <v>1.27504125E8</v>
      </c>
      <c r="E444" s="8">
        <v>2.320575075E8</v>
      </c>
    </row>
    <row r="445">
      <c r="A445" s="7" t="str">
        <f>IFERROR(__xludf.DUMMYFUNCTION("""COMPUTED_VALUE"""),"Russia")</f>
        <v>Russia</v>
      </c>
      <c r="B445" s="7" t="str">
        <f>IFERROR(__xludf.DUMMYFUNCTION("""COMPUTED_VALUE"""),"Hegmann-Metz")</f>
        <v>Hegmann-Metz</v>
      </c>
      <c r="C445" s="8">
        <f>IFERROR(__xludf.DUMMYFUNCTION("""COMPUTED_VALUE"""),1.36)</f>
        <v>1.36</v>
      </c>
      <c r="D445" s="7">
        <v>1.44713314E8</v>
      </c>
      <c r="E445" s="8">
        <v>1.9681010704000002E8</v>
      </c>
    </row>
    <row r="446">
      <c r="A446" s="7" t="str">
        <f>IFERROR(__xludf.DUMMYFUNCTION("""COMPUTED_VALUE"""),"Latvia")</f>
        <v>Latvia</v>
      </c>
      <c r="B446" s="7" t="str">
        <f>IFERROR(__xludf.DUMMYFUNCTION("""COMPUTED_VALUE"""),"Lemke-Brown")</f>
        <v>Lemke-Brown</v>
      </c>
      <c r="C446" s="8">
        <f>IFERROR(__xludf.DUMMYFUNCTION("""COMPUTED_VALUE"""),1.68)</f>
        <v>1.68</v>
      </c>
      <c r="D446" s="7">
        <v>1850651.0</v>
      </c>
      <c r="E446" s="8">
        <v>3109093.6799999997</v>
      </c>
    </row>
    <row r="447">
      <c r="A447" s="7" t="str">
        <f>IFERROR(__xludf.DUMMYFUNCTION("""COMPUTED_VALUE"""),"Poland")</f>
        <v>Poland</v>
      </c>
      <c r="B447" s="7" t="str">
        <f>IFERROR(__xludf.DUMMYFUNCTION("""COMPUTED_VALUE"""),"Green, Schamberger and Gottlieb")</f>
        <v>Green, Schamberger and Gottlieb</v>
      </c>
      <c r="C447" s="8">
        <f>IFERROR(__xludf.DUMMYFUNCTION("""COMPUTED_VALUE"""),1.88)</f>
        <v>1.88</v>
      </c>
      <c r="D447" s="7">
        <v>3.9857145E7</v>
      </c>
      <c r="E447" s="8">
        <v>7.49314326E7</v>
      </c>
    </row>
    <row r="448">
      <c r="A448" s="7" t="str">
        <f>IFERROR(__xludf.DUMMYFUNCTION("""COMPUTED_VALUE"""),"China")</f>
        <v>China</v>
      </c>
      <c r="B448" s="7" t="str">
        <f>IFERROR(__xludf.DUMMYFUNCTION("""COMPUTED_VALUE"""),"Franecki-Crona")</f>
        <v>Franecki-Crona</v>
      </c>
      <c r="C448" s="8">
        <f>IFERROR(__xludf.DUMMYFUNCTION("""COMPUTED_VALUE"""),0.94)</f>
        <v>0.94</v>
      </c>
      <c r="D448" s="7">
        <v>1.425887337E9</v>
      </c>
      <c r="E448" s="8">
        <v>1.34033409678E9</v>
      </c>
    </row>
    <row r="449">
      <c r="A449" s="7" t="str">
        <f>IFERROR(__xludf.DUMMYFUNCTION("""COMPUTED_VALUE"""),"Brazil")</f>
        <v>Brazil</v>
      </c>
      <c r="B449" s="7" t="str">
        <f>IFERROR(__xludf.DUMMYFUNCTION("""COMPUTED_VALUE"""),"Hermann and Sons")</f>
        <v>Hermann and Sons</v>
      </c>
      <c r="C449" s="8">
        <f>IFERROR(__xludf.DUMMYFUNCTION("""COMPUTED_VALUE"""),2.04)</f>
        <v>2.04</v>
      </c>
      <c r="D449" s="7">
        <v>2.15313498E8</v>
      </c>
      <c r="E449" s="8">
        <v>4.3923953592E8</v>
      </c>
    </row>
    <row r="450">
      <c r="A450" s="7" t="str">
        <f>IFERROR(__xludf.DUMMYFUNCTION("""COMPUTED_VALUE"""),"Poland")</f>
        <v>Poland</v>
      </c>
      <c r="B450" s="7" t="str">
        <f>IFERROR(__xludf.DUMMYFUNCTION("""COMPUTED_VALUE"""),"Durgan-Swift")</f>
        <v>Durgan-Swift</v>
      </c>
      <c r="C450" s="8">
        <f>IFERROR(__xludf.DUMMYFUNCTION("""COMPUTED_VALUE"""),1.43)</f>
        <v>1.43</v>
      </c>
      <c r="D450" s="7">
        <v>3.9857145E7</v>
      </c>
      <c r="E450" s="8">
        <v>5.6995717349999994E7</v>
      </c>
    </row>
    <row r="451">
      <c r="A451" s="7" t="str">
        <f>IFERROR(__xludf.DUMMYFUNCTION("""COMPUTED_VALUE"""),"Russia")</f>
        <v>Russia</v>
      </c>
      <c r="B451" s="7" t="str">
        <f>IFERROR(__xludf.DUMMYFUNCTION("""COMPUTED_VALUE"""),"Hyatt-Brown")</f>
        <v>Hyatt-Brown</v>
      </c>
      <c r="C451" s="8">
        <f>IFERROR(__xludf.DUMMYFUNCTION("""COMPUTED_VALUE"""),1.14)</f>
        <v>1.14</v>
      </c>
      <c r="D451" s="7">
        <v>1.44713314E8</v>
      </c>
      <c r="E451" s="8">
        <v>1.6497317795999998E8</v>
      </c>
    </row>
    <row r="452">
      <c r="A452" s="7" t="str">
        <f>IFERROR(__xludf.DUMMYFUNCTION("""COMPUTED_VALUE"""),"United States")</f>
        <v>United States</v>
      </c>
      <c r="B452" s="7" t="str">
        <f>IFERROR(__xludf.DUMMYFUNCTION("""COMPUTED_VALUE"""),"Considine, Rath and Rolfson")</f>
        <v>Considine, Rath and Rolfson</v>
      </c>
      <c r="C452" s="8">
        <f>IFERROR(__xludf.DUMMYFUNCTION("""COMPUTED_VALUE"""),1.78)</f>
        <v>1.78</v>
      </c>
      <c r="D452" s="7">
        <v>3.38289857E8</v>
      </c>
      <c r="E452" s="8">
        <v>6.0215594546E8</v>
      </c>
    </row>
    <row r="453">
      <c r="A453" s="7" t="str">
        <f>IFERROR(__xludf.DUMMYFUNCTION("""COMPUTED_VALUE"""),"China")</f>
        <v>China</v>
      </c>
      <c r="B453" s="7" t="str">
        <f>IFERROR(__xludf.DUMMYFUNCTION("""COMPUTED_VALUE"""),"Parisian Group")</f>
        <v>Parisian Group</v>
      </c>
      <c r="C453" s="8">
        <f>IFERROR(__xludf.DUMMYFUNCTION("""COMPUTED_VALUE"""),1.57)</f>
        <v>1.57</v>
      </c>
      <c r="D453" s="7">
        <v>1.425887337E9</v>
      </c>
      <c r="E453" s="8">
        <v>2.23864311909E9</v>
      </c>
    </row>
    <row r="454">
      <c r="A454" s="7" t="str">
        <f>IFERROR(__xludf.DUMMYFUNCTION("""COMPUTED_VALUE"""),"Latvia")</f>
        <v>Latvia</v>
      </c>
      <c r="B454" s="7" t="str">
        <f>IFERROR(__xludf.DUMMYFUNCTION("""COMPUTED_VALUE"""),"Smith, Pouros and Crooks")</f>
        <v>Smith, Pouros and Crooks</v>
      </c>
      <c r="C454" s="8">
        <f>IFERROR(__xludf.DUMMYFUNCTION("""COMPUTED_VALUE"""),1.73)</f>
        <v>1.73</v>
      </c>
      <c r="D454" s="7">
        <v>1850651.0</v>
      </c>
      <c r="E454" s="8">
        <v>3201626.23</v>
      </c>
    </row>
    <row r="455">
      <c r="A455" s="7" t="str">
        <f>IFERROR(__xludf.DUMMYFUNCTION("""COMPUTED_VALUE"""),"United States")</f>
        <v>United States</v>
      </c>
      <c r="B455" s="7" t="str">
        <f>IFERROR(__xludf.DUMMYFUNCTION("""COMPUTED_VALUE"""),"Kuphal, O'Conner and Mayer")</f>
        <v>Kuphal, O'Conner and Mayer</v>
      </c>
      <c r="C455" s="8">
        <f>IFERROR(__xludf.DUMMYFUNCTION("""COMPUTED_VALUE"""),1.72)</f>
        <v>1.72</v>
      </c>
      <c r="D455" s="7">
        <v>3.38289857E8</v>
      </c>
      <c r="E455" s="8">
        <v>5.8185855404E8</v>
      </c>
    </row>
    <row r="456">
      <c r="A456" s="7" t="str">
        <f>IFERROR(__xludf.DUMMYFUNCTION("""COMPUTED_VALUE"""),"Tunisia")</f>
        <v>Tunisia</v>
      </c>
      <c r="B456" s="7" t="str">
        <f>IFERROR(__xludf.DUMMYFUNCTION("""COMPUTED_VALUE"""),"Hessel, Kshlerin and Krajcik")</f>
        <v>Hessel, Kshlerin and Krajcik</v>
      </c>
      <c r="C456" s="8">
        <f>IFERROR(__xludf.DUMMYFUNCTION("""COMPUTED_VALUE"""),2.13)</f>
        <v>2.13</v>
      </c>
      <c r="D456" s="7">
        <v>1.2356117E7</v>
      </c>
      <c r="E456" s="8">
        <v>2.6318529209999997E7</v>
      </c>
    </row>
    <row r="457">
      <c r="A457" s="7" t="str">
        <f>IFERROR(__xludf.DUMMYFUNCTION("""COMPUTED_VALUE"""),"China")</f>
        <v>China</v>
      </c>
      <c r="B457" s="7" t="str">
        <f>IFERROR(__xludf.DUMMYFUNCTION("""COMPUTED_VALUE"""),"Thiel LLC")</f>
        <v>Thiel LLC</v>
      </c>
      <c r="C457" s="8">
        <f>IFERROR(__xludf.DUMMYFUNCTION("""COMPUTED_VALUE"""),1.07)</f>
        <v>1.07</v>
      </c>
      <c r="D457" s="7">
        <v>1.425887337E9</v>
      </c>
      <c r="E457" s="8">
        <v>1.5256994505900002E9</v>
      </c>
    </row>
    <row r="458">
      <c r="A458" s="7" t="str">
        <f>IFERROR(__xludf.DUMMYFUNCTION("""COMPUTED_VALUE"""),"Indonesia")</f>
        <v>Indonesia</v>
      </c>
      <c r="B458" s="7" t="str">
        <f>IFERROR(__xludf.DUMMYFUNCTION("""COMPUTED_VALUE"""),"McKenzie-Haag")</f>
        <v>McKenzie-Haag</v>
      </c>
      <c r="C458" s="8">
        <f>IFERROR(__xludf.DUMMYFUNCTION("""COMPUTED_VALUE"""),2.24)</f>
        <v>2.24</v>
      </c>
      <c r="D458" s="7">
        <v>2.75501339E8</v>
      </c>
      <c r="E458" s="8">
        <v>6.1712299936E8</v>
      </c>
    </row>
    <row r="459">
      <c r="A459" s="7" t="str">
        <f>IFERROR(__xludf.DUMMYFUNCTION("""COMPUTED_VALUE"""),"Albania")</f>
        <v>Albania</v>
      </c>
      <c r="B459" s="7" t="str">
        <f>IFERROR(__xludf.DUMMYFUNCTION("""COMPUTED_VALUE"""),"Toy-DuBuque")</f>
        <v>Toy-DuBuque</v>
      </c>
      <c r="C459" s="8">
        <f>IFERROR(__xludf.DUMMYFUNCTION("""COMPUTED_VALUE"""),1.37)</f>
        <v>1.37</v>
      </c>
      <c r="D459" s="7">
        <v>2842321.0</v>
      </c>
      <c r="E459" s="8">
        <v>3893979.7700000005</v>
      </c>
    </row>
    <row r="460">
      <c r="A460" s="7" t="str">
        <f>IFERROR(__xludf.DUMMYFUNCTION("""COMPUTED_VALUE"""),"United States")</f>
        <v>United States</v>
      </c>
      <c r="B460" s="7" t="str">
        <f>IFERROR(__xludf.DUMMYFUNCTION("""COMPUTED_VALUE"""),"Collins Group")</f>
        <v>Collins Group</v>
      </c>
      <c r="C460" s="8">
        <f>IFERROR(__xludf.DUMMYFUNCTION("""COMPUTED_VALUE"""),1.86)</f>
        <v>1.86</v>
      </c>
      <c r="D460" s="7">
        <v>3.38289857E8</v>
      </c>
      <c r="E460" s="8">
        <v>6.2921913402E8</v>
      </c>
    </row>
    <row r="461">
      <c r="A461" s="7" t="str">
        <f>IFERROR(__xludf.DUMMYFUNCTION("""COMPUTED_VALUE"""),"Ukraine")</f>
        <v>Ukraine</v>
      </c>
      <c r="B461" s="7" t="str">
        <f>IFERROR(__xludf.DUMMYFUNCTION("""COMPUTED_VALUE"""),"Bogan-Murray")</f>
        <v>Bogan-Murray</v>
      </c>
      <c r="C461" s="8">
        <f>IFERROR(__xludf.DUMMYFUNCTION("""COMPUTED_VALUE"""),0.93)</f>
        <v>0.93</v>
      </c>
      <c r="D461" s="7">
        <v>3.9701739E7</v>
      </c>
      <c r="E461" s="8">
        <v>3.692261727E7</v>
      </c>
    </row>
    <row r="462">
      <c r="A462" s="7" t="str">
        <f>IFERROR(__xludf.DUMMYFUNCTION("""COMPUTED_VALUE"""),"Peru")</f>
        <v>Peru</v>
      </c>
      <c r="B462" s="7" t="str">
        <f>IFERROR(__xludf.DUMMYFUNCTION("""COMPUTED_VALUE"""),"Kutch-Leffler")</f>
        <v>Kutch-Leffler</v>
      </c>
      <c r="C462" s="8">
        <f>IFERROR(__xludf.DUMMYFUNCTION("""COMPUTED_VALUE"""),1.23)</f>
        <v>1.23</v>
      </c>
      <c r="D462" s="7">
        <v>3.4049588E7</v>
      </c>
      <c r="E462" s="8">
        <v>4.188099324E7</v>
      </c>
    </row>
    <row r="463">
      <c r="A463" s="7" t="str">
        <f>IFERROR(__xludf.DUMMYFUNCTION("""COMPUTED_VALUE"""),"Czech Republic")</f>
        <v>Czech Republic</v>
      </c>
      <c r="B463" s="7" t="str">
        <f>IFERROR(__xludf.DUMMYFUNCTION("""COMPUTED_VALUE"""),"Lowe, Hudson and Baumbach")</f>
        <v>Lowe, Hudson and Baumbach</v>
      </c>
      <c r="C463" s="8">
        <f>IFERROR(__xludf.DUMMYFUNCTION("""COMPUTED_VALUE"""),1.91)</f>
        <v>1.91</v>
      </c>
      <c r="D463" s="7">
        <v>1.0493986E7</v>
      </c>
      <c r="E463" s="8">
        <v>2.0043513259999998E7</v>
      </c>
    </row>
    <row r="464">
      <c r="A464" s="7" t="str">
        <f>IFERROR(__xludf.DUMMYFUNCTION("""COMPUTED_VALUE"""),"Portugal")</f>
        <v>Portugal</v>
      </c>
      <c r="B464" s="7" t="str">
        <f>IFERROR(__xludf.DUMMYFUNCTION("""COMPUTED_VALUE"""),"Rogahn, Hessel and Turner")</f>
        <v>Rogahn, Hessel and Turner</v>
      </c>
      <c r="C464" s="8">
        <f>IFERROR(__xludf.DUMMYFUNCTION("""COMPUTED_VALUE"""),1.26)</f>
        <v>1.26</v>
      </c>
      <c r="D464" s="7">
        <v>1.0270865E7</v>
      </c>
      <c r="E464" s="8">
        <v>1.29412899E7</v>
      </c>
    </row>
    <row r="465">
      <c r="A465" s="7" t="str">
        <f>IFERROR(__xludf.DUMMYFUNCTION("""COMPUTED_VALUE"""),"China")</f>
        <v>China</v>
      </c>
      <c r="B465" s="7" t="str">
        <f>IFERROR(__xludf.DUMMYFUNCTION("""COMPUTED_VALUE"""),"Stokes and Sons")</f>
        <v>Stokes and Sons</v>
      </c>
      <c r="C465" s="8">
        <f>IFERROR(__xludf.DUMMYFUNCTION("""COMPUTED_VALUE"""),1.82)</f>
        <v>1.82</v>
      </c>
      <c r="D465" s="7">
        <v>1.425887337E9</v>
      </c>
      <c r="E465" s="8">
        <v>2.59511495334E9</v>
      </c>
    </row>
    <row r="466">
      <c r="A466" s="7" t="str">
        <f>IFERROR(__xludf.DUMMYFUNCTION("""COMPUTED_VALUE"""),"Canada")</f>
        <v>Canada</v>
      </c>
      <c r="B466" s="7" t="str">
        <f>IFERROR(__xludf.DUMMYFUNCTION("""COMPUTED_VALUE"""),"Schiller, Zemlak and Luettgen")</f>
        <v>Schiller, Zemlak and Luettgen</v>
      </c>
      <c r="C466" s="8">
        <f>IFERROR(__xludf.DUMMYFUNCTION("""COMPUTED_VALUE"""),1.76)</f>
        <v>1.76</v>
      </c>
      <c r="D466" s="7">
        <v>3.8454327E7</v>
      </c>
      <c r="E466" s="8">
        <v>6.767961552E7</v>
      </c>
    </row>
    <row r="467">
      <c r="A467" s="7" t="str">
        <f>IFERROR(__xludf.DUMMYFUNCTION("""COMPUTED_VALUE"""),"Philippines")</f>
        <v>Philippines</v>
      </c>
      <c r="B467" s="7" t="str">
        <f>IFERROR(__xludf.DUMMYFUNCTION("""COMPUTED_VALUE"""),"King Inc")</f>
        <v>King Inc</v>
      </c>
      <c r="C467" s="8">
        <f>IFERROR(__xludf.DUMMYFUNCTION("""COMPUTED_VALUE"""),1.15)</f>
        <v>1.15</v>
      </c>
      <c r="D467" s="7">
        <v>1.15559009E8</v>
      </c>
      <c r="E467" s="8">
        <v>1.3289286035E8</v>
      </c>
    </row>
    <row r="468">
      <c r="A468" s="7" t="str">
        <f>IFERROR(__xludf.DUMMYFUNCTION("""COMPUTED_VALUE"""),"Italy")</f>
        <v>Italy</v>
      </c>
      <c r="B468" s="7" t="str">
        <f>IFERROR(__xludf.DUMMYFUNCTION("""COMPUTED_VALUE"""),"Macejkovic LLC")</f>
        <v>Macejkovic LLC</v>
      </c>
      <c r="C468" s="8">
        <f>IFERROR(__xludf.DUMMYFUNCTION("""COMPUTED_VALUE"""),1.83)</f>
        <v>1.83</v>
      </c>
      <c r="D468" s="7">
        <v>5.9037474E7</v>
      </c>
      <c r="E468" s="8">
        <v>1.0803857742E8</v>
      </c>
    </row>
    <row r="469">
      <c r="A469" s="7" t="str">
        <f>IFERROR(__xludf.DUMMYFUNCTION("""COMPUTED_VALUE"""),"China")</f>
        <v>China</v>
      </c>
      <c r="B469" s="7" t="str">
        <f>IFERROR(__xludf.DUMMYFUNCTION("""COMPUTED_VALUE"""),"O'Connell, Okuneva and Wolf")</f>
        <v>O'Connell, Okuneva and Wolf</v>
      </c>
      <c r="C469" s="8">
        <f>IFERROR(__xludf.DUMMYFUNCTION("""COMPUTED_VALUE"""),2.08)</f>
        <v>2.08</v>
      </c>
      <c r="D469" s="7">
        <v>1.425887337E9</v>
      </c>
      <c r="E469" s="8">
        <v>2.96584566096E9</v>
      </c>
    </row>
    <row r="470">
      <c r="A470" s="7" t="str">
        <f>IFERROR(__xludf.DUMMYFUNCTION("""COMPUTED_VALUE"""),"Russia")</f>
        <v>Russia</v>
      </c>
      <c r="B470" s="7" t="str">
        <f>IFERROR(__xludf.DUMMYFUNCTION("""COMPUTED_VALUE"""),"Mills, Balistreri and Gutmann")</f>
        <v>Mills, Balistreri and Gutmann</v>
      </c>
      <c r="C470" s="8">
        <f>IFERROR(__xludf.DUMMYFUNCTION("""COMPUTED_VALUE"""),2.14)</f>
        <v>2.14</v>
      </c>
      <c r="D470" s="7">
        <v>1.44713314E8</v>
      </c>
      <c r="E470" s="8">
        <v>3.0968649196000004E8</v>
      </c>
    </row>
    <row r="471">
      <c r="A471" s="7" t="str">
        <f>IFERROR(__xludf.DUMMYFUNCTION("""COMPUTED_VALUE"""),"Thailand")</f>
        <v>Thailand</v>
      </c>
      <c r="B471" s="7" t="str">
        <f>IFERROR(__xludf.DUMMYFUNCTION("""COMPUTED_VALUE"""),"Johns Group")</f>
        <v>Johns Group</v>
      </c>
      <c r="C471" s="8">
        <f>IFERROR(__xludf.DUMMYFUNCTION("""COMPUTED_VALUE"""),2.0)</f>
        <v>2</v>
      </c>
      <c r="D471" s="7">
        <v>7.169703E7</v>
      </c>
      <c r="E471" s="8">
        <v>1.4339406E8</v>
      </c>
    </row>
    <row r="472">
      <c r="A472" s="7" t="str">
        <f>IFERROR(__xludf.DUMMYFUNCTION("""COMPUTED_VALUE"""),"Gabon")</f>
        <v>Gabon</v>
      </c>
      <c r="B472" s="7" t="str">
        <f>IFERROR(__xludf.DUMMYFUNCTION("""COMPUTED_VALUE"""),"Jast-Crist")</f>
        <v>Jast-Crist</v>
      </c>
      <c r="C472" s="8">
        <f>IFERROR(__xludf.DUMMYFUNCTION("""COMPUTED_VALUE"""),1.22)</f>
        <v>1.22</v>
      </c>
      <c r="D472" s="7">
        <v>2388992.0</v>
      </c>
      <c r="E472" s="8">
        <v>2914570.2399999998</v>
      </c>
    </row>
    <row r="473">
      <c r="A473" s="7" t="str">
        <f>IFERROR(__xludf.DUMMYFUNCTION("""COMPUTED_VALUE"""),"China")</f>
        <v>China</v>
      </c>
      <c r="B473" s="7" t="str">
        <f>IFERROR(__xludf.DUMMYFUNCTION("""COMPUTED_VALUE"""),"Gorczany, Mosciski and Schmeler")</f>
        <v>Gorczany, Mosciski and Schmeler</v>
      </c>
      <c r="C473" s="8">
        <f>IFERROR(__xludf.DUMMYFUNCTION("""COMPUTED_VALUE"""),1.67)</f>
        <v>1.67</v>
      </c>
      <c r="D473" s="7">
        <v>1.425887337E9</v>
      </c>
      <c r="E473" s="8">
        <v>2.38123185279E9</v>
      </c>
    </row>
    <row r="474">
      <c r="A474" s="7" t="str">
        <f>IFERROR(__xludf.DUMMYFUNCTION("""COMPUTED_VALUE"""),"Czech Republic")</f>
        <v>Czech Republic</v>
      </c>
      <c r="B474" s="7" t="str">
        <f>IFERROR(__xludf.DUMMYFUNCTION("""COMPUTED_VALUE"""),"Heidenreich, Denesik and Morar")</f>
        <v>Heidenreich, Denesik and Morar</v>
      </c>
      <c r="C474" s="8">
        <f>IFERROR(__xludf.DUMMYFUNCTION("""COMPUTED_VALUE"""),1.84)</f>
        <v>1.84</v>
      </c>
      <c r="D474" s="7">
        <v>1.0493986E7</v>
      </c>
      <c r="E474" s="8">
        <v>1.9308934240000002E7</v>
      </c>
    </row>
    <row r="475">
      <c r="A475" s="7" t="str">
        <f>IFERROR(__xludf.DUMMYFUNCTION("""COMPUTED_VALUE"""),"Japan")</f>
        <v>Japan</v>
      </c>
      <c r="B475" s="7" t="str">
        <f>IFERROR(__xludf.DUMMYFUNCTION("""COMPUTED_VALUE"""),"Kuhn, Connelly and Zboncak")</f>
        <v>Kuhn, Connelly and Zboncak</v>
      </c>
      <c r="C475" s="8">
        <f>IFERROR(__xludf.DUMMYFUNCTION("""COMPUTED_VALUE"""),2.02)</f>
        <v>2.02</v>
      </c>
      <c r="D475" s="7">
        <v>1.23951692E8</v>
      </c>
      <c r="E475" s="8">
        <v>2.5038241784E8</v>
      </c>
    </row>
    <row r="476">
      <c r="A476" s="7" t="str">
        <f>IFERROR(__xludf.DUMMYFUNCTION("""COMPUTED_VALUE"""),"China")</f>
        <v>China</v>
      </c>
      <c r="B476" s="7" t="str">
        <f>IFERROR(__xludf.DUMMYFUNCTION("""COMPUTED_VALUE"""),"White, Nitzsche and Howe")</f>
        <v>White, Nitzsche and Howe</v>
      </c>
      <c r="C476" s="8">
        <f>IFERROR(__xludf.DUMMYFUNCTION("""COMPUTED_VALUE"""),1.64)</f>
        <v>1.64</v>
      </c>
      <c r="D476" s="7">
        <v>1.425887337E9</v>
      </c>
      <c r="E476" s="8">
        <v>2.33845523268E9</v>
      </c>
    </row>
    <row r="477">
      <c r="A477" s="7" t="str">
        <f>IFERROR(__xludf.DUMMYFUNCTION("""COMPUTED_VALUE"""),"Colombia")</f>
        <v>Colombia</v>
      </c>
      <c r="B477" s="7" t="str">
        <f>IFERROR(__xludf.DUMMYFUNCTION("""COMPUTED_VALUE"""),"Douglas LLC")</f>
        <v>Douglas LLC</v>
      </c>
      <c r="C477" s="8">
        <f>IFERROR(__xludf.DUMMYFUNCTION("""COMPUTED_VALUE"""),1.79)</f>
        <v>1.79</v>
      </c>
      <c r="D477" s="7">
        <v>5.1874024E7</v>
      </c>
      <c r="E477" s="8">
        <v>9.285450296000001E7</v>
      </c>
    </row>
    <row r="478">
      <c r="A478" s="7" t="str">
        <f>IFERROR(__xludf.DUMMYFUNCTION("""COMPUTED_VALUE"""),"Ukraine")</f>
        <v>Ukraine</v>
      </c>
      <c r="B478" s="7" t="str">
        <f>IFERROR(__xludf.DUMMYFUNCTION("""COMPUTED_VALUE"""),"Feil-Kertzmann")</f>
        <v>Feil-Kertzmann</v>
      </c>
      <c r="C478" s="8">
        <f>IFERROR(__xludf.DUMMYFUNCTION("""COMPUTED_VALUE"""),1.69)</f>
        <v>1.69</v>
      </c>
      <c r="D478" s="7">
        <v>3.9701739E7</v>
      </c>
      <c r="E478" s="8">
        <v>6.709593891E7</v>
      </c>
    </row>
    <row r="479">
      <c r="A479" s="7" t="str">
        <f>IFERROR(__xludf.DUMMYFUNCTION("""COMPUTED_VALUE"""),"Indonesia")</f>
        <v>Indonesia</v>
      </c>
      <c r="B479" s="7" t="str">
        <f>IFERROR(__xludf.DUMMYFUNCTION("""COMPUTED_VALUE"""),"Labadie, Gerhold and Predovic")</f>
        <v>Labadie, Gerhold and Predovic</v>
      </c>
      <c r="C479" s="8">
        <f>IFERROR(__xludf.DUMMYFUNCTION("""COMPUTED_VALUE"""),1.33)</f>
        <v>1.33</v>
      </c>
      <c r="D479" s="7">
        <v>2.75501339E8</v>
      </c>
      <c r="E479" s="8">
        <v>3.6641678087E8</v>
      </c>
    </row>
    <row r="480">
      <c r="A480" s="7" t="str">
        <f>IFERROR(__xludf.DUMMYFUNCTION("""COMPUTED_VALUE"""),"Russia")</f>
        <v>Russia</v>
      </c>
      <c r="B480" s="7" t="str">
        <f>IFERROR(__xludf.DUMMYFUNCTION("""COMPUTED_VALUE"""),"Bergnaum-Thiel")</f>
        <v>Bergnaum-Thiel</v>
      </c>
      <c r="C480" s="8">
        <f>IFERROR(__xludf.DUMMYFUNCTION("""COMPUTED_VALUE"""),1.13)</f>
        <v>1.13</v>
      </c>
      <c r="D480" s="7">
        <v>1.44713314E8</v>
      </c>
      <c r="E480" s="8">
        <v>1.6352604482E8</v>
      </c>
    </row>
    <row r="481">
      <c r="A481" s="7" t="str">
        <f>IFERROR(__xludf.DUMMYFUNCTION("""COMPUTED_VALUE"""),"China")</f>
        <v>China</v>
      </c>
      <c r="B481" s="7" t="str">
        <f>IFERROR(__xludf.DUMMYFUNCTION("""COMPUTED_VALUE"""),"Erdman LLC")</f>
        <v>Erdman LLC</v>
      </c>
      <c r="C481" s="8">
        <f>IFERROR(__xludf.DUMMYFUNCTION("""COMPUTED_VALUE"""),1.55)</f>
        <v>1.55</v>
      </c>
      <c r="D481" s="7">
        <v>1.425887337E9</v>
      </c>
      <c r="E481" s="8">
        <v>2.21012537235E9</v>
      </c>
    </row>
    <row r="482">
      <c r="A482" s="7" t="str">
        <f>IFERROR(__xludf.DUMMYFUNCTION("""COMPUTED_VALUE"""),"China")</f>
        <v>China</v>
      </c>
      <c r="B482" s="7" t="str">
        <f>IFERROR(__xludf.DUMMYFUNCTION("""COMPUTED_VALUE"""),"Nicolas and Sons")</f>
        <v>Nicolas and Sons</v>
      </c>
      <c r="C482" s="8">
        <f>IFERROR(__xludf.DUMMYFUNCTION("""COMPUTED_VALUE"""),1.68)</f>
        <v>1.68</v>
      </c>
      <c r="D482" s="7">
        <v>1.425887337E9</v>
      </c>
      <c r="E482" s="8">
        <v>2.39549072616E9</v>
      </c>
    </row>
    <row r="483">
      <c r="A483" s="7" t="str">
        <f>IFERROR(__xludf.DUMMYFUNCTION("""COMPUTED_VALUE"""),"France")</f>
        <v>France</v>
      </c>
      <c r="B483" s="7" t="str">
        <f>IFERROR(__xludf.DUMMYFUNCTION("""COMPUTED_VALUE"""),"Pagac, Hettinger and Lubowitz")</f>
        <v>Pagac, Hettinger and Lubowitz</v>
      </c>
      <c r="C483" s="8">
        <f>IFERROR(__xludf.DUMMYFUNCTION("""COMPUTED_VALUE"""),1.06)</f>
        <v>1.06</v>
      </c>
      <c r="D483" s="7">
        <v>6.4626628E7</v>
      </c>
      <c r="E483" s="8">
        <v>6.850422568E7</v>
      </c>
    </row>
    <row r="484">
      <c r="A484" s="7" t="str">
        <f>IFERROR(__xludf.DUMMYFUNCTION("""COMPUTED_VALUE"""),"Ukraine")</f>
        <v>Ukraine</v>
      </c>
      <c r="B484" s="7" t="str">
        <f>IFERROR(__xludf.DUMMYFUNCTION("""COMPUTED_VALUE"""),"Walsh, Frami and Waters")</f>
        <v>Walsh, Frami and Waters</v>
      </c>
      <c r="C484" s="8">
        <f>IFERROR(__xludf.DUMMYFUNCTION("""COMPUTED_VALUE"""),0.94)</f>
        <v>0.94</v>
      </c>
      <c r="D484" s="7">
        <v>3.9701739E7</v>
      </c>
      <c r="E484" s="8">
        <v>3.731963466E7</v>
      </c>
    </row>
    <row r="485">
      <c r="A485" s="7" t="str">
        <f>IFERROR(__xludf.DUMMYFUNCTION("""COMPUTED_VALUE"""),"Poland")</f>
        <v>Poland</v>
      </c>
      <c r="B485" s="7" t="str">
        <f>IFERROR(__xludf.DUMMYFUNCTION("""COMPUTED_VALUE"""),"Feest, Hoppe and Barton")</f>
        <v>Feest, Hoppe and Barton</v>
      </c>
      <c r="C485" s="8">
        <f>IFERROR(__xludf.DUMMYFUNCTION("""COMPUTED_VALUE"""),1.09)</f>
        <v>1.09</v>
      </c>
      <c r="D485" s="7">
        <v>3.9857145E7</v>
      </c>
      <c r="E485" s="8">
        <v>4.3444288050000004E7</v>
      </c>
    </row>
    <row r="486">
      <c r="A486" s="7" t="str">
        <f>IFERROR(__xludf.DUMMYFUNCTION("""COMPUTED_VALUE"""),"Thailand")</f>
        <v>Thailand</v>
      </c>
      <c r="B486" s="7" t="str">
        <f>IFERROR(__xludf.DUMMYFUNCTION("""COMPUTED_VALUE"""),"Stamm, Cartwright and Volkman")</f>
        <v>Stamm, Cartwright and Volkman</v>
      </c>
      <c r="C486" s="8">
        <f>IFERROR(__xludf.DUMMYFUNCTION("""COMPUTED_VALUE"""),0.9)</f>
        <v>0.9</v>
      </c>
      <c r="D486" s="7">
        <v>7.169703E7</v>
      </c>
      <c r="E486" s="8">
        <v>6.4527327E7</v>
      </c>
    </row>
    <row r="487">
      <c r="A487" s="7" t="str">
        <f>IFERROR(__xludf.DUMMYFUNCTION("""COMPUTED_VALUE"""),"Russia")</f>
        <v>Russia</v>
      </c>
      <c r="B487" s="7" t="str">
        <f>IFERROR(__xludf.DUMMYFUNCTION("""COMPUTED_VALUE"""),"Spinka, O'Kon and Legros")</f>
        <v>Spinka, O'Kon and Legros</v>
      </c>
      <c r="C487" s="8">
        <f>IFERROR(__xludf.DUMMYFUNCTION("""COMPUTED_VALUE"""),2.14)</f>
        <v>2.14</v>
      </c>
      <c r="D487" s="7">
        <v>1.44713314E8</v>
      </c>
      <c r="E487" s="8">
        <v>3.0968649196000004E8</v>
      </c>
    </row>
    <row r="488">
      <c r="A488" s="7" t="str">
        <f>IFERROR(__xludf.DUMMYFUNCTION("""COMPUTED_VALUE"""),"Brazil")</f>
        <v>Brazil</v>
      </c>
      <c r="B488" s="7" t="str">
        <f>IFERROR(__xludf.DUMMYFUNCTION("""COMPUTED_VALUE"""),"Ankunding, Ryan and Spinka")</f>
        <v>Ankunding, Ryan and Spinka</v>
      </c>
      <c r="C488" s="8">
        <f>IFERROR(__xludf.DUMMYFUNCTION("""COMPUTED_VALUE"""),1.98)</f>
        <v>1.98</v>
      </c>
      <c r="D488" s="7">
        <v>2.15313498E8</v>
      </c>
      <c r="E488" s="8">
        <v>4.2632072604E8</v>
      </c>
    </row>
    <row r="489">
      <c r="A489" s="7" t="str">
        <f>IFERROR(__xludf.DUMMYFUNCTION("""COMPUTED_VALUE"""),"Russia")</f>
        <v>Russia</v>
      </c>
      <c r="B489" s="7" t="str">
        <f>IFERROR(__xludf.DUMMYFUNCTION("""COMPUTED_VALUE"""),"Beatty, Cassin and Wiegand")</f>
        <v>Beatty, Cassin and Wiegand</v>
      </c>
      <c r="C489" s="8">
        <f>IFERROR(__xludf.DUMMYFUNCTION("""COMPUTED_VALUE"""),1.57)</f>
        <v>1.57</v>
      </c>
      <c r="D489" s="7">
        <v>1.44713314E8</v>
      </c>
      <c r="E489" s="8">
        <v>2.2719990298000002E8</v>
      </c>
    </row>
    <row r="490">
      <c r="A490" s="7" t="str">
        <f>IFERROR(__xludf.DUMMYFUNCTION("""COMPUTED_VALUE"""),"Peru")</f>
        <v>Peru</v>
      </c>
      <c r="B490" s="7" t="str">
        <f>IFERROR(__xludf.DUMMYFUNCTION("""COMPUTED_VALUE"""),"Christiansen-Fadel")</f>
        <v>Christiansen-Fadel</v>
      </c>
      <c r="C490" s="8">
        <f>IFERROR(__xludf.DUMMYFUNCTION("""COMPUTED_VALUE"""),1.32)</f>
        <v>1.32</v>
      </c>
      <c r="D490" s="7">
        <v>3.4049588E7</v>
      </c>
      <c r="E490" s="8">
        <v>4.4945456160000004E7</v>
      </c>
    </row>
    <row r="491">
      <c r="A491" s="7" t="str">
        <f>IFERROR(__xludf.DUMMYFUNCTION("""COMPUTED_VALUE"""),"Central African Republic")</f>
        <v>Central African Republic</v>
      </c>
      <c r="B491" s="7" t="str">
        <f>IFERROR(__xludf.DUMMYFUNCTION("""COMPUTED_VALUE"""),"Altenwerth, D'Amore and Veum")</f>
        <v>Altenwerth, D'Amore and Veum</v>
      </c>
      <c r="C491" s="8">
        <f>IFERROR(__xludf.DUMMYFUNCTION("""COMPUTED_VALUE"""),0.96)</f>
        <v>0.96</v>
      </c>
      <c r="D491" s="7">
        <v>5579144.0</v>
      </c>
      <c r="E491" s="8">
        <v>5355978.24</v>
      </c>
    </row>
    <row r="492">
      <c r="A492" s="7" t="str">
        <f>IFERROR(__xludf.DUMMYFUNCTION("""COMPUTED_VALUE"""),"Indonesia")</f>
        <v>Indonesia</v>
      </c>
      <c r="B492" s="7" t="str">
        <f>IFERROR(__xludf.DUMMYFUNCTION("""COMPUTED_VALUE"""),"Keebler, Bailey and Veum")</f>
        <v>Keebler, Bailey and Veum</v>
      </c>
      <c r="C492" s="8">
        <f>IFERROR(__xludf.DUMMYFUNCTION("""COMPUTED_VALUE"""),1.03)</f>
        <v>1.03</v>
      </c>
      <c r="D492" s="7">
        <v>2.75501339E8</v>
      </c>
      <c r="E492" s="8">
        <v>2.8376637917E8</v>
      </c>
    </row>
    <row r="493">
      <c r="A493" s="7" t="str">
        <f>IFERROR(__xludf.DUMMYFUNCTION("""COMPUTED_VALUE"""),"China")</f>
        <v>China</v>
      </c>
      <c r="B493" s="7" t="str">
        <f>IFERROR(__xludf.DUMMYFUNCTION("""COMPUTED_VALUE"""),"Kshlerin-Ortiz")</f>
        <v>Kshlerin-Ortiz</v>
      </c>
      <c r="C493" s="8">
        <f>IFERROR(__xludf.DUMMYFUNCTION("""COMPUTED_VALUE"""),1.75)</f>
        <v>1.75</v>
      </c>
      <c r="D493" s="7">
        <v>1.425887337E9</v>
      </c>
      <c r="E493" s="8">
        <v>2.49530283975E9</v>
      </c>
    </row>
    <row r="494">
      <c r="A494" s="7" t="str">
        <f>IFERROR(__xludf.DUMMYFUNCTION("""COMPUTED_VALUE"""),"China")</f>
        <v>China</v>
      </c>
      <c r="B494" s="7" t="str">
        <f>IFERROR(__xludf.DUMMYFUNCTION("""COMPUTED_VALUE"""),"Daniel-Douglas")</f>
        <v>Daniel-Douglas</v>
      </c>
      <c r="C494" s="8">
        <f>IFERROR(__xludf.DUMMYFUNCTION("""COMPUTED_VALUE"""),2.19)</f>
        <v>2.19</v>
      </c>
      <c r="D494" s="7">
        <v>1.425887337E9</v>
      </c>
      <c r="E494" s="8">
        <v>3.1226932680299997E9</v>
      </c>
    </row>
    <row r="495">
      <c r="A495" s="7" t="str">
        <f>IFERROR(__xludf.DUMMYFUNCTION("""COMPUTED_VALUE"""),"Ecuador")</f>
        <v>Ecuador</v>
      </c>
      <c r="B495" s="7" t="str">
        <f>IFERROR(__xludf.DUMMYFUNCTION("""COMPUTED_VALUE"""),"Torphy, Feest and Hermiston")</f>
        <v>Torphy, Feest and Hermiston</v>
      </c>
      <c r="C495" s="8">
        <f>IFERROR(__xludf.DUMMYFUNCTION("""COMPUTED_VALUE"""),2.17)</f>
        <v>2.17</v>
      </c>
      <c r="D495" s="7">
        <v>1.8001E7</v>
      </c>
      <c r="E495" s="8">
        <v>3.906217E7</v>
      </c>
    </row>
    <row r="496">
      <c r="A496" s="7" t="str">
        <f>IFERROR(__xludf.DUMMYFUNCTION("""COMPUTED_VALUE"""),"Afghanistan")</f>
        <v>Afghanistan</v>
      </c>
      <c r="B496" s="7" t="str">
        <f>IFERROR(__xludf.DUMMYFUNCTION("""COMPUTED_VALUE"""),"Powlowski, Abshire and Schroeder")</f>
        <v>Powlowski, Abshire and Schroeder</v>
      </c>
      <c r="C496" s="8">
        <f>IFERROR(__xludf.DUMMYFUNCTION("""COMPUTED_VALUE"""),1.27)</f>
        <v>1.27</v>
      </c>
      <c r="D496" s="7">
        <v>4.1128771E7</v>
      </c>
      <c r="E496" s="8">
        <v>5.223353917E7</v>
      </c>
    </row>
    <row r="497">
      <c r="A497" s="7" t="str">
        <f>IFERROR(__xludf.DUMMYFUNCTION("""COMPUTED_VALUE"""),"Ukraine")</f>
        <v>Ukraine</v>
      </c>
      <c r="B497" s="7" t="str">
        <f>IFERROR(__xludf.DUMMYFUNCTION("""COMPUTED_VALUE"""),"Watsica-Reilly")</f>
        <v>Watsica-Reilly</v>
      </c>
      <c r="C497" s="8">
        <f>IFERROR(__xludf.DUMMYFUNCTION("""COMPUTED_VALUE"""),2.12)</f>
        <v>2.12</v>
      </c>
      <c r="D497" s="7">
        <v>3.9701739E7</v>
      </c>
      <c r="E497" s="8">
        <v>8.416768668E7</v>
      </c>
    </row>
    <row r="498">
      <c r="A498" s="7" t="str">
        <f>IFERROR(__xludf.DUMMYFUNCTION("""COMPUTED_VALUE"""),"Ivory Coast")</f>
        <v>Ivory Coast</v>
      </c>
      <c r="B498" s="7" t="str">
        <f>IFERROR(__xludf.DUMMYFUNCTION("""COMPUTED_VALUE"""),"Altenwerth-MacGyver")</f>
        <v>Altenwerth-MacGyver</v>
      </c>
      <c r="C498" s="8">
        <f>IFERROR(__xludf.DUMMYFUNCTION("""COMPUTED_VALUE"""),2.2)</f>
        <v>2.2</v>
      </c>
      <c r="D498" s="7">
        <v>2.8160542E7</v>
      </c>
      <c r="E498" s="8">
        <v>6.1953192400000006E7</v>
      </c>
    </row>
    <row r="499">
      <c r="A499" s="7" t="str">
        <f>IFERROR(__xludf.DUMMYFUNCTION("""COMPUTED_VALUE"""),"Russia")</f>
        <v>Russia</v>
      </c>
      <c r="B499" s="7" t="str">
        <f>IFERROR(__xludf.DUMMYFUNCTION("""COMPUTED_VALUE"""),"Lynch and Sons")</f>
        <v>Lynch and Sons</v>
      </c>
      <c r="C499" s="8">
        <f>IFERROR(__xludf.DUMMYFUNCTION("""COMPUTED_VALUE"""),1.6)</f>
        <v>1.6</v>
      </c>
      <c r="D499" s="7">
        <v>1.44713314E8</v>
      </c>
      <c r="E499" s="8">
        <v>2.315413024E8</v>
      </c>
    </row>
    <row r="500">
      <c r="A500" s="7" t="str">
        <f>IFERROR(__xludf.DUMMYFUNCTION("""COMPUTED_VALUE"""),"Brazil")</f>
        <v>Brazil</v>
      </c>
      <c r="B500" s="7" t="str">
        <f>IFERROR(__xludf.DUMMYFUNCTION("""COMPUTED_VALUE"""),"Ebert-Nolan")</f>
        <v>Ebert-Nolan</v>
      </c>
      <c r="C500" s="8">
        <f>IFERROR(__xludf.DUMMYFUNCTION("""COMPUTED_VALUE"""),1.5)</f>
        <v>1.5</v>
      </c>
      <c r="D500" s="7">
        <v>2.15313498E8</v>
      </c>
      <c r="E500" s="8">
        <v>3.22970247E8</v>
      </c>
    </row>
    <row r="501">
      <c r="A501" s="7" t="str">
        <f>IFERROR(__xludf.DUMMYFUNCTION("""COMPUTED_VALUE"""),"Colombia")</f>
        <v>Colombia</v>
      </c>
      <c r="B501" s="7" t="str">
        <f>IFERROR(__xludf.DUMMYFUNCTION("""COMPUTED_VALUE"""),"Purdy-Bechtelar")</f>
        <v>Purdy-Bechtelar</v>
      </c>
      <c r="C501" s="8">
        <f>IFERROR(__xludf.DUMMYFUNCTION("""COMPUTED_VALUE"""),1.28)</f>
        <v>1.28</v>
      </c>
      <c r="D501" s="7">
        <v>5.1874024E7</v>
      </c>
      <c r="E501" s="8">
        <v>6.639875072E7</v>
      </c>
    </row>
    <row r="502">
      <c r="A502" s="7" t="str">
        <f>IFERROR(__xludf.DUMMYFUNCTION("""COMPUTED_VALUE"""),"Laos")</f>
        <v>Laos</v>
      </c>
      <c r="B502" s="7" t="str">
        <f>IFERROR(__xludf.DUMMYFUNCTION("""COMPUTED_VALUE"""),"Schuster-Halvorson")</f>
        <v>Schuster-Halvorson</v>
      </c>
      <c r="C502" s="8">
        <f>IFERROR(__xludf.DUMMYFUNCTION("""COMPUTED_VALUE"""),1.49)</f>
        <v>1.49</v>
      </c>
      <c r="D502" s="7">
        <v>7529475.0</v>
      </c>
      <c r="E502" s="8">
        <v>1.121891775E7</v>
      </c>
    </row>
    <row r="503">
      <c r="A503" s="7" t="str">
        <f>IFERROR(__xludf.DUMMYFUNCTION("""COMPUTED_VALUE"""),"Argentina")</f>
        <v>Argentina</v>
      </c>
      <c r="B503" s="7" t="str">
        <f>IFERROR(__xludf.DUMMYFUNCTION("""COMPUTED_VALUE"""),"Sanford, Wyman and Boehm")</f>
        <v>Sanford, Wyman and Boehm</v>
      </c>
      <c r="C503" s="8">
        <f>IFERROR(__xludf.DUMMYFUNCTION("""COMPUTED_VALUE"""),1.43)</f>
        <v>1.43</v>
      </c>
      <c r="D503" s="7">
        <v>4.5510318E7</v>
      </c>
      <c r="E503" s="8">
        <v>6.5079754739999995E7</v>
      </c>
    </row>
    <row r="504">
      <c r="A504" s="7" t="str">
        <f>IFERROR(__xludf.DUMMYFUNCTION("""COMPUTED_VALUE"""),"China")</f>
        <v>China</v>
      </c>
      <c r="B504" s="7" t="str">
        <f>IFERROR(__xludf.DUMMYFUNCTION("""COMPUTED_VALUE"""),"Wiegand, Hills and Dickinson")</f>
        <v>Wiegand, Hills and Dickinson</v>
      </c>
      <c r="C504" s="8">
        <f>IFERROR(__xludf.DUMMYFUNCTION("""COMPUTED_VALUE"""),1.21)</f>
        <v>1.21</v>
      </c>
      <c r="D504" s="7">
        <v>1.425887337E9</v>
      </c>
      <c r="E504" s="8">
        <v>1.72532367777E9</v>
      </c>
    </row>
    <row r="505">
      <c r="A505" s="7" t="str">
        <f>IFERROR(__xludf.DUMMYFUNCTION("""COMPUTED_VALUE"""),"Afghanistan")</f>
        <v>Afghanistan</v>
      </c>
      <c r="B505" s="7" t="str">
        <f>IFERROR(__xludf.DUMMYFUNCTION("""COMPUTED_VALUE"""),"Lubowitz, Ankunding and Rutherford")</f>
        <v>Lubowitz, Ankunding and Rutherford</v>
      </c>
      <c r="C505" s="8">
        <f>IFERROR(__xludf.DUMMYFUNCTION("""COMPUTED_VALUE"""),0.95)</f>
        <v>0.95</v>
      </c>
      <c r="D505" s="7">
        <v>4.1128771E7</v>
      </c>
      <c r="E505" s="8">
        <v>3.9072332449999996E7</v>
      </c>
    </row>
    <row r="506">
      <c r="A506" s="7" t="str">
        <f>IFERROR(__xludf.DUMMYFUNCTION("""COMPUTED_VALUE"""),"Canada")</f>
        <v>Canada</v>
      </c>
      <c r="B506" s="7" t="str">
        <f>IFERROR(__xludf.DUMMYFUNCTION("""COMPUTED_VALUE"""),"Harber and Sons")</f>
        <v>Harber and Sons</v>
      </c>
      <c r="C506" s="8">
        <f>IFERROR(__xludf.DUMMYFUNCTION("""COMPUTED_VALUE"""),0.99)</f>
        <v>0.99</v>
      </c>
      <c r="D506" s="7">
        <v>3.8454327E7</v>
      </c>
      <c r="E506" s="8">
        <v>3.806978373E7</v>
      </c>
    </row>
    <row r="507">
      <c r="A507" s="7" t="str">
        <f>IFERROR(__xludf.DUMMYFUNCTION("""COMPUTED_VALUE"""),"Indonesia")</f>
        <v>Indonesia</v>
      </c>
      <c r="B507" s="7" t="str">
        <f>IFERROR(__xludf.DUMMYFUNCTION("""COMPUTED_VALUE"""),"Glover LLC")</f>
        <v>Glover LLC</v>
      </c>
      <c r="C507" s="8">
        <f>IFERROR(__xludf.DUMMYFUNCTION("""COMPUTED_VALUE"""),1.75)</f>
        <v>1.75</v>
      </c>
      <c r="D507" s="7">
        <v>2.75501339E8</v>
      </c>
      <c r="E507" s="8">
        <v>4.8212734325E8</v>
      </c>
    </row>
    <row r="508">
      <c r="A508" s="7" t="str">
        <f>IFERROR(__xludf.DUMMYFUNCTION("""COMPUTED_VALUE"""),"China")</f>
        <v>China</v>
      </c>
      <c r="B508" s="7" t="str">
        <f>IFERROR(__xludf.DUMMYFUNCTION("""COMPUTED_VALUE"""),"Zemlak-Schaden")</f>
        <v>Zemlak-Schaden</v>
      </c>
      <c r="C508" s="8">
        <f>IFERROR(__xludf.DUMMYFUNCTION("""COMPUTED_VALUE"""),1.48)</f>
        <v>1.48</v>
      </c>
      <c r="D508" s="7">
        <v>1.425887337E9</v>
      </c>
      <c r="E508" s="8">
        <v>2.11031325876E9</v>
      </c>
    </row>
    <row r="509">
      <c r="A509" s="7" t="str">
        <f>IFERROR(__xludf.DUMMYFUNCTION("""COMPUTED_VALUE"""),"Brazil")</f>
        <v>Brazil</v>
      </c>
      <c r="B509" s="7" t="str">
        <f>IFERROR(__xludf.DUMMYFUNCTION("""COMPUTED_VALUE"""),"Greenholt-Hahn")</f>
        <v>Greenholt-Hahn</v>
      </c>
      <c r="C509" s="8">
        <f>IFERROR(__xludf.DUMMYFUNCTION("""COMPUTED_VALUE"""),0.89)</f>
        <v>0.89</v>
      </c>
      <c r="D509" s="7">
        <v>2.15313498E8</v>
      </c>
      <c r="E509" s="8">
        <v>1.9162901322E8</v>
      </c>
    </row>
    <row r="510">
      <c r="A510" s="7" t="str">
        <f>IFERROR(__xludf.DUMMYFUNCTION("""COMPUTED_VALUE"""),"Brazil")</f>
        <v>Brazil</v>
      </c>
      <c r="B510" s="7" t="str">
        <f>IFERROR(__xludf.DUMMYFUNCTION("""COMPUTED_VALUE"""),"West, Dibbert and Spinka")</f>
        <v>West, Dibbert and Spinka</v>
      </c>
      <c r="C510" s="8">
        <f>IFERROR(__xludf.DUMMYFUNCTION("""COMPUTED_VALUE"""),0.87)</f>
        <v>0.87</v>
      </c>
      <c r="D510" s="7">
        <v>2.15313498E8</v>
      </c>
      <c r="E510" s="8">
        <v>1.8732274326E8</v>
      </c>
    </row>
    <row r="511">
      <c r="A511" s="7" t="str">
        <f>IFERROR(__xludf.DUMMYFUNCTION("""COMPUTED_VALUE"""),"Indonesia")</f>
        <v>Indonesia</v>
      </c>
      <c r="B511" s="7" t="str">
        <f>IFERROR(__xludf.DUMMYFUNCTION("""COMPUTED_VALUE"""),"Douglas, Murray and Metz")</f>
        <v>Douglas, Murray and Metz</v>
      </c>
      <c r="C511" s="8">
        <f>IFERROR(__xludf.DUMMYFUNCTION("""COMPUTED_VALUE"""),1.96)</f>
        <v>1.96</v>
      </c>
      <c r="D511" s="7">
        <v>2.75501339E8</v>
      </c>
      <c r="E511" s="8">
        <v>5.399826244399999E8</v>
      </c>
    </row>
    <row r="512">
      <c r="A512" s="7" t="str">
        <f>IFERROR(__xludf.DUMMYFUNCTION("""COMPUTED_VALUE"""),"Canada")</f>
        <v>Canada</v>
      </c>
      <c r="B512" s="7" t="str">
        <f>IFERROR(__xludf.DUMMYFUNCTION("""COMPUTED_VALUE"""),"Hettinger-Orn")</f>
        <v>Hettinger-Orn</v>
      </c>
      <c r="C512" s="8">
        <f>IFERROR(__xludf.DUMMYFUNCTION("""COMPUTED_VALUE"""),1.44)</f>
        <v>1.44</v>
      </c>
      <c r="D512" s="7">
        <v>3.8454327E7</v>
      </c>
      <c r="E512" s="8">
        <v>5.5374230879999995E7</v>
      </c>
    </row>
    <row r="513">
      <c r="A513" s="7" t="str">
        <f>IFERROR(__xludf.DUMMYFUNCTION("""COMPUTED_VALUE"""),"China")</f>
        <v>China</v>
      </c>
      <c r="B513" s="7" t="str">
        <f>IFERROR(__xludf.DUMMYFUNCTION("""COMPUTED_VALUE"""),"Glover Group")</f>
        <v>Glover Group</v>
      </c>
      <c r="C513" s="8">
        <f>IFERROR(__xludf.DUMMYFUNCTION("""COMPUTED_VALUE"""),1.01)</f>
        <v>1.01</v>
      </c>
      <c r="D513" s="7">
        <v>1.425887337E9</v>
      </c>
      <c r="E513" s="8">
        <v>1.4401462103700001E9</v>
      </c>
    </row>
    <row r="514">
      <c r="A514" s="7" t="str">
        <f>IFERROR(__xludf.DUMMYFUNCTION("""COMPUTED_VALUE"""),"Pakistan")</f>
        <v>Pakistan</v>
      </c>
      <c r="B514" s="7" t="str">
        <f>IFERROR(__xludf.DUMMYFUNCTION("""COMPUTED_VALUE"""),"Jones and Sons")</f>
        <v>Jones and Sons</v>
      </c>
      <c r="C514" s="8">
        <f>IFERROR(__xludf.DUMMYFUNCTION("""COMPUTED_VALUE"""),1.2)</f>
        <v>1.2</v>
      </c>
      <c r="D514" s="7">
        <v>2.35824862E8</v>
      </c>
      <c r="E514" s="8">
        <v>2.829898344E8</v>
      </c>
    </row>
    <row r="515">
      <c r="A515" s="7" t="str">
        <f>IFERROR(__xludf.DUMMYFUNCTION("""COMPUTED_VALUE"""),"China")</f>
        <v>China</v>
      </c>
      <c r="B515" s="7" t="str">
        <f>IFERROR(__xludf.DUMMYFUNCTION("""COMPUTED_VALUE"""),"Donnelly-Borer")</f>
        <v>Donnelly-Borer</v>
      </c>
      <c r="C515" s="8">
        <f>IFERROR(__xludf.DUMMYFUNCTION("""COMPUTED_VALUE"""),1.78)</f>
        <v>1.78</v>
      </c>
      <c r="D515" s="7">
        <v>1.425887337E9</v>
      </c>
      <c r="E515" s="8">
        <v>2.53807945986E9</v>
      </c>
    </row>
    <row r="516">
      <c r="A516" s="7" t="str">
        <f>IFERROR(__xludf.DUMMYFUNCTION("""COMPUTED_VALUE"""),"France")</f>
        <v>France</v>
      </c>
      <c r="B516" s="7" t="str">
        <f>IFERROR(__xludf.DUMMYFUNCTION("""COMPUTED_VALUE"""),"Feest Group")</f>
        <v>Feest Group</v>
      </c>
      <c r="C516" s="8">
        <f>IFERROR(__xludf.DUMMYFUNCTION("""COMPUTED_VALUE"""),0.98)</f>
        <v>0.98</v>
      </c>
      <c r="D516" s="7">
        <v>6.4626628E7</v>
      </c>
      <c r="E516" s="8">
        <v>6.333409544E7</v>
      </c>
    </row>
    <row r="517">
      <c r="A517" s="7" t="str">
        <f>IFERROR(__xludf.DUMMYFUNCTION("""COMPUTED_VALUE"""),"China")</f>
        <v>China</v>
      </c>
      <c r="B517" s="7" t="str">
        <f>IFERROR(__xludf.DUMMYFUNCTION("""COMPUTED_VALUE"""),"Schowalter-Will")</f>
        <v>Schowalter-Will</v>
      </c>
      <c r="C517" s="8">
        <f>IFERROR(__xludf.DUMMYFUNCTION("""COMPUTED_VALUE"""),0.94)</f>
        <v>0.94</v>
      </c>
      <c r="D517" s="7">
        <v>1.425887337E9</v>
      </c>
      <c r="E517" s="8">
        <v>1.34033409678E9</v>
      </c>
    </row>
    <row r="518">
      <c r="A518" s="7" t="str">
        <f>IFERROR(__xludf.DUMMYFUNCTION("""COMPUTED_VALUE"""),"China")</f>
        <v>China</v>
      </c>
      <c r="B518" s="7" t="str">
        <f>IFERROR(__xludf.DUMMYFUNCTION("""COMPUTED_VALUE"""),"Torphy and Sons")</f>
        <v>Torphy and Sons</v>
      </c>
      <c r="C518" s="8">
        <f>IFERROR(__xludf.DUMMYFUNCTION("""COMPUTED_VALUE"""),1.6)</f>
        <v>1.6</v>
      </c>
      <c r="D518" s="7">
        <v>1.425887337E9</v>
      </c>
      <c r="E518" s="8">
        <v>2.2814197392000003E9</v>
      </c>
    </row>
    <row r="519">
      <c r="A519" s="7" t="str">
        <f>IFERROR(__xludf.DUMMYFUNCTION("""COMPUTED_VALUE"""),"China")</f>
        <v>China</v>
      </c>
      <c r="B519" s="7" t="str">
        <f>IFERROR(__xludf.DUMMYFUNCTION("""COMPUTED_VALUE"""),"Hegmann-Bailey")</f>
        <v>Hegmann-Bailey</v>
      </c>
      <c r="C519" s="8">
        <f>IFERROR(__xludf.DUMMYFUNCTION("""COMPUTED_VALUE"""),0.87)</f>
        <v>0.87</v>
      </c>
      <c r="D519" s="7">
        <v>1.425887337E9</v>
      </c>
      <c r="E519" s="8">
        <v>1.24052198319E9</v>
      </c>
    </row>
    <row r="520">
      <c r="A520" s="7" t="str">
        <f>IFERROR(__xludf.DUMMYFUNCTION("""COMPUTED_VALUE"""),"United States")</f>
        <v>United States</v>
      </c>
      <c r="B520" s="7" t="str">
        <f>IFERROR(__xludf.DUMMYFUNCTION("""COMPUTED_VALUE"""),"Bartell-Denesik")</f>
        <v>Bartell-Denesik</v>
      </c>
      <c r="C520" s="8">
        <f>IFERROR(__xludf.DUMMYFUNCTION("""COMPUTED_VALUE"""),2.23)</f>
        <v>2.23</v>
      </c>
      <c r="D520" s="7">
        <v>3.38289857E8</v>
      </c>
      <c r="E520" s="8">
        <v>7.5438638111E8</v>
      </c>
    </row>
    <row r="521">
      <c r="A521" s="7" t="str">
        <f>IFERROR(__xludf.DUMMYFUNCTION("""COMPUTED_VALUE"""),"Philippines")</f>
        <v>Philippines</v>
      </c>
      <c r="B521" s="7" t="str">
        <f>IFERROR(__xludf.DUMMYFUNCTION("""COMPUTED_VALUE"""),"Witting, McDermott and Weimann")</f>
        <v>Witting, McDermott and Weimann</v>
      </c>
      <c r="C521" s="8">
        <f>IFERROR(__xludf.DUMMYFUNCTION("""COMPUTED_VALUE"""),2.03)</f>
        <v>2.03</v>
      </c>
      <c r="D521" s="7">
        <v>1.15559009E8</v>
      </c>
      <c r="E521" s="8">
        <v>2.3458478826999998E8</v>
      </c>
    </row>
    <row r="522">
      <c r="A522" s="7" t="str">
        <f>IFERROR(__xludf.DUMMYFUNCTION("""COMPUTED_VALUE"""),"Sweden")</f>
        <v>Sweden</v>
      </c>
      <c r="B522" s="7" t="str">
        <f>IFERROR(__xludf.DUMMYFUNCTION("""COMPUTED_VALUE"""),"Wyman-Labadie")</f>
        <v>Wyman-Labadie</v>
      </c>
      <c r="C522" s="8">
        <f>IFERROR(__xludf.DUMMYFUNCTION("""COMPUTED_VALUE"""),2.16)</f>
        <v>2.16</v>
      </c>
      <c r="D522" s="7">
        <v>1.0549347E7</v>
      </c>
      <c r="E522" s="8">
        <v>2.2786589520000003E7</v>
      </c>
    </row>
    <row r="523">
      <c r="A523" s="7" t="str">
        <f>IFERROR(__xludf.DUMMYFUNCTION("""COMPUTED_VALUE"""),"Indonesia")</f>
        <v>Indonesia</v>
      </c>
      <c r="B523" s="7" t="str">
        <f>IFERROR(__xludf.DUMMYFUNCTION("""COMPUTED_VALUE"""),"Carter LLC")</f>
        <v>Carter LLC</v>
      </c>
      <c r="C523" s="8">
        <f>IFERROR(__xludf.DUMMYFUNCTION("""COMPUTED_VALUE"""),1.64)</f>
        <v>1.64</v>
      </c>
      <c r="D523" s="7">
        <v>2.75501339E8</v>
      </c>
      <c r="E523" s="8">
        <v>4.5182219596E8</v>
      </c>
    </row>
    <row r="524">
      <c r="A524" s="7" t="str">
        <f>IFERROR(__xludf.DUMMYFUNCTION("""COMPUTED_VALUE"""),"Argentina")</f>
        <v>Argentina</v>
      </c>
      <c r="B524" s="7" t="str">
        <f>IFERROR(__xludf.DUMMYFUNCTION("""COMPUTED_VALUE"""),"Quitzon-Lubowitz")</f>
        <v>Quitzon-Lubowitz</v>
      </c>
      <c r="C524" s="8">
        <f>IFERROR(__xludf.DUMMYFUNCTION("""COMPUTED_VALUE"""),2.12)</f>
        <v>2.12</v>
      </c>
      <c r="D524" s="7">
        <v>4.5510318E7</v>
      </c>
      <c r="E524" s="8">
        <v>9.648187416000001E7</v>
      </c>
    </row>
    <row r="525">
      <c r="A525" s="7" t="str">
        <f>IFERROR(__xludf.DUMMYFUNCTION("""COMPUTED_VALUE"""),"France")</f>
        <v>France</v>
      </c>
      <c r="B525" s="7" t="str">
        <f>IFERROR(__xludf.DUMMYFUNCTION("""COMPUTED_VALUE"""),"Gleichner, Prohaska and Nader")</f>
        <v>Gleichner, Prohaska and Nader</v>
      </c>
      <c r="C525" s="8">
        <f>IFERROR(__xludf.DUMMYFUNCTION("""COMPUTED_VALUE"""),0.9)</f>
        <v>0.9</v>
      </c>
      <c r="D525" s="7">
        <v>6.4626628E7</v>
      </c>
      <c r="E525" s="8">
        <v>5.81639652E7</v>
      </c>
    </row>
    <row r="526">
      <c r="A526" s="7" t="str">
        <f>IFERROR(__xludf.DUMMYFUNCTION("""COMPUTED_VALUE"""),"Iraq")</f>
        <v>Iraq</v>
      </c>
      <c r="B526" s="7" t="str">
        <f>IFERROR(__xludf.DUMMYFUNCTION("""COMPUTED_VALUE"""),"Witting-Larkin")</f>
        <v>Witting-Larkin</v>
      </c>
      <c r="C526" s="8">
        <f>IFERROR(__xludf.DUMMYFUNCTION("""COMPUTED_VALUE"""),1.0)</f>
        <v>1</v>
      </c>
      <c r="D526" s="7">
        <v>4.4496122E7</v>
      </c>
      <c r="E526" s="8">
        <v>4.4496122E7</v>
      </c>
    </row>
    <row r="527">
      <c r="A527" s="7" t="str">
        <f>IFERROR(__xludf.DUMMYFUNCTION("""COMPUTED_VALUE"""),"Nigeria")</f>
        <v>Nigeria</v>
      </c>
      <c r="B527" s="7" t="str">
        <f>IFERROR(__xludf.DUMMYFUNCTION("""COMPUTED_VALUE"""),"Nicolas-Daniel")</f>
        <v>Nicolas-Daniel</v>
      </c>
      <c r="C527" s="8">
        <f>IFERROR(__xludf.DUMMYFUNCTION("""COMPUTED_VALUE"""),1.91)</f>
        <v>1.91</v>
      </c>
      <c r="D527" s="7">
        <v>2.18541212E8</v>
      </c>
      <c r="E527" s="8">
        <v>4.1741371491999996E8</v>
      </c>
    </row>
    <row r="528">
      <c r="A528" s="7" t="str">
        <f>IFERROR(__xludf.DUMMYFUNCTION("""COMPUTED_VALUE"""),"China")</f>
        <v>China</v>
      </c>
      <c r="B528" s="7" t="str">
        <f>IFERROR(__xludf.DUMMYFUNCTION("""COMPUTED_VALUE"""),"Willms Group")</f>
        <v>Willms Group</v>
      </c>
      <c r="C528" s="8">
        <f>IFERROR(__xludf.DUMMYFUNCTION("""COMPUTED_VALUE"""),1.23)</f>
        <v>1.23</v>
      </c>
      <c r="D528" s="7">
        <v>1.425887337E9</v>
      </c>
      <c r="E528" s="8">
        <v>1.75384142451E9</v>
      </c>
    </row>
    <row r="529">
      <c r="A529" s="7" t="str">
        <f>IFERROR(__xludf.DUMMYFUNCTION("""COMPUTED_VALUE"""),"Philippines")</f>
        <v>Philippines</v>
      </c>
      <c r="B529" s="7" t="str">
        <f>IFERROR(__xludf.DUMMYFUNCTION("""COMPUTED_VALUE"""),"Erdman-Mayert")</f>
        <v>Erdman-Mayert</v>
      </c>
      <c r="C529" s="8">
        <f>IFERROR(__xludf.DUMMYFUNCTION("""COMPUTED_VALUE"""),2.02)</f>
        <v>2.02</v>
      </c>
      <c r="D529" s="7">
        <v>1.15559009E8</v>
      </c>
      <c r="E529" s="8">
        <v>2.3342919818E8</v>
      </c>
    </row>
    <row r="530">
      <c r="A530" s="7" t="str">
        <f>IFERROR(__xludf.DUMMYFUNCTION("""COMPUTED_VALUE"""),"China")</f>
        <v>China</v>
      </c>
      <c r="B530" s="7" t="str">
        <f>IFERROR(__xludf.DUMMYFUNCTION("""COMPUTED_VALUE"""),"Swift, Moore and Luettgen")</f>
        <v>Swift, Moore and Luettgen</v>
      </c>
      <c r="C530" s="8">
        <f>IFERROR(__xludf.DUMMYFUNCTION("""COMPUTED_VALUE"""),1.15)</f>
        <v>1.15</v>
      </c>
      <c r="D530" s="7">
        <v>1.425887337E9</v>
      </c>
      <c r="E530" s="8">
        <v>1.63977043755E9</v>
      </c>
    </row>
    <row r="531">
      <c r="A531" s="7" t="str">
        <f>IFERROR(__xludf.DUMMYFUNCTION("""COMPUTED_VALUE"""),"Philippines")</f>
        <v>Philippines</v>
      </c>
      <c r="B531" s="7" t="str">
        <f>IFERROR(__xludf.DUMMYFUNCTION("""COMPUTED_VALUE"""),"Huels, Pfeffer and Hammes")</f>
        <v>Huels, Pfeffer and Hammes</v>
      </c>
      <c r="C531" s="8">
        <f>IFERROR(__xludf.DUMMYFUNCTION("""COMPUTED_VALUE"""),1.11)</f>
        <v>1.11</v>
      </c>
      <c r="D531" s="7">
        <v>1.15559009E8</v>
      </c>
      <c r="E531" s="8">
        <v>1.2827049999000001E8</v>
      </c>
    </row>
    <row r="532">
      <c r="A532" s="7" t="str">
        <f>IFERROR(__xludf.DUMMYFUNCTION("""COMPUTED_VALUE"""),"Costa Rica")</f>
        <v>Costa Rica</v>
      </c>
      <c r="B532" s="7" t="str">
        <f>IFERROR(__xludf.DUMMYFUNCTION("""COMPUTED_VALUE"""),"Casper, Turner and Waelchi")</f>
        <v>Casper, Turner and Waelchi</v>
      </c>
      <c r="C532" s="8">
        <f>IFERROR(__xludf.DUMMYFUNCTION("""COMPUTED_VALUE"""),1.29)</f>
        <v>1.29</v>
      </c>
      <c r="D532" s="7">
        <v>5180829.0</v>
      </c>
      <c r="E532" s="8">
        <v>6683269.41</v>
      </c>
    </row>
    <row r="533">
      <c r="A533" s="7" t="str">
        <f>IFERROR(__xludf.DUMMYFUNCTION("""COMPUTED_VALUE"""),"Russia")</f>
        <v>Russia</v>
      </c>
      <c r="B533" s="7" t="str">
        <f>IFERROR(__xludf.DUMMYFUNCTION("""COMPUTED_VALUE"""),"Buckridge, Ullrich and Franecki")</f>
        <v>Buckridge, Ullrich and Franecki</v>
      </c>
      <c r="C533" s="8">
        <f>IFERROR(__xludf.DUMMYFUNCTION("""COMPUTED_VALUE"""),1.69)</f>
        <v>1.69</v>
      </c>
      <c r="D533" s="7">
        <v>1.44713314E8</v>
      </c>
      <c r="E533" s="8">
        <v>2.4456550066E8</v>
      </c>
    </row>
    <row r="534">
      <c r="A534" s="7" t="str">
        <f>IFERROR(__xludf.DUMMYFUNCTION("""COMPUTED_VALUE"""),"Brazil")</f>
        <v>Brazil</v>
      </c>
      <c r="B534" s="7" t="str">
        <f>IFERROR(__xludf.DUMMYFUNCTION("""COMPUTED_VALUE"""),"Romaguera, Zemlak and Durgan")</f>
        <v>Romaguera, Zemlak and Durgan</v>
      </c>
      <c r="C534" s="8">
        <f>IFERROR(__xludf.DUMMYFUNCTION("""COMPUTED_VALUE"""),1.85)</f>
        <v>1.85</v>
      </c>
      <c r="D534" s="7">
        <v>2.15313498E8</v>
      </c>
      <c r="E534" s="8">
        <v>3.983299713E8</v>
      </c>
    </row>
    <row r="535">
      <c r="A535" s="7" t="str">
        <f>IFERROR(__xludf.DUMMYFUNCTION("""COMPUTED_VALUE"""),"Indonesia")</f>
        <v>Indonesia</v>
      </c>
      <c r="B535" s="7" t="str">
        <f>IFERROR(__xludf.DUMMYFUNCTION("""COMPUTED_VALUE"""),"Lueilwitz Group")</f>
        <v>Lueilwitz Group</v>
      </c>
      <c r="C535" s="8">
        <f>IFERROR(__xludf.DUMMYFUNCTION("""COMPUTED_VALUE"""),1.69)</f>
        <v>1.69</v>
      </c>
      <c r="D535" s="7">
        <v>2.75501339E8</v>
      </c>
      <c r="E535" s="8">
        <v>4.6559726290999997E8</v>
      </c>
    </row>
    <row r="536">
      <c r="A536" s="7" t="str">
        <f>IFERROR(__xludf.DUMMYFUNCTION("""COMPUTED_VALUE"""),"Yemen")</f>
        <v>Yemen</v>
      </c>
      <c r="B536" s="7" t="str">
        <f>IFERROR(__xludf.DUMMYFUNCTION("""COMPUTED_VALUE"""),"Murphy Inc")</f>
        <v>Murphy Inc</v>
      </c>
      <c r="C536" s="8">
        <f>IFERROR(__xludf.DUMMYFUNCTION("""COMPUTED_VALUE"""),1.63)</f>
        <v>1.63</v>
      </c>
      <c r="D536" s="7">
        <v>3.3696614E7</v>
      </c>
      <c r="E536" s="8">
        <v>5.492548081999999E7</v>
      </c>
    </row>
    <row r="537">
      <c r="A537" s="7" t="str">
        <f>IFERROR(__xludf.DUMMYFUNCTION("""COMPUTED_VALUE"""),"Canada")</f>
        <v>Canada</v>
      </c>
      <c r="B537" s="7" t="str">
        <f>IFERROR(__xludf.DUMMYFUNCTION("""COMPUTED_VALUE"""),"Morissette Inc")</f>
        <v>Morissette Inc</v>
      </c>
      <c r="C537" s="8">
        <f>IFERROR(__xludf.DUMMYFUNCTION("""COMPUTED_VALUE"""),2.04)</f>
        <v>2.04</v>
      </c>
      <c r="D537" s="7">
        <v>3.8454327E7</v>
      </c>
      <c r="E537" s="8">
        <v>7.844682708E7</v>
      </c>
    </row>
    <row r="538">
      <c r="A538" s="7" t="str">
        <f>IFERROR(__xludf.DUMMYFUNCTION("""COMPUTED_VALUE"""),"Armenia")</f>
        <v>Armenia</v>
      </c>
      <c r="B538" s="7" t="str">
        <f>IFERROR(__xludf.DUMMYFUNCTION("""COMPUTED_VALUE"""),"Goodwin and Sons")</f>
        <v>Goodwin and Sons</v>
      </c>
      <c r="C538" s="8">
        <f>IFERROR(__xludf.DUMMYFUNCTION("""COMPUTED_VALUE"""),1.2)</f>
        <v>1.2</v>
      </c>
      <c r="D538" s="7">
        <v>2780469.0</v>
      </c>
      <c r="E538" s="8">
        <v>3336562.8</v>
      </c>
    </row>
    <row r="539">
      <c r="A539" s="7" t="str">
        <f>IFERROR(__xludf.DUMMYFUNCTION("""COMPUTED_VALUE"""),"Poland")</f>
        <v>Poland</v>
      </c>
      <c r="B539" s="7" t="str">
        <f>IFERROR(__xludf.DUMMYFUNCTION("""COMPUTED_VALUE"""),"Stiedemann, Torphy and Jacobs")</f>
        <v>Stiedemann, Torphy and Jacobs</v>
      </c>
      <c r="C539" s="8">
        <f>IFERROR(__xludf.DUMMYFUNCTION("""COMPUTED_VALUE"""),1.06)</f>
        <v>1.06</v>
      </c>
      <c r="D539" s="7">
        <v>3.9857145E7</v>
      </c>
      <c r="E539" s="8">
        <v>4.22485737E7</v>
      </c>
    </row>
    <row r="540">
      <c r="A540" s="7" t="str">
        <f>IFERROR(__xludf.DUMMYFUNCTION("""COMPUTED_VALUE"""),"Colombia")</f>
        <v>Colombia</v>
      </c>
      <c r="B540" s="7" t="str">
        <f>IFERROR(__xludf.DUMMYFUNCTION("""COMPUTED_VALUE"""),"Smith-Stamm")</f>
        <v>Smith-Stamm</v>
      </c>
      <c r="C540" s="8">
        <f>IFERROR(__xludf.DUMMYFUNCTION("""COMPUTED_VALUE"""),1.85)</f>
        <v>1.85</v>
      </c>
      <c r="D540" s="7">
        <v>5.1874024E7</v>
      </c>
      <c r="E540" s="8">
        <v>9.59669444E7</v>
      </c>
    </row>
    <row r="541">
      <c r="A541" s="7" t="str">
        <f>IFERROR(__xludf.DUMMYFUNCTION("""COMPUTED_VALUE"""),"Russia")</f>
        <v>Russia</v>
      </c>
      <c r="B541" s="7" t="str">
        <f>IFERROR(__xludf.DUMMYFUNCTION("""COMPUTED_VALUE"""),"Wunsch, Fahey and Lueilwitz")</f>
        <v>Wunsch, Fahey and Lueilwitz</v>
      </c>
      <c r="C541" s="8">
        <f>IFERROR(__xludf.DUMMYFUNCTION("""COMPUTED_VALUE"""),1.47)</f>
        <v>1.47</v>
      </c>
      <c r="D541" s="7">
        <v>1.44713314E8</v>
      </c>
      <c r="E541" s="8">
        <v>2.1272857157999998E8</v>
      </c>
    </row>
    <row r="542">
      <c r="A542" s="7" t="str">
        <f>IFERROR(__xludf.DUMMYFUNCTION("""COMPUTED_VALUE"""),"Russia")</f>
        <v>Russia</v>
      </c>
      <c r="B542" s="7" t="str">
        <f>IFERROR(__xludf.DUMMYFUNCTION("""COMPUTED_VALUE"""),"Tromp and Sons")</f>
        <v>Tromp and Sons</v>
      </c>
      <c r="C542" s="8">
        <f>IFERROR(__xludf.DUMMYFUNCTION("""COMPUTED_VALUE"""),1.33)</f>
        <v>1.33</v>
      </c>
      <c r="D542" s="7">
        <v>1.44713314E8</v>
      </c>
      <c r="E542" s="8">
        <v>1.9246870762E8</v>
      </c>
    </row>
    <row r="543">
      <c r="A543" s="7" t="str">
        <f>IFERROR(__xludf.DUMMYFUNCTION("""COMPUTED_VALUE"""),"Tanzania")</f>
        <v>Tanzania</v>
      </c>
      <c r="B543" s="7" t="str">
        <f>IFERROR(__xludf.DUMMYFUNCTION("""COMPUTED_VALUE"""),"Howe, DuBuque and Hermann")</f>
        <v>Howe, DuBuque and Hermann</v>
      </c>
      <c r="C543" s="8">
        <f>IFERROR(__xludf.DUMMYFUNCTION("""COMPUTED_VALUE"""),1.26)</f>
        <v>1.26</v>
      </c>
      <c r="D543" s="7">
        <v>6.5497748E7</v>
      </c>
      <c r="E543" s="8">
        <v>8.252716248E7</v>
      </c>
    </row>
    <row r="544">
      <c r="A544" s="7" t="str">
        <f>IFERROR(__xludf.DUMMYFUNCTION("""COMPUTED_VALUE"""),"Vietnam")</f>
        <v>Vietnam</v>
      </c>
      <c r="B544" s="7" t="str">
        <f>IFERROR(__xludf.DUMMYFUNCTION("""COMPUTED_VALUE"""),"Gerlach Inc")</f>
        <v>Gerlach Inc</v>
      </c>
      <c r="C544" s="8">
        <f>IFERROR(__xludf.DUMMYFUNCTION("""COMPUTED_VALUE"""),1.06)</f>
        <v>1.06</v>
      </c>
      <c r="D544" s="7">
        <v>9.8186856E7</v>
      </c>
      <c r="E544" s="8">
        <v>1.0407806736E8</v>
      </c>
    </row>
    <row r="545">
      <c r="A545" s="7" t="str">
        <f>IFERROR(__xludf.DUMMYFUNCTION("""COMPUTED_VALUE"""),"Indonesia")</f>
        <v>Indonesia</v>
      </c>
      <c r="B545" s="7" t="str">
        <f>IFERROR(__xludf.DUMMYFUNCTION("""COMPUTED_VALUE"""),"Jerde, Reinger and Nitzsche")</f>
        <v>Jerde, Reinger and Nitzsche</v>
      </c>
      <c r="C545" s="8">
        <f>IFERROR(__xludf.DUMMYFUNCTION("""COMPUTED_VALUE"""),1.19)</f>
        <v>1.19</v>
      </c>
      <c r="D545" s="7">
        <v>2.75501339E8</v>
      </c>
      <c r="E545" s="8">
        <v>3.2784659340999997E8</v>
      </c>
    </row>
    <row r="546">
      <c r="A546" s="7" t="str">
        <f>IFERROR(__xludf.DUMMYFUNCTION("""COMPUTED_VALUE"""),"Indonesia")</f>
        <v>Indonesia</v>
      </c>
      <c r="B546" s="7" t="str">
        <f>IFERROR(__xludf.DUMMYFUNCTION("""COMPUTED_VALUE"""),"Douglas-Gibson")</f>
        <v>Douglas-Gibson</v>
      </c>
      <c r="C546" s="8">
        <f>IFERROR(__xludf.DUMMYFUNCTION("""COMPUTED_VALUE"""),1.53)</f>
        <v>1.53</v>
      </c>
      <c r="D546" s="7">
        <v>2.75501339E8</v>
      </c>
      <c r="E546" s="8">
        <v>4.2151704867E8</v>
      </c>
    </row>
    <row r="547">
      <c r="A547" s="7" t="str">
        <f>IFERROR(__xludf.DUMMYFUNCTION("""COMPUTED_VALUE"""),"China")</f>
        <v>China</v>
      </c>
      <c r="B547" s="7" t="str">
        <f>IFERROR(__xludf.DUMMYFUNCTION("""COMPUTED_VALUE"""),"Huels, Nienow and Goldner")</f>
        <v>Huels, Nienow and Goldner</v>
      </c>
      <c r="C547" s="8">
        <f>IFERROR(__xludf.DUMMYFUNCTION("""COMPUTED_VALUE"""),1.44)</f>
        <v>1.44</v>
      </c>
      <c r="D547" s="7">
        <v>1.425887337E9</v>
      </c>
      <c r="E547" s="8">
        <v>2.05327776528E9</v>
      </c>
    </row>
    <row r="548">
      <c r="A548" s="7" t="str">
        <f>IFERROR(__xludf.DUMMYFUNCTION("""COMPUTED_VALUE"""),"Japan")</f>
        <v>Japan</v>
      </c>
      <c r="B548" s="7" t="str">
        <f>IFERROR(__xludf.DUMMYFUNCTION("""COMPUTED_VALUE"""),"Marquardt-Bogisich")</f>
        <v>Marquardt-Bogisich</v>
      </c>
      <c r="C548" s="8">
        <f>IFERROR(__xludf.DUMMYFUNCTION("""COMPUTED_VALUE"""),0.86)</f>
        <v>0.86</v>
      </c>
      <c r="D548" s="7">
        <v>1.23951692E8</v>
      </c>
      <c r="E548" s="8">
        <v>1.0659845512E8</v>
      </c>
    </row>
    <row r="549">
      <c r="A549" s="7" t="str">
        <f>IFERROR(__xludf.DUMMYFUNCTION("""COMPUTED_VALUE"""),"Portugal")</f>
        <v>Portugal</v>
      </c>
      <c r="B549" s="7" t="str">
        <f>IFERROR(__xludf.DUMMYFUNCTION("""COMPUTED_VALUE"""),"Hudson, Quitzon and Veum")</f>
        <v>Hudson, Quitzon and Veum</v>
      </c>
      <c r="C549" s="8">
        <f>IFERROR(__xludf.DUMMYFUNCTION("""COMPUTED_VALUE"""),1.42)</f>
        <v>1.42</v>
      </c>
      <c r="D549" s="7">
        <v>1.0270865E7</v>
      </c>
      <c r="E549" s="8">
        <v>1.4584628299999999E7</v>
      </c>
    </row>
    <row r="550">
      <c r="A550" s="7" t="str">
        <f>IFERROR(__xludf.DUMMYFUNCTION("""COMPUTED_VALUE"""),"Russia")</f>
        <v>Russia</v>
      </c>
      <c r="B550" s="7" t="str">
        <f>IFERROR(__xludf.DUMMYFUNCTION("""COMPUTED_VALUE"""),"Hackett and Sons")</f>
        <v>Hackett and Sons</v>
      </c>
      <c r="C550" s="8">
        <f>IFERROR(__xludf.DUMMYFUNCTION("""COMPUTED_VALUE"""),1.24)</f>
        <v>1.24</v>
      </c>
      <c r="D550" s="7">
        <v>1.44713314E8</v>
      </c>
      <c r="E550" s="8">
        <v>1.7944450935999998E8</v>
      </c>
    </row>
    <row r="551">
      <c r="A551" s="7" t="str">
        <f>IFERROR(__xludf.DUMMYFUNCTION("""COMPUTED_VALUE"""),"Luxembourg")</f>
        <v>Luxembourg</v>
      </c>
      <c r="B551" s="7" t="str">
        <f>IFERROR(__xludf.DUMMYFUNCTION("""COMPUTED_VALUE"""),"Senger, Douglas and Kovacek")</f>
        <v>Senger, Douglas and Kovacek</v>
      </c>
      <c r="C551" s="8">
        <f>IFERROR(__xludf.DUMMYFUNCTION("""COMPUTED_VALUE"""),1.6)</f>
        <v>1.6</v>
      </c>
      <c r="D551" s="7">
        <v>647599.0</v>
      </c>
      <c r="E551" s="8">
        <v>1036158.4</v>
      </c>
    </row>
    <row r="552">
      <c r="A552" s="7" t="str">
        <f>IFERROR(__xludf.DUMMYFUNCTION("""COMPUTED_VALUE"""),"Russia")</f>
        <v>Russia</v>
      </c>
      <c r="B552" s="7" t="str">
        <f>IFERROR(__xludf.DUMMYFUNCTION("""COMPUTED_VALUE"""),"Klocko Inc")</f>
        <v>Klocko Inc</v>
      </c>
      <c r="C552" s="8">
        <f>IFERROR(__xludf.DUMMYFUNCTION("""COMPUTED_VALUE"""),0.85)</f>
        <v>0.85</v>
      </c>
      <c r="D552" s="7">
        <v>1.44713314E8</v>
      </c>
      <c r="E552" s="8">
        <v>1.2300631689999999E8</v>
      </c>
    </row>
    <row r="553">
      <c r="A553" s="7" t="str">
        <f>IFERROR(__xludf.DUMMYFUNCTION("""COMPUTED_VALUE"""),"Indonesia")</f>
        <v>Indonesia</v>
      </c>
      <c r="B553" s="7" t="str">
        <f>IFERROR(__xludf.DUMMYFUNCTION("""COMPUTED_VALUE"""),"Purdy and Sons")</f>
        <v>Purdy and Sons</v>
      </c>
      <c r="C553" s="8">
        <f>IFERROR(__xludf.DUMMYFUNCTION("""COMPUTED_VALUE"""),1.21)</f>
        <v>1.21</v>
      </c>
      <c r="D553" s="7">
        <v>2.75501339E8</v>
      </c>
      <c r="E553" s="8">
        <v>3.3335662019E8</v>
      </c>
    </row>
    <row r="554">
      <c r="A554" s="7" t="str">
        <f>IFERROR(__xludf.DUMMYFUNCTION("""COMPUTED_VALUE"""),"United States")</f>
        <v>United States</v>
      </c>
      <c r="B554" s="7" t="str">
        <f>IFERROR(__xludf.DUMMYFUNCTION("""COMPUTED_VALUE"""),"Hilpert, Pouros and Champlin")</f>
        <v>Hilpert, Pouros and Champlin</v>
      </c>
      <c r="C554" s="8">
        <f>IFERROR(__xludf.DUMMYFUNCTION("""COMPUTED_VALUE"""),1.39)</f>
        <v>1.39</v>
      </c>
      <c r="D554" s="7">
        <v>3.38289857E8</v>
      </c>
      <c r="E554" s="8">
        <v>4.7022290122999996E8</v>
      </c>
    </row>
    <row r="555">
      <c r="A555" s="7" t="str">
        <f>IFERROR(__xludf.DUMMYFUNCTION("""COMPUTED_VALUE"""),"China")</f>
        <v>China</v>
      </c>
      <c r="B555" s="7" t="str">
        <f>IFERROR(__xludf.DUMMYFUNCTION("""COMPUTED_VALUE"""),"Balistreri, Padberg and Corkery")</f>
        <v>Balistreri, Padberg and Corkery</v>
      </c>
      <c r="C555" s="8">
        <f>IFERROR(__xludf.DUMMYFUNCTION("""COMPUTED_VALUE"""),0.93)</f>
        <v>0.93</v>
      </c>
      <c r="D555" s="7">
        <v>1.425887337E9</v>
      </c>
      <c r="E555" s="8">
        <v>1.32607522341E9</v>
      </c>
    </row>
    <row r="556">
      <c r="A556" s="7" t="str">
        <f>IFERROR(__xludf.DUMMYFUNCTION("""COMPUTED_VALUE"""),"Bosnia and Herzegovina")</f>
        <v>Bosnia and Herzegovina</v>
      </c>
      <c r="B556" s="7" t="str">
        <f>IFERROR(__xludf.DUMMYFUNCTION("""COMPUTED_VALUE"""),"Connelly, Parker and Corwin")</f>
        <v>Connelly, Parker and Corwin</v>
      </c>
      <c r="C556" s="8">
        <f>IFERROR(__xludf.DUMMYFUNCTION("""COMPUTED_VALUE"""),1.45)</f>
        <v>1.45</v>
      </c>
      <c r="D556" s="7">
        <v>3233526.0</v>
      </c>
      <c r="E556" s="8">
        <v>4688612.7</v>
      </c>
    </row>
    <row r="557">
      <c r="A557" s="7" t="str">
        <f>IFERROR(__xludf.DUMMYFUNCTION("""COMPUTED_VALUE"""),"China")</f>
        <v>China</v>
      </c>
      <c r="B557" s="7" t="str">
        <f>IFERROR(__xludf.DUMMYFUNCTION("""COMPUTED_VALUE"""),"Stanton, Fisher and Donnelly")</f>
        <v>Stanton, Fisher and Donnelly</v>
      </c>
      <c r="C557" s="8">
        <f>IFERROR(__xludf.DUMMYFUNCTION("""COMPUTED_VALUE"""),1.55)</f>
        <v>1.55</v>
      </c>
      <c r="D557" s="7">
        <v>1.425887337E9</v>
      </c>
      <c r="E557" s="8">
        <v>2.21012537235E9</v>
      </c>
    </row>
    <row r="558">
      <c r="A558" s="7" t="str">
        <f>IFERROR(__xludf.DUMMYFUNCTION("""COMPUTED_VALUE"""),"Belarus")</f>
        <v>Belarus</v>
      </c>
      <c r="B558" s="7" t="str">
        <f>IFERROR(__xludf.DUMMYFUNCTION("""COMPUTED_VALUE"""),"Smitham, Rice and Muller")</f>
        <v>Smitham, Rice and Muller</v>
      </c>
      <c r="C558" s="8">
        <f>IFERROR(__xludf.DUMMYFUNCTION("""COMPUTED_VALUE"""),2.24)</f>
        <v>2.24</v>
      </c>
      <c r="D558" s="7">
        <v>9534954.0</v>
      </c>
      <c r="E558" s="8">
        <v>2.135829696E7</v>
      </c>
    </row>
    <row r="559">
      <c r="A559" s="7" t="str">
        <f>IFERROR(__xludf.DUMMYFUNCTION("""COMPUTED_VALUE"""),"Indonesia")</f>
        <v>Indonesia</v>
      </c>
      <c r="B559" s="7" t="str">
        <f>IFERROR(__xludf.DUMMYFUNCTION("""COMPUTED_VALUE"""),"Donnelly, Bergnaum and Pagac")</f>
        <v>Donnelly, Bergnaum and Pagac</v>
      </c>
      <c r="C559" s="8">
        <f>IFERROR(__xludf.DUMMYFUNCTION("""COMPUTED_VALUE"""),1.23)</f>
        <v>1.23</v>
      </c>
      <c r="D559" s="7">
        <v>2.75501339E8</v>
      </c>
      <c r="E559" s="8">
        <v>3.3886664696999997E8</v>
      </c>
    </row>
    <row r="560">
      <c r="A560" s="7" t="str">
        <f>IFERROR(__xludf.DUMMYFUNCTION("""COMPUTED_VALUE"""),"Argentina")</f>
        <v>Argentina</v>
      </c>
      <c r="B560" s="7" t="str">
        <f>IFERROR(__xludf.DUMMYFUNCTION("""COMPUTED_VALUE"""),"Krajcik Inc")</f>
        <v>Krajcik Inc</v>
      </c>
      <c r="C560" s="8">
        <f>IFERROR(__xludf.DUMMYFUNCTION("""COMPUTED_VALUE"""),1.22)</f>
        <v>1.22</v>
      </c>
      <c r="D560" s="7">
        <v>4.5510318E7</v>
      </c>
      <c r="E560" s="8">
        <v>5.552258796E7</v>
      </c>
    </row>
    <row r="561">
      <c r="A561" s="7" t="str">
        <f>IFERROR(__xludf.DUMMYFUNCTION("""COMPUTED_VALUE"""),"Sweden")</f>
        <v>Sweden</v>
      </c>
      <c r="B561" s="7" t="str">
        <f>IFERROR(__xludf.DUMMYFUNCTION("""COMPUTED_VALUE"""),"Kulas-Reichel")</f>
        <v>Kulas-Reichel</v>
      </c>
      <c r="C561" s="8">
        <f>IFERROR(__xludf.DUMMYFUNCTION("""COMPUTED_VALUE"""),1.46)</f>
        <v>1.46</v>
      </c>
      <c r="D561" s="7">
        <v>1.0549347E7</v>
      </c>
      <c r="E561" s="8">
        <v>1.540204662E7</v>
      </c>
    </row>
    <row r="562">
      <c r="A562" s="7" t="str">
        <f>IFERROR(__xludf.DUMMYFUNCTION("""COMPUTED_VALUE"""),"Mongolia")</f>
        <v>Mongolia</v>
      </c>
      <c r="B562" s="7" t="str">
        <f>IFERROR(__xludf.DUMMYFUNCTION("""COMPUTED_VALUE"""),"Rosenbaum-Barton")</f>
        <v>Rosenbaum-Barton</v>
      </c>
      <c r="C562" s="8">
        <f>IFERROR(__xludf.DUMMYFUNCTION("""COMPUTED_VALUE"""),1.81)</f>
        <v>1.81</v>
      </c>
      <c r="D562" s="7">
        <v>3398366.0</v>
      </c>
      <c r="E562" s="8">
        <v>6151042.46</v>
      </c>
    </row>
    <row r="563">
      <c r="A563" s="7" t="str">
        <f>IFERROR(__xludf.DUMMYFUNCTION("""COMPUTED_VALUE"""),"Portugal")</f>
        <v>Portugal</v>
      </c>
      <c r="B563" s="7" t="str">
        <f>IFERROR(__xludf.DUMMYFUNCTION("""COMPUTED_VALUE"""),"Rippin LLC")</f>
        <v>Rippin LLC</v>
      </c>
      <c r="C563" s="8">
        <f>IFERROR(__xludf.DUMMYFUNCTION("""COMPUTED_VALUE"""),1.51)</f>
        <v>1.51</v>
      </c>
      <c r="D563" s="7">
        <v>1.0270865E7</v>
      </c>
      <c r="E563" s="8">
        <v>1.550900615E7</v>
      </c>
    </row>
    <row r="564">
      <c r="A564" s="7" t="str">
        <f>IFERROR(__xludf.DUMMYFUNCTION("""COMPUTED_VALUE"""),"Serbia")</f>
        <v>Serbia</v>
      </c>
      <c r="B564" s="7" t="str">
        <f>IFERROR(__xludf.DUMMYFUNCTION("""COMPUTED_VALUE"""),"Hirthe Group")</f>
        <v>Hirthe Group</v>
      </c>
      <c r="C564" s="8">
        <f>IFERROR(__xludf.DUMMYFUNCTION("""COMPUTED_VALUE"""),1.61)</f>
        <v>1.61</v>
      </c>
      <c r="D564" s="7">
        <v>7221365.0</v>
      </c>
      <c r="E564" s="8">
        <v>1.162639765E7</v>
      </c>
    </row>
    <row r="565">
      <c r="A565" s="7" t="str">
        <f>IFERROR(__xludf.DUMMYFUNCTION("""COMPUTED_VALUE"""),"Gambia")</f>
        <v>Gambia</v>
      </c>
      <c r="B565" s="7" t="str">
        <f>IFERROR(__xludf.DUMMYFUNCTION("""COMPUTED_VALUE"""),"Greenfelder-Dickens")</f>
        <v>Greenfelder-Dickens</v>
      </c>
      <c r="C565" s="8">
        <f>IFERROR(__xludf.DUMMYFUNCTION("""COMPUTED_VALUE"""),1.62)</f>
        <v>1.62</v>
      </c>
      <c r="D565" s="7">
        <v>2705992.0</v>
      </c>
      <c r="E565" s="8">
        <v>4383707.04</v>
      </c>
    </row>
    <row r="566">
      <c r="A566" s="7" t="str">
        <f>IFERROR(__xludf.DUMMYFUNCTION("""COMPUTED_VALUE"""),"Indonesia")</f>
        <v>Indonesia</v>
      </c>
      <c r="B566" s="7" t="str">
        <f>IFERROR(__xludf.DUMMYFUNCTION("""COMPUTED_VALUE"""),"DuBuque and Sons")</f>
        <v>DuBuque and Sons</v>
      </c>
      <c r="C566" s="8">
        <f>IFERROR(__xludf.DUMMYFUNCTION("""COMPUTED_VALUE"""),0.93)</f>
        <v>0.93</v>
      </c>
      <c r="D566" s="7">
        <v>2.75501339E8</v>
      </c>
      <c r="E566" s="8">
        <v>2.5621624527E8</v>
      </c>
    </row>
    <row r="567">
      <c r="A567" s="7" t="str">
        <f>IFERROR(__xludf.DUMMYFUNCTION("""COMPUTED_VALUE"""),"United States")</f>
        <v>United States</v>
      </c>
      <c r="B567" s="7" t="str">
        <f>IFERROR(__xludf.DUMMYFUNCTION("""COMPUTED_VALUE"""),"Lemke Inc")</f>
        <v>Lemke Inc</v>
      </c>
      <c r="C567" s="8">
        <f>IFERROR(__xludf.DUMMYFUNCTION("""COMPUTED_VALUE"""),1.75)</f>
        <v>1.75</v>
      </c>
      <c r="D567" s="7">
        <v>3.38289857E8</v>
      </c>
      <c r="E567" s="8">
        <v>5.9200724975E8</v>
      </c>
    </row>
    <row r="568">
      <c r="A568" s="7" t="str">
        <f>IFERROR(__xludf.DUMMYFUNCTION("""COMPUTED_VALUE"""),"China")</f>
        <v>China</v>
      </c>
      <c r="B568" s="7" t="str">
        <f>IFERROR(__xludf.DUMMYFUNCTION("""COMPUTED_VALUE"""),"Blanda LLC")</f>
        <v>Blanda LLC</v>
      </c>
      <c r="C568" s="8">
        <f>IFERROR(__xludf.DUMMYFUNCTION("""COMPUTED_VALUE"""),1.3)</f>
        <v>1.3</v>
      </c>
      <c r="D568" s="7">
        <v>1.425887337E9</v>
      </c>
      <c r="E568" s="8">
        <v>1.8536535381000001E9</v>
      </c>
    </row>
    <row r="569">
      <c r="A569" s="7" t="str">
        <f>IFERROR(__xludf.DUMMYFUNCTION("""COMPUTED_VALUE"""),"Indonesia")</f>
        <v>Indonesia</v>
      </c>
      <c r="B569" s="7" t="str">
        <f>IFERROR(__xludf.DUMMYFUNCTION("""COMPUTED_VALUE"""),"Kirlin Inc")</f>
        <v>Kirlin Inc</v>
      </c>
      <c r="C569" s="8">
        <f>IFERROR(__xludf.DUMMYFUNCTION("""COMPUTED_VALUE"""),0.98)</f>
        <v>0.98</v>
      </c>
      <c r="D569" s="7">
        <v>2.75501339E8</v>
      </c>
      <c r="E569" s="8">
        <v>2.6999131221999997E8</v>
      </c>
    </row>
    <row r="570">
      <c r="A570" s="7" t="str">
        <f>IFERROR(__xludf.DUMMYFUNCTION("""COMPUTED_VALUE"""),"China")</f>
        <v>China</v>
      </c>
      <c r="B570" s="7" t="str">
        <f>IFERROR(__xludf.DUMMYFUNCTION("""COMPUTED_VALUE"""),"Stracke-Spinka")</f>
        <v>Stracke-Spinka</v>
      </c>
      <c r="C570" s="8">
        <f>IFERROR(__xludf.DUMMYFUNCTION("""COMPUTED_VALUE"""),1.64)</f>
        <v>1.64</v>
      </c>
      <c r="D570" s="7">
        <v>1.425887337E9</v>
      </c>
      <c r="E570" s="8">
        <v>2.33845523268E9</v>
      </c>
    </row>
    <row r="571">
      <c r="A571" s="7" t="str">
        <f>IFERROR(__xludf.DUMMYFUNCTION("""COMPUTED_VALUE"""),"Japan")</f>
        <v>Japan</v>
      </c>
      <c r="B571" s="7" t="str">
        <f>IFERROR(__xludf.DUMMYFUNCTION("""COMPUTED_VALUE"""),"Weissnat, Hills and Prohaska")</f>
        <v>Weissnat, Hills and Prohaska</v>
      </c>
      <c r="C571" s="8">
        <f>IFERROR(__xludf.DUMMYFUNCTION("""COMPUTED_VALUE"""),2.08)</f>
        <v>2.08</v>
      </c>
      <c r="D571" s="7">
        <v>1.23951692E8</v>
      </c>
      <c r="E571" s="8">
        <v>2.5781951936E8</v>
      </c>
    </row>
    <row r="572">
      <c r="A572" s="7" t="str">
        <f>IFERROR(__xludf.DUMMYFUNCTION("""COMPUTED_VALUE"""),"Sweden")</f>
        <v>Sweden</v>
      </c>
      <c r="B572" s="7" t="str">
        <f>IFERROR(__xludf.DUMMYFUNCTION("""COMPUTED_VALUE"""),"Kerluke Group")</f>
        <v>Kerluke Group</v>
      </c>
      <c r="C572" s="8">
        <f>IFERROR(__xludf.DUMMYFUNCTION("""COMPUTED_VALUE"""),2.19)</f>
        <v>2.19</v>
      </c>
      <c r="D572" s="7">
        <v>1.0549347E7</v>
      </c>
      <c r="E572" s="8">
        <v>2.310306993E7</v>
      </c>
    </row>
    <row r="573">
      <c r="A573" s="7" t="str">
        <f>IFERROR(__xludf.DUMMYFUNCTION("""COMPUTED_VALUE"""),"China")</f>
        <v>China</v>
      </c>
      <c r="B573" s="7" t="str">
        <f>IFERROR(__xludf.DUMMYFUNCTION("""COMPUTED_VALUE"""),"Douglas-Hammes")</f>
        <v>Douglas-Hammes</v>
      </c>
      <c r="C573" s="8">
        <f>IFERROR(__xludf.DUMMYFUNCTION("""COMPUTED_VALUE"""),1.18)</f>
        <v>1.18</v>
      </c>
      <c r="D573" s="7">
        <v>1.425887337E9</v>
      </c>
      <c r="E573" s="8">
        <v>1.6825470576599998E9</v>
      </c>
    </row>
    <row r="574">
      <c r="A574" s="7" t="str">
        <f>IFERROR(__xludf.DUMMYFUNCTION("""COMPUTED_VALUE"""),"Bangladesh")</f>
        <v>Bangladesh</v>
      </c>
      <c r="B574" s="7" t="str">
        <f>IFERROR(__xludf.DUMMYFUNCTION("""COMPUTED_VALUE"""),"Fritsch LLC")</f>
        <v>Fritsch LLC</v>
      </c>
      <c r="C574" s="8">
        <f>IFERROR(__xludf.DUMMYFUNCTION("""COMPUTED_VALUE"""),2.11)</f>
        <v>2.11</v>
      </c>
      <c r="D574" s="7">
        <v>1.71186372E8</v>
      </c>
      <c r="E574" s="8">
        <v>3.6120324491999996E8</v>
      </c>
    </row>
    <row r="575">
      <c r="A575" s="7" t="str">
        <f>IFERROR(__xludf.DUMMYFUNCTION("""COMPUTED_VALUE"""),"Greece")</f>
        <v>Greece</v>
      </c>
      <c r="B575" s="7" t="str">
        <f>IFERROR(__xludf.DUMMYFUNCTION("""COMPUTED_VALUE"""),"Welch-Hansen")</f>
        <v>Welch-Hansen</v>
      </c>
      <c r="C575" s="8">
        <f>IFERROR(__xludf.DUMMYFUNCTION("""COMPUTED_VALUE"""),1.69)</f>
        <v>1.69</v>
      </c>
      <c r="D575" s="7">
        <v>1.0384971E7</v>
      </c>
      <c r="E575" s="8">
        <v>1.755060099E7</v>
      </c>
    </row>
    <row r="576">
      <c r="A576" s="7" t="str">
        <f>IFERROR(__xludf.DUMMYFUNCTION("""COMPUTED_VALUE"""),"China")</f>
        <v>China</v>
      </c>
      <c r="B576" s="7" t="str">
        <f>IFERROR(__xludf.DUMMYFUNCTION("""COMPUTED_VALUE"""),"Purdy-Metz")</f>
        <v>Purdy-Metz</v>
      </c>
      <c r="C576" s="8">
        <f>IFERROR(__xludf.DUMMYFUNCTION("""COMPUTED_VALUE"""),1.27)</f>
        <v>1.27</v>
      </c>
      <c r="D576" s="7">
        <v>1.425887337E9</v>
      </c>
      <c r="E576" s="8">
        <v>1.81087691799E9</v>
      </c>
    </row>
    <row r="577">
      <c r="A577" s="7" t="str">
        <f>IFERROR(__xludf.DUMMYFUNCTION("""COMPUTED_VALUE"""),"Vietnam")</f>
        <v>Vietnam</v>
      </c>
      <c r="B577" s="7" t="str">
        <f>IFERROR(__xludf.DUMMYFUNCTION("""COMPUTED_VALUE"""),"Kshlerin, Effertz and Predovic")</f>
        <v>Kshlerin, Effertz and Predovic</v>
      </c>
      <c r="C577" s="8">
        <f>IFERROR(__xludf.DUMMYFUNCTION("""COMPUTED_VALUE"""),2.24)</f>
        <v>2.24</v>
      </c>
      <c r="D577" s="7">
        <v>9.8186856E7</v>
      </c>
      <c r="E577" s="8">
        <v>2.1993855744000003E8</v>
      </c>
    </row>
    <row r="578">
      <c r="A578" s="7" t="str">
        <f>IFERROR(__xludf.DUMMYFUNCTION("""COMPUTED_VALUE"""),"France")</f>
        <v>France</v>
      </c>
      <c r="B578" s="7" t="str">
        <f>IFERROR(__xludf.DUMMYFUNCTION("""COMPUTED_VALUE"""),"Graham, Dietrich and Mayert")</f>
        <v>Graham, Dietrich and Mayert</v>
      </c>
      <c r="C578" s="8">
        <f>IFERROR(__xludf.DUMMYFUNCTION("""COMPUTED_VALUE"""),1.8)</f>
        <v>1.8</v>
      </c>
      <c r="D578" s="7">
        <v>6.4626628E7</v>
      </c>
      <c r="E578" s="8">
        <v>1.163279304E8</v>
      </c>
    </row>
    <row r="579">
      <c r="A579" s="7" t="str">
        <f>IFERROR(__xludf.DUMMYFUNCTION("""COMPUTED_VALUE"""),"Pakistan")</f>
        <v>Pakistan</v>
      </c>
      <c r="B579" s="7" t="str">
        <f>IFERROR(__xludf.DUMMYFUNCTION("""COMPUTED_VALUE"""),"Lesch, Cremin and Russel")</f>
        <v>Lesch, Cremin and Russel</v>
      </c>
      <c r="C579" s="8">
        <f>IFERROR(__xludf.DUMMYFUNCTION("""COMPUTED_VALUE"""),0.97)</f>
        <v>0.97</v>
      </c>
      <c r="D579" s="7">
        <v>2.35824862E8</v>
      </c>
      <c r="E579" s="8">
        <v>2.2875011614E8</v>
      </c>
    </row>
    <row r="580">
      <c r="A580" s="7" t="str">
        <f>IFERROR(__xludf.DUMMYFUNCTION("""COMPUTED_VALUE"""),"Brazil")</f>
        <v>Brazil</v>
      </c>
      <c r="B580" s="7" t="str">
        <f>IFERROR(__xludf.DUMMYFUNCTION("""COMPUTED_VALUE"""),"Maggio, Zulauf and Kirlin")</f>
        <v>Maggio, Zulauf and Kirlin</v>
      </c>
      <c r="C580" s="8">
        <f>IFERROR(__xludf.DUMMYFUNCTION("""COMPUTED_VALUE"""),2.01)</f>
        <v>2.01</v>
      </c>
      <c r="D580" s="7">
        <v>2.15313498E8</v>
      </c>
      <c r="E580" s="8">
        <v>4.3278013097999996E8</v>
      </c>
    </row>
    <row r="581">
      <c r="A581" s="7" t="str">
        <f>IFERROR(__xludf.DUMMYFUNCTION("""COMPUTED_VALUE"""),"China")</f>
        <v>China</v>
      </c>
      <c r="B581" s="7" t="str">
        <f>IFERROR(__xludf.DUMMYFUNCTION("""COMPUTED_VALUE"""),"Parker-Gutkowski")</f>
        <v>Parker-Gutkowski</v>
      </c>
      <c r="C581" s="8">
        <f>IFERROR(__xludf.DUMMYFUNCTION("""COMPUTED_VALUE"""),1.04)</f>
        <v>1.04</v>
      </c>
      <c r="D581" s="7">
        <v>1.425887337E9</v>
      </c>
      <c r="E581" s="8">
        <v>1.48292283048E9</v>
      </c>
    </row>
    <row r="582">
      <c r="A582" s="7" t="str">
        <f>IFERROR(__xludf.DUMMYFUNCTION("""COMPUTED_VALUE"""),"Indonesia")</f>
        <v>Indonesia</v>
      </c>
      <c r="B582" s="7" t="str">
        <f>IFERROR(__xludf.DUMMYFUNCTION("""COMPUTED_VALUE"""),"Ullrich, Abbott and Hodkiewicz")</f>
        <v>Ullrich, Abbott and Hodkiewicz</v>
      </c>
      <c r="C582" s="8">
        <f>IFERROR(__xludf.DUMMYFUNCTION("""COMPUTED_VALUE"""),1.35)</f>
        <v>1.35</v>
      </c>
      <c r="D582" s="7">
        <v>2.75501339E8</v>
      </c>
      <c r="E582" s="8">
        <v>3.7192680765000004E8</v>
      </c>
    </row>
    <row r="583">
      <c r="A583" s="7" t="str">
        <f>IFERROR(__xludf.DUMMYFUNCTION("""COMPUTED_VALUE"""),"Nigeria")</f>
        <v>Nigeria</v>
      </c>
      <c r="B583" s="7" t="str">
        <f>IFERROR(__xludf.DUMMYFUNCTION("""COMPUTED_VALUE"""),"Green-Thiel")</f>
        <v>Green-Thiel</v>
      </c>
      <c r="C583" s="8">
        <f>IFERROR(__xludf.DUMMYFUNCTION("""COMPUTED_VALUE"""),0.93)</f>
        <v>0.93</v>
      </c>
      <c r="D583" s="7">
        <v>2.18541212E8</v>
      </c>
      <c r="E583" s="8">
        <v>2.0324332716E8</v>
      </c>
    </row>
    <row r="584">
      <c r="A584" s="7" t="str">
        <f>IFERROR(__xludf.DUMMYFUNCTION("""COMPUTED_VALUE"""),"China")</f>
        <v>China</v>
      </c>
      <c r="B584" s="7" t="str">
        <f>IFERROR(__xludf.DUMMYFUNCTION("""COMPUTED_VALUE"""),"Yost Group")</f>
        <v>Yost Group</v>
      </c>
      <c r="C584" s="8">
        <f>IFERROR(__xludf.DUMMYFUNCTION("""COMPUTED_VALUE"""),1.37)</f>
        <v>1.37</v>
      </c>
      <c r="D584" s="7">
        <v>1.425887337E9</v>
      </c>
      <c r="E584" s="8">
        <v>1.95346565169E9</v>
      </c>
    </row>
    <row r="585">
      <c r="A585" s="7" t="str">
        <f>IFERROR(__xludf.DUMMYFUNCTION("""COMPUTED_VALUE"""),"Indonesia")</f>
        <v>Indonesia</v>
      </c>
      <c r="B585" s="7" t="str">
        <f>IFERROR(__xludf.DUMMYFUNCTION("""COMPUTED_VALUE"""),"Bradtke-Leannon")</f>
        <v>Bradtke-Leannon</v>
      </c>
      <c r="C585" s="8">
        <f>IFERROR(__xludf.DUMMYFUNCTION("""COMPUTED_VALUE"""),1.21)</f>
        <v>1.21</v>
      </c>
      <c r="D585" s="7">
        <v>2.75501339E8</v>
      </c>
      <c r="E585" s="8">
        <v>3.3335662019E8</v>
      </c>
    </row>
    <row r="586">
      <c r="A586" s="7" t="str">
        <f>IFERROR(__xludf.DUMMYFUNCTION("""COMPUTED_VALUE"""),"Yemen")</f>
        <v>Yemen</v>
      </c>
      <c r="B586" s="7" t="str">
        <f>IFERROR(__xludf.DUMMYFUNCTION("""COMPUTED_VALUE"""),"Hermiston-Reynolds")</f>
        <v>Hermiston-Reynolds</v>
      </c>
      <c r="C586" s="8">
        <f>IFERROR(__xludf.DUMMYFUNCTION("""COMPUTED_VALUE"""),1.27)</f>
        <v>1.27</v>
      </c>
      <c r="D586" s="7">
        <v>3.3696614E7</v>
      </c>
      <c r="E586" s="8">
        <v>4.279469978E7</v>
      </c>
    </row>
    <row r="587">
      <c r="A587" s="7" t="str">
        <f>IFERROR(__xludf.DUMMYFUNCTION("""COMPUTED_VALUE"""),"Portugal")</f>
        <v>Portugal</v>
      </c>
      <c r="B587" s="7" t="str">
        <f>IFERROR(__xludf.DUMMYFUNCTION("""COMPUTED_VALUE"""),"Quigley-Kuphal")</f>
        <v>Quigley-Kuphal</v>
      </c>
      <c r="C587" s="8">
        <f>IFERROR(__xludf.DUMMYFUNCTION("""COMPUTED_VALUE"""),2.02)</f>
        <v>2.02</v>
      </c>
      <c r="D587" s="7">
        <v>1.0270865E7</v>
      </c>
      <c r="E587" s="8">
        <v>2.07471473E7</v>
      </c>
    </row>
    <row r="588">
      <c r="A588" s="7" t="str">
        <f>IFERROR(__xludf.DUMMYFUNCTION("""COMPUTED_VALUE"""),"Kazakhstan")</f>
        <v>Kazakhstan</v>
      </c>
      <c r="B588" s="7" t="str">
        <f>IFERROR(__xludf.DUMMYFUNCTION("""COMPUTED_VALUE"""),"Spencer, Ernser and Sawayn")</f>
        <v>Spencer, Ernser and Sawayn</v>
      </c>
      <c r="C588" s="8">
        <f>IFERROR(__xludf.DUMMYFUNCTION("""COMPUTED_VALUE"""),1.36)</f>
        <v>1.36</v>
      </c>
      <c r="D588" s="7">
        <v>1.9397998E7</v>
      </c>
      <c r="E588" s="8">
        <v>2.638127728E7</v>
      </c>
    </row>
    <row r="589">
      <c r="A589" s="7" t="str">
        <f>IFERROR(__xludf.DUMMYFUNCTION("""COMPUTED_VALUE"""),"China")</f>
        <v>China</v>
      </c>
      <c r="B589" s="7" t="str">
        <f>IFERROR(__xludf.DUMMYFUNCTION("""COMPUTED_VALUE"""),"Casper-Stracke")</f>
        <v>Casper-Stracke</v>
      </c>
      <c r="C589" s="8">
        <f>IFERROR(__xludf.DUMMYFUNCTION("""COMPUTED_VALUE"""),1.61)</f>
        <v>1.61</v>
      </c>
      <c r="D589" s="7">
        <v>1.425887337E9</v>
      </c>
      <c r="E589" s="8">
        <v>2.29567861257E9</v>
      </c>
    </row>
    <row r="590">
      <c r="A590" s="7" t="str">
        <f>IFERROR(__xludf.DUMMYFUNCTION("""COMPUTED_VALUE"""),"Russia")</f>
        <v>Russia</v>
      </c>
      <c r="B590" s="7" t="str">
        <f>IFERROR(__xludf.DUMMYFUNCTION("""COMPUTED_VALUE"""),"Gulgowski LLC")</f>
        <v>Gulgowski LLC</v>
      </c>
      <c r="C590" s="8">
        <f>IFERROR(__xludf.DUMMYFUNCTION("""COMPUTED_VALUE"""),1.41)</f>
        <v>1.41</v>
      </c>
      <c r="D590" s="7">
        <v>1.44713314E8</v>
      </c>
      <c r="E590" s="8">
        <v>2.0404577273999998E8</v>
      </c>
    </row>
    <row r="591">
      <c r="A591" s="7" t="str">
        <f>IFERROR(__xludf.DUMMYFUNCTION("""COMPUTED_VALUE"""),"China")</f>
        <v>China</v>
      </c>
      <c r="B591" s="7" t="str">
        <f>IFERROR(__xludf.DUMMYFUNCTION("""COMPUTED_VALUE"""),"Miller, Lowe and Bins")</f>
        <v>Miller, Lowe and Bins</v>
      </c>
      <c r="C591" s="8">
        <f>IFERROR(__xludf.DUMMYFUNCTION("""COMPUTED_VALUE"""),1.01)</f>
        <v>1.01</v>
      </c>
      <c r="D591" s="7">
        <v>1.425887337E9</v>
      </c>
      <c r="E591" s="8">
        <v>1.4401462103700001E9</v>
      </c>
    </row>
    <row r="592">
      <c r="A592" s="7" t="str">
        <f>IFERROR(__xludf.DUMMYFUNCTION("""COMPUTED_VALUE"""),"Poland")</f>
        <v>Poland</v>
      </c>
      <c r="B592" s="7" t="str">
        <f>IFERROR(__xludf.DUMMYFUNCTION("""COMPUTED_VALUE"""),"Stokes-Barton")</f>
        <v>Stokes-Barton</v>
      </c>
      <c r="C592" s="8">
        <f>IFERROR(__xludf.DUMMYFUNCTION("""COMPUTED_VALUE"""),1.01)</f>
        <v>1.01</v>
      </c>
      <c r="D592" s="7">
        <v>3.9857145E7</v>
      </c>
      <c r="E592" s="8">
        <v>4.025571645E7</v>
      </c>
    </row>
    <row r="593">
      <c r="A593" s="7" t="str">
        <f>IFERROR(__xludf.DUMMYFUNCTION("""COMPUTED_VALUE"""),"Indonesia")</f>
        <v>Indonesia</v>
      </c>
      <c r="B593" s="7" t="str">
        <f>IFERROR(__xludf.DUMMYFUNCTION("""COMPUTED_VALUE"""),"Wisoky, Kerluke and Kiehn")</f>
        <v>Wisoky, Kerluke and Kiehn</v>
      </c>
      <c r="C593" s="8">
        <f>IFERROR(__xludf.DUMMYFUNCTION("""COMPUTED_VALUE"""),2.19)</f>
        <v>2.19</v>
      </c>
      <c r="D593" s="7">
        <v>2.75501339E8</v>
      </c>
      <c r="E593" s="8">
        <v>6.0334793241E8</v>
      </c>
    </row>
    <row r="594">
      <c r="A594" s="7" t="str">
        <f>IFERROR(__xludf.DUMMYFUNCTION("""COMPUTED_VALUE"""),"Sweden")</f>
        <v>Sweden</v>
      </c>
      <c r="B594" s="7" t="str">
        <f>IFERROR(__xludf.DUMMYFUNCTION("""COMPUTED_VALUE"""),"Howe-Schaefer")</f>
        <v>Howe-Schaefer</v>
      </c>
      <c r="C594" s="8">
        <f>IFERROR(__xludf.DUMMYFUNCTION("""COMPUTED_VALUE"""),2.06)</f>
        <v>2.06</v>
      </c>
      <c r="D594" s="7">
        <v>1.0549347E7</v>
      </c>
      <c r="E594" s="8">
        <v>2.173165482E7</v>
      </c>
    </row>
    <row r="595">
      <c r="A595" s="7" t="str">
        <f>IFERROR(__xludf.DUMMYFUNCTION("""COMPUTED_VALUE"""),"Botswana")</f>
        <v>Botswana</v>
      </c>
      <c r="B595" s="7" t="str">
        <f>IFERROR(__xludf.DUMMYFUNCTION("""COMPUTED_VALUE"""),"Hand Group")</f>
        <v>Hand Group</v>
      </c>
      <c r="C595" s="8">
        <f>IFERROR(__xludf.DUMMYFUNCTION("""COMPUTED_VALUE"""),1.99)</f>
        <v>1.99</v>
      </c>
      <c r="D595" s="7">
        <v>2630296.0</v>
      </c>
      <c r="E595" s="8">
        <v>5234289.04</v>
      </c>
    </row>
    <row r="596">
      <c r="A596" s="7" t="str">
        <f>IFERROR(__xludf.DUMMYFUNCTION("""COMPUTED_VALUE"""),"Mongolia")</f>
        <v>Mongolia</v>
      </c>
      <c r="B596" s="7" t="str">
        <f>IFERROR(__xludf.DUMMYFUNCTION("""COMPUTED_VALUE"""),"Glover, Casper and Jacobi")</f>
        <v>Glover, Casper and Jacobi</v>
      </c>
      <c r="C596" s="8">
        <f>IFERROR(__xludf.DUMMYFUNCTION("""COMPUTED_VALUE"""),1.12)</f>
        <v>1.12</v>
      </c>
      <c r="D596" s="7">
        <v>3398366.0</v>
      </c>
      <c r="E596" s="8">
        <v>3806169.9200000004</v>
      </c>
    </row>
    <row r="597">
      <c r="A597" s="7" t="str">
        <f>IFERROR(__xludf.DUMMYFUNCTION("""COMPUTED_VALUE"""),"Senegal")</f>
        <v>Senegal</v>
      </c>
      <c r="B597" s="7" t="str">
        <f>IFERROR(__xludf.DUMMYFUNCTION("""COMPUTED_VALUE"""),"Erdman-Rogahn")</f>
        <v>Erdman-Rogahn</v>
      </c>
      <c r="C597" s="8">
        <f>IFERROR(__xludf.DUMMYFUNCTION("""COMPUTED_VALUE"""),2.17)</f>
        <v>2.17</v>
      </c>
      <c r="D597" s="7">
        <v>1.7316449E7</v>
      </c>
      <c r="E597" s="8">
        <v>3.757669433E7</v>
      </c>
    </row>
    <row r="598">
      <c r="A598" s="7" t="str">
        <f>IFERROR(__xludf.DUMMYFUNCTION("""COMPUTED_VALUE"""),"China")</f>
        <v>China</v>
      </c>
      <c r="B598" s="7" t="str">
        <f>IFERROR(__xludf.DUMMYFUNCTION("""COMPUTED_VALUE"""),"Daniel, Brekke and Prohaska")</f>
        <v>Daniel, Brekke and Prohaska</v>
      </c>
      <c r="C598" s="8">
        <f>IFERROR(__xludf.DUMMYFUNCTION("""COMPUTED_VALUE"""),1.25)</f>
        <v>1.25</v>
      </c>
      <c r="D598" s="7">
        <v>1.425887337E9</v>
      </c>
      <c r="E598" s="8">
        <v>1.78235917125E9</v>
      </c>
    </row>
    <row r="599">
      <c r="A599" s="7" t="str">
        <f>IFERROR(__xludf.DUMMYFUNCTION("""COMPUTED_VALUE"""),"China")</f>
        <v>China</v>
      </c>
      <c r="B599" s="7" t="str">
        <f>IFERROR(__xludf.DUMMYFUNCTION("""COMPUTED_VALUE"""),"Herman LLC")</f>
        <v>Herman LLC</v>
      </c>
      <c r="C599" s="8">
        <f>IFERROR(__xludf.DUMMYFUNCTION("""COMPUTED_VALUE"""),1.75)</f>
        <v>1.75</v>
      </c>
      <c r="D599" s="7">
        <v>1.425887337E9</v>
      </c>
      <c r="E599" s="8">
        <v>2.49530283975E9</v>
      </c>
    </row>
    <row r="600">
      <c r="A600" s="7" t="str">
        <f>IFERROR(__xludf.DUMMYFUNCTION("""COMPUTED_VALUE"""),"France")</f>
        <v>France</v>
      </c>
      <c r="B600" s="7" t="str">
        <f>IFERROR(__xludf.DUMMYFUNCTION("""COMPUTED_VALUE"""),"Kassulke Inc")</f>
        <v>Kassulke Inc</v>
      </c>
      <c r="C600" s="8">
        <f>IFERROR(__xludf.DUMMYFUNCTION("""COMPUTED_VALUE"""),1.44)</f>
        <v>1.44</v>
      </c>
      <c r="D600" s="7">
        <v>6.4626628E7</v>
      </c>
      <c r="E600" s="8">
        <v>9.306234432E7</v>
      </c>
    </row>
    <row r="601">
      <c r="A601" s="7" t="str">
        <f>IFERROR(__xludf.DUMMYFUNCTION("""COMPUTED_VALUE"""),"Russia")</f>
        <v>Russia</v>
      </c>
      <c r="B601" s="7" t="str">
        <f>IFERROR(__xludf.DUMMYFUNCTION("""COMPUTED_VALUE"""),"Gerlach, Frami and Lesch")</f>
        <v>Gerlach, Frami and Lesch</v>
      </c>
      <c r="C601" s="8">
        <f>IFERROR(__xludf.DUMMYFUNCTION("""COMPUTED_VALUE"""),1.77)</f>
        <v>1.77</v>
      </c>
      <c r="D601" s="7">
        <v>1.44713314E8</v>
      </c>
      <c r="E601" s="8">
        <v>2.5614256578E8</v>
      </c>
    </row>
    <row r="602">
      <c r="A602" s="7" t="str">
        <f>IFERROR(__xludf.DUMMYFUNCTION("""COMPUTED_VALUE"""),"Peru")</f>
        <v>Peru</v>
      </c>
      <c r="B602" s="7" t="str">
        <f>IFERROR(__xludf.DUMMYFUNCTION("""COMPUTED_VALUE"""),"West, Lynch and Daniel")</f>
        <v>West, Lynch and Daniel</v>
      </c>
      <c r="C602" s="8">
        <f>IFERROR(__xludf.DUMMYFUNCTION("""COMPUTED_VALUE"""),1.3)</f>
        <v>1.3</v>
      </c>
      <c r="D602" s="7">
        <v>3.4049588E7</v>
      </c>
      <c r="E602" s="8">
        <v>4.42644644E7</v>
      </c>
    </row>
    <row r="603">
      <c r="A603" s="7" t="str">
        <f>IFERROR(__xludf.DUMMYFUNCTION("""COMPUTED_VALUE"""),"Pakistan")</f>
        <v>Pakistan</v>
      </c>
      <c r="B603" s="7" t="str">
        <f>IFERROR(__xludf.DUMMYFUNCTION("""COMPUTED_VALUE"""),"Stehr-Keeling")</f>
        <v>Stehr-Keeling</v>
      </c>
      <c r="C603" s="8">
        <f>IFERROR(__xludf.DUMMYFUNCTION("""COMPUTED_VALUE"""),1.22)</f>
        <v>1.22</v>
      </c>
      <c r="D603" s="7">
        <v>2.35824862E8</v>
      </c>
      <c r="E603" s="8">
        <v>2.8770633164E8</v>
      </c>
    </row>
    <row r="604">
      <c r="A604" s="7" t="str">
        <f>IFERROR(__xludf.DUMMYFUNCTION("""COMPUTED_VALUE"""),"Bulgaria")</f>
        <v>Bulgaria</v>
      </c>
      <c r="B604" s="7" t="str">
        <f>IFERROR(__xludf.DUMMYFUNCTION("""COMPUTED_VALUE"""),"Fritsch-Welch")</f>
        <v>Fritsch-Welch</v>
      </c>
      <c r="C604" s="8">
        <f>IFERROR(__xludf.DUMMYFUNCTION("""COMPUTED_VALUE"""),1.57)</f>
        <v>1.57</v>
      </c>
      <c r="D604" s="7">
        <v>6781953.0</v>
      </c>
      <c r="E604" s="8">
        <v>1.064766621E7</v>
      </c>
    </row>
    <row r="605">
      <c r="A605" s="7" t="str">
        <f>IFERROR(__xludf.DUMMYFUNCTION("""COMPUTED_VALUE"""),"China")</f>
        <v>China</v>
      </c>
      <c r="B605" s="7" t="str">
        <f>IFERROR(__xludf.DUMMYFUNCTION("""COMPUTED_VALUE"""),"Marvin and Sons")</f>
        <v>Marvin and Sons</v>
      </c>
      <c r="C605" s="8">
        <f>IFERROR(__xludf.DUMMYFUNCTION("""COMPUTED_VALUE"""),2.21)</f>
        <v>2.21</v>
      </c>
      <c r="D605" s="7">
        <v>1.425887337E9</v>
      </c>
      <c r="E605" s="8">
        <v>3.15121101477E9</v>
      </c>
    </row>
    <row r="606">
      <c r="A606" s="7" t="str">
        <f>IFERROR(__xludf.DUMMYFUNCTION("""COMPUTED_VALUE"""),"Chad")</f>
        <v>Chad</v>
      </c>
      <c r="B606" s="7" t="str">
        <f>IFERROR(__xludf.DUMMYFUNCTION("""COMPUTED_VALUE"""),"Halvorson, Leuschke and Ruecker")</f>
        <v>Halvorson, Leuschke and Ruecker</v>
      </c>
      <c r="C606" s="8">
        <f>IFERROR(__xludf.DUMMYFUNCTION("""COMPUTED_VALUE"""),1.96)</f>
        <v>1.96</v>
      </c>
      <c r="D606" s="7">
        <v>1.7723315E7</v>
      </c>
      <c r="E606" s="8">
        <v>3.47376974E7</v>
      </c>
    </row>
    <row r="607">
      <c r="A607" s="7" t="str">
        <f>IFERROR(__xludf.DUMMYFUNCTION("""COMPUTED_VALUE"""),"Bhutan")</f>
        <v>Bhutan</v>
      </c>
      <c r="B607" s="7" t="str">
        <f>IFERROR(__xludf.DUMMYFUNCTION("""COMPUTED_VALUE"""),"Nader, Ernser and Mante")</f>
        <v>Nader, Ernser and Mante</v>
      </c>
      <c r="C607" s="8">
        <f>IFERROR(__xludf.DUMMYFUNCTION("""COMPUTED_VALUE"""),2.01)</f>
        <v>2.01</v>
      </c>
      <c r="D607" s="7">
        <v>782455.0</v>
      </c>
      <c r="E607" s="8">
        <v>1572734.5499999998</v>
      </c>
    </row>
    <row r="608">
      <c r="A608" s="7" t="str">
        <f>IFERROR(__xludf.DUMMYFUNCTION("""COMPUTED_VALUE"""),"China")</f>
        <v>China</v>
      </c>
      <c r="B608" s="7" t="str">
        <f>IFERROR(__xludf.DUMMYFUNCTION("""COMPUTED_VALUE"""),"Tromp, Will and Walsh")</f>
        <v>Tromp, Will and Walsh</v>
      </c>
      <c r="C608" s="8">
        <f>IFERROR(__xludf.DUMMYFUNCTION("""COMPUTED_VALUE"""),1.02)</f>
        <v>1.02</v>
      </c>
      <c r="D608" s="7">
        <v>1.425887337E9</v>
      </c>
      <c r="E608" s="8">
        <v>1.45440508374E9</v>
      </c>
    </row>
    <row r="609">
      <c r="A609" s="7" t="str">
        <f>IFERROR(__xludf.DUMMYFUNCTION("""COMPUTED_VALUE"""),"Sweden")</f>
        <v>Sweden</v>
      </c>
      <c r="B609" s="7" t="str">
        <f>IFERROR(__xludf.DUMMYFUNCTION("""COMPUTED_VALUE"""),"Carroll Group")</f>
        <v>Carroll Group</v>
      </c>
      <c r="C609" s="8">
        <f>IFERROR(__xludf.DUMMYFUNCTION("""COMPUTED_VALUE"""),2.25)</f>
        <v>2.25</v>
      </c>
      <c r="D609" s="7">
        <v>1.0549347E7</v>
      </c>
      <c r="E609" s="8">
        <v>2.373603075E7</v>
      </c>
    </row>
    <row r="610">
      <c r="A610" s="7" t="str">
        <f>IFERROR(__xludf.DUMMYFUNCTION("""COMPUTED_VALUE"""),"Indonesia")</f>
        <v>Indonesia</v>
      </c>
      <c r="B610" s="7" t="str">
        <f>IFERROR(__xludf.DUMMYFUNCTION("""COMPUTED_VALUE"""),"Ferry, Price and McDermott")</f>
        <v>Ferry, Price and McDermott</v>
      </c>
      <c r="C610" s="8">
        <f>IFERROR(__xludf.DUMMYFUNCTION("""COMPUTED_VALUE"""),1.85)</f>
        <v>1.85</v>
      </c>
      <c r="D610" s="7">
        <v>2.75501339E8</v>
      </c>
      <c r="E610" s="8">
        <v>5.0967747715000004E8</v>
      </c>
    </row>
    <row r="611">
      <c r="A611" s="7" t="str">
        <f>IFERROR(__xludf.DUMMYFUNCTION("""COMPUTED_VALUE"""),"Albania")</f>
        <v>Albania</v>
      </c>
      <c r="B611" s="7" t="str">
        <f>IFERROR(__xludf.DUMMYFUNCTION("""COMPUTED_VALUE"""),"Gleason, Fadel and Bauch")</f>
        <v>Gleason, Fadel and Bauch</v>
      </c>
      <c r="C611" s="8">
        <f>IFERROR(__xludf.DUMMYFUNCTION("""COMPUTED_VALUE"""),1.88)</f>
        <v>1.88</v>
      </c>
      <c r="D611" s="7">
        <v>2842321.0</v>
      </c>
      <c r="E611" s="8">
        <v>5343563.4799999995</v>
      </c>
    </row>
    <row r="612">
      <c r="A612" s="7" t="str">
        <f>IFERROR(__xludf.DUMMYFUNCTION("""COMPUTED_VALUE"""),"Japan")</f>
        <v>Japan</v>
      </c>
      <c r="B612" s="7" t="str">
        <f>IFERROR(__xludf.DUMMYFUNCTION("""COMPUTED_VALUE"""),"Abbott Inc")</f>
        <v>Abbott Inc</v>
      </c>
      <c r="C612" s="8">
        <f>IFERROR(__xludf.DUMMYFUNCTION("""COMPUTED_VALUE"""),0.95)</f>
        <v>0.95</v>
      </c>
      <c r="D612" s="7">
        <v>1.23951692E8</v>
      </c>
      <c r="E612" s="8">
        <v>1.1775410739999999E8</v>
      </c>
    </row>
    <row r="613">
      <c r="A613" s="7" t="str">
        <f>IFERROR(__xludf.DUMMYFUNCTION("""COMPUTED_VALUE"""),"Thailand")</f>
        <v>Thailand</v>
      </c>
      <c r="B613" s="7" t="str">
        <f>IFERROR(__xludf.DUMMYFUNCTION("""COMPUTED_VALUE"""),"Kohler, Tromp and Vandervort")</f>
        <v>Kohler, Tromp and Vandervort</v>
      </c>
      <c r="C613" s="8">
        <f>IFERROR(__xludf.DUMMYFUNCTION("""COMPUTED_VALUE"""),1.39)</f>
        <v>1.39</v>
      </c>
      <c r="D613" s="7">
        <v>7.169703E7</v>
      </c>
      <c r="E613" s="8">
        <v>9.965887169999999E7</v>
      </c>
    </row>
    <row r="614">
      <c r="A614" s="7" t="str">
        <f>IFERROR(__xludf.DUMMYFUNCTION("""COMPUTED_VALUE"""),"France")</f>
        <v>France</v>
      </c>
      <c r="B614" s="7" t="str">
        <f>IFERROR(__xludf.DUMMYFUNCTION("""COMPUTED_VALUE"""),"Bogan and Sons")</f>
        <v>Bogan and Sons</v>
      </c>
      <c r="C614" s="8">
        <f>IFERROR(__xludf.DUMMYFUNCTION("""COMPUTED_VALUE"""),1.32)</f>
        <v>1.32</v>
      </c>
      <c r="D614" s="7">
        <v>6.4626628E7</v>
      </c>
      <c r="E614" s="8">
        <v>8.530714896000001E7</v>
      </c>
    </row>
    <row r="615">
      <c r="A615" s="7" t="str">
        <f>IFERROR(__xludf.DUMMYFUNCTION("""COMPUTED_VALUE"""),"Russia")</f>
        <v>Russia</v>
      </c>
      <c r="B615" s="7" t="str">
        <f>IFERROR(__xludf.DUMMYFUNCTION("""COMPUTED_VALUE"""),"Stark and Sons")</f>
        <v>Stark and Sons</v>
      </c>
      <c r="C615" s="8">
        <f>IFERROR(__xludf.DUMMYFUNCTION("""COMPUTED_VALUE"""),1.32)</f>
        <v>1.32</v>
      </c>
      <c r="D615" s="7">
        <v>1.44713314E8</v>
      </c>
      <c r="E615" s="8">
        <v>1.9102157448000002E8</v>
      </c>
    </row>
    <row r="616">
      <c r="A616" s="7" t="str">
        <f>IFERROR(__xludf.DUMMYFUNCTION("""COMPUTED_VALUE"""),"Russia")</f>
        <v>Russia</v>
      </c>
      <c r="B616" s="7" t="str">
        <f>IFERROR(__xludf.DUMMYFUNCTION("""COMPUTED_VALUE"""),"Gulgowski, Swaniawski and Johns")</f>
        <v>Gulgowski, Swaniawski and Johns</v>
      </c>
      <c r="C616" s="8">
        <f>IFERROR(__xludf.DUMMYFUNCTION("""COMPUTED_VALUE"""),2.11)</f>
        <v>2.11</v>
      </c>
      <c r="D616" s="7">
        <v>1.44713314E8</v>
      </c>
      <c r="E616" s="8">
        <v>3.0534509253999996E8</v>
      </c>
    </row>
    <row r="617">
      <c r="A617" s="7" t="str">
        <f>IFERROR(__xludf.DUMMYFUNCTION("""COMPUTED_VALUE"""),"United States")</f>
        <v>United States</v>
      </c>
      <c r="B617" s="7" t="str">
        <f>IFERROR(__xludf.DUMMYFUNCTION("""COMPUTED_VALUE"""),"Runte Group")</f>
        <v>Runte Group</v>
      </c>
      <c r="C617" s="8">
        <f>IFERROR(__xludf.DUMMYFUNCTION("""COMPUTED_VALUE"""),1.87)</f>
        <v>1.87</v>
      </c>
      <c r="D617" s="7">
        <v>3.38289857E8</v>
      </c>
      <c r="E617" s="8">
        <v>6.3260203259E8</v>
      </c>
    </row>
    <row r="618">
      <c r="A618" s="7" t="str">
        <f>IFERROR(__xludf.DUMMYFUNCTION("""COMPUTED_VALUE"""),"Russia")</f>
        <v>Russia</v>
      </c>
      <c r="B618" s="7" t="str">
        <f>IFERROR(__xludf.DUMMYFUNCTION("""COMPUTED_VALUE"""),"Osinski-D'Amore")</f>
        <v>Osinski-D'Amore</v>
      </c>
      <c r="C618" s="8">
        <f>IFERROR(__xludf.DUMMYFUNCTION("""COMPUTED_VALUE"""),1.78)</f>
        <v>1.78</v>
      </c>
      <c r="D618" s="7">
        <v>1.44713314E8</v>
      </c>
      <c r="E618" s="8">
        <v>2.5758969892000002E8</v>
      </c>
    </row>
    <row r="619">
      <c r="A619" s="7" t="str">
        <f>IFERROR(__xludf.DUMMYFUNCTION("""COMPUTED_VALUE"""),"China")</f>
        <v>China</v>
      </c>
      <c r="B619" s="7" t="str">
        <f>IFERROR(__xludf.DUMMYFUNCTION("""COMPUTED_VALUE"""),"Murazik and Sons")</f>
        <v>Murazik and Sons</v>
      </c>
      <c r="C619" s="8">
        <f>IFERROR(__xludf.DUMMYFUNCTION("""COMPUTED_VALUE"""),2.19)</f>
        <v>2.19</v>
      </c>
      <c r="D619" s="7">
        <v>1.425887337E9</v>
      </c>
      <c r="E619" s="8">
        <v>3.1226932680299997E9</v>
      </c>
    </row>
    <row r="620">
      <c r="A620" s="7" t="str">
        <f>IFERROR(__xludf.DUMMYFUNCTION("""COMPUTED_VALUE"""),"Nepal")</f>
        <v>Nepal</v>
      </c>
      <c r="B620" s="7" t="str">
        <f>IFERROR(__xludf.DUMMYFUNCTION("""COMPUTED_VALUE"""),"Hilpert Group")</f>
        <v>Hilpert Group</v>
      </c>
      <c r="C620" s="8">
        <f>IFERROR(__xludf.DUMMYFUNCTION("""COMPUTED_VALUE"""),0.97)</f>
        <v>0.97</v>
      </c>
      <c r="D620" s="7">
        <v>3.054758E7</v>
      </c>
      <c r="E620" s="8">
        <v>2.9631152599999998E7</v>
      </c>
    </row>
    <row r="621">
      <c r="A621" s="7" t="str">
        <f>IFERROR(__xludf.DUMMYFUNCTION("""COMPUTED_VALUE"""),"China")</f>
        <v>China</v>
      </c>
      <c r="B621" s="7" t="str">
        <f>IFERROR(__xludf.DUMMYFUNCTION("""COMPUTED_VALUE"""),"Lubowitz, Boehm and Gottlieb")</f>
        <v>Lubowitz, Boehm and Gottlieb</v>
      </c>
      <c r="C621" s="8">
        <f>IFERROR(__xludf.DUMMYFUNCTION("""COMPUTED_VALUE"""),0.97)</f>
        <v>0.97</v>
      </c>
      <c r="D621" s="7">
        <v>1.425887337E9</v>
      </c>
      <c r="E621" s="8">
        <v>1.3831107168899999E9</v>
      </c>
    </row>
    <row r="622">
      <c r="A622" s="7" t="str">
        <f>IFERROR(__xludf.DUMMYFUNCTION("""COMPUTED_VALUE"""),"Italy")</f>
        <v>Italy</v>
      </c>
      <c r="B622" s="7" t="str">
        <f>IFERROR(__xludf.DUMMYFUNCTION("""COMPUTED_VALUE"""),"Wolff Group")</f>
        <v>Wolff Group</v>
      </c>
      <c r="C622" s="8">
        <f>IFERROR(__xludf.DUMMYFUNCTION("""COMPUTED_VALUE"""),0.94)</f>
        <v>0.94</v>
      </c>
      <c r="D622" s="7">
        <v>5.9037474E7</v>
      </c>
      <c r="E622" s="8">
        <v>5.5495225559999995E7</v>
      </c>
    </row>
    <row r="623">
      <c r="A623" s="7" t="str">
        <f>IFERROR(__xludf.DUMMYFUNCTION("""COMPUTED_VALUE"""),"Philippines")</f>
        <v>Philippines</v>
      </c>
      <c r="B623" s="7" t="str">
        <f>IFERROR(__xludf.DUMMYFUNCTION("""COMPUTED_VALUE"""),"Harvey Group")</f>
        <v>Harvey Group</v>
      </c>
      <c r="C623" s="8">
        <f>IFERROR(__xludf.DUMMYFUNCTION("""COMPUTED_VALUE"""),1.49)</f>
        <v>1.49</v>
      </c>
      <c r="D623" s="7">
        <v>1.15559009E8</v>
      </c>
      <c r="E623" s="8">
        <v>1.7218292341E8</v>
      </c>
    </row>
    <row r="624">
      <c r="A624" s="7" t="str">
        <f>IFERROR(__xludf.DUMMYFUNCTION("""COMPUTED_VALUE"""),"China")</f>
        <v>China</v>
      </c>
      <c r="B624" s="7" t="str">
        <f>IFERROR(__xludf.DUMMYFUNCTION("""COMPUTED_VALUE"""),"Effertz, Schoen and Nienow")</f>
        <v>Effertz, Schoen and Nienow</v>
      </c>
      <c r="C624" s="8">
        <f>IFERROR(__xludf.DUMMYFUNCTION("""COMPUTED_VALUE"""),1.7)</f>
        <v>1.7</v>
      </c>
      <c r="D624" s="7">
        <v>1.425887337E9</v>
      </c>
      <c r="E624" s="8">
        <v>2.4240084729E9</v>
      </c>
    </row>
    <row r="625">
      <c r="A625" s="7" t="str">
        <f>IFERROR(__xludf.DUMMYFUNCTION("""COMPUTED_VALUE"""),"China")</f>
        <v>China</v>
      </c>
      <c r="B625" s="7" t="str">
        <f>IFERROR(__xludf.DUMMYFUNCTION("""COMPUTED_VALUE"""),"Homenick LLC")</f>
        <v>Homenick LLC</v>
      </c>
      <c r="C625" s="8">
        <f>IFERROR(__xludf.DUMMYFUNCTION("""COMPUTED_VALUE"""),1.77)</f>
        <v>1.77</v>
      </c>
      <c r="D625" s="7">
        <v>1.425887337E9</v>
      </c>
      <c r="E625" s="8">
        <v>2.5238205864900002E9</v>
      </c>
    </row>
    <row r="626">
      <c r="A626" s="7" t="str">
        <f>IFERROR(__xludf.DUMMYFUNCTION("""COMPUTED_VALUE"""),"China")</f>
        <v>China</v>
      </c>
      <c r="B626" s="7" t="str">
        <f>IFERROR(__xludf.DUMMYFUNCTION("""COMPUTED_VALUE"""),"Gibson Inc")</f>
        <v>Gibson Inc</v>
      </c>
      <c r="C626" s="8">
        <f>IFERROR(__xludf.DUMMYFUNCTION("""COMPUTED_VALUE"""),1.34)</f>
        <v>1.34</v>
      </c>
      <c r="D626" s="7">
        <v>1.425887337E9</v>
      </c>
      <c r="E626" s="8">
        <v>1.9106890315800002E9</v>
      </c>
    </row>
    <row r="627">
      <c r="A627" s="7" t="str">
        <f>IFERROR(__xludf.DUMMYFUNCTION("""COMPUTED_VALUE"""),"China")</f>
        <v>China</v>
      </c>
      <c r="B627" s="7" t="str">
        <f>IFERROR(__xludf.DUMMYFUNCTION("""COMPUTED_VALUE"""),"Mueller and Sons")</f>
        <v>Mueller and Sons</v>
      </c>
      <c r="C627" s="8">
        <f>IFERROR(__xludf.DUMMYFUNCTION("""COMPUTED_VALUE"""),1.52)</f>
        <v>1.52</v>
      </c>
      <c r="D627" s="7">
        <v>1.425887337E9</v>
      </c>
      <c r="E627" s="8">
        <v>2.1673487522400002E9</v>
      </c>
    </row>
    <row r="628">
      <c r="A628" s="7" t="str">
        <f>IFERROR(__xludf.DUMMYFUNCTION("""COMPUTED_VALUE"""),"Argentina")</f>
        <v>Argentina</v>
      </c>
      <c r="B628" s="7" t="str">
        <f>IFERROR(__xludf.DUMMYFUNCTION("""COMPUTED_VALUE"""),"Kertzmann, Weber and Roob")</f>
        <v>Kertzmann, Weber and Roob</v>
      </c>
      <c r="C628" s="8">
        <f>IFERROR(__xludf.DUMMYFUNCTION("""COMPUTED_VALUE"""),1.97)</f>
        <v>1.97</v>
      </c>
      <c r="D628" s="7">
        <v>4.5510318E7</v>
      </c>
      <c r="E628" s="8">
        <v>8.965532646E7</v>
      </c>
    </row>
    <row r="629">
      <c r="A629" s="7" t="str">
        <f>IFERROR(__xludf.DUMMYFUNCTION("""COMPUTED_VALUE"""),"Ecuador")</f>
        <v>Ecuador</v>
      </c>
      <c r="B629" s="7" t="str">
        <f>IFERROR(__xludf.DUMMYFUNCTION("""COMPUTED_VALUE"""),"Metz, Bogan and McDermott")</f>
        <v>Metz, Bogan and McDermott</v>
      </c>
      <c r="C629" s="8">
        <f>IFERROR(__xludf.DUMMYFUNCTION("""COMPUTED_VALUE"""),2.02)</f>
        <v>2.02</v>
      </c>
      <c r="D629" s="7">
        <v>1.8001E7</v>
      </c>
      <c r="E629" s="8">
        <v>3.636202E7</v>
      </c>
    </row>
    <row r="630">
      <c r="A630" s="7" t="str">
        <f>IFERROR(__xludf.DUMMYFUNCTION("""COMPUTED_VALUE"""),"Croatia")</f>
        <v>Croatia</v>
      </c>
      <c r="B630" s="7" t="str">
        <f>IFERROR(__xludf.DUMMYFUNCTION("""COMPUTED_VALUE"""),"Ortiz, Hoeger and Hansen")</f>
        <v>Ortiz, Hoeger and Hansen</v>
      </c>
      <c r="C630" s="8">
        <f>IFERROR(__xludf.DUMMYFUNCTION("""COMPUTED_VALUE"""),0.86)</f>
        <v>0.86</v>
      </c>
      <c r="D630" s="7">
        <v>4030358.0</v>
      </c>
      <c r="E630" s="8">
        <v>3466107.88</v>
      </c>
    </row>
    <row r="631">
      <c r="A631" s="7" t="str">
        <f>IFERROR(__xludf.DUMMYFUNCTION("""COMPUTED_VALUE"""),"Philippines")</f>
        <v>Philippines</v>
      </c>
      <c r="B631" s="7" t="str">
        <f>IFERROR(__xludf.DUMMYFUNCTION("""COMPUTED_VALUE"""),"Becker Group")</f>
        <v>Becker Group</v>
      </c>
      <c r="C631" s="8">
        <f>IFERROR(__xludf.DUMMYFUNCTION("""COMPUTED_VALUE"""),1.82)</f>
        <v>1.82</v>
      </c>
      <c r="D631" s="7">
        <v>1.15559009E8</v>
      </c>
      <c r="E631" s="8">
        <v>2.1031739638E8</v>
      </c>
    </row>
    <row r="632">
      <c r="A632" s="7" t="str">
        <f>IFERROR(__xludf.DUMMYFUNCTION("""COMPUTED_VALUE"""),"France")</f>
        <v>France</v>
      </c>
      <c r="B632" s="7" t="str">
        <f>IFERROR(__xludf.DUMMYFUNCTION("""COMPUTED_VALUE"""),"Cremin Inc")</f>
        <v>Cremin Inc</v>
      </c>
      <c r="C632" s="8">
        <f>IFERROR(__xludf.DUMMYFUNCTION("""COMPUTED_VALUE"""),1.26)</f>
        <v>1.26</v>
      </c>
      <c r="D632" s="7">
        <v>6.4626628E7</v>
      </c>
      <c r="E632" s="8">
        <v>8.142955128E7</v>
      </c>
    </row>
    <row r="633">
      <c r="A633" s="7" t="str">
        <f>IFERROR(__xludf.DUMMYFUNCTION("""COMPUTED_VALUE"""),"China")</f>
        <v>China</v>
      </c>
      <c r="B633" s="7" t="str">
        <f>IFERROR(__xludf.DUMMYFUNCTION("""COMPUTED_VALUE"""),"Adams-Brakus")</f>
        <v>Adams-Brakus</v>
      </c>
      <c r="C633" s="8">
        <f>IFERROR(__xludf.DUMMYFUNCTION("""COMPUTED_VALUE"""),1.05)</f>
        <v>1.05</v>
      </c>
      <c r="D633" s="7">
        <v>1.425887337E9</v>
      </c>
      <c r="E633" s="8">
        <v>1.4971817038500001E9</v>
      </c>
    </row>
    <row r="634">
      <c r="A634" s="7" t="str">
        <f>IFERROR(__xludf.DUMMYFUNCTION("""COMPUTED_VALUE"""),"China")</f>
        <v>China</v>
      </c>
      <c r="B634" s="7" t="str">
        <f>IFERROR(__xludf.DUMMYFUNCTION("""COMPUTED_VALUE"""),"McGlynn, Fadel and Kerluke")</f>
        <v>McGlynn, Fadel and Kerluke</v>
      </c>
      <c r="C634" s="8">
        <f>IFERROR(__xludf.DUMMYFUNCTION("""COMPUTED_VALUE"""),1.06)</f>
        <v>1.06</v>
      </c>
      <c r="D634" s="7">
        <v>1.425887337E9</v>
      </c>
      <c r="E634" s="8">
        <v>1.51144057722E9</v>
      </c>
    </row>
    <row r="635">
      <c r="A635" s="7" t="str">
        <f>IFERROR(__xludf.DUMMYFUNCTION("""COMPUTED_VALUE"""),"Bangladesh")</f>
        <v>Bangladesh</v>
      </c>
      <c r="B635" s="7" t="str">
        <f>IFERROR(__xludf.DUMMYFUNCTION("""COMPUTED_VALUE"""),"Ankunding LLC")</f>
        <v>Ankunding LLC</v>
      </c>
      <c r="C635" s="8">
        <f>IFERROR(__xludf.DUMMYFUNCTION("""COMPUTED_VALUE"""),1.19)</f>
        <v>1.19</v>
      </c>
      <c r="D635" s="7">
        <v>1.71186372E8</v>
      </c>
      <c r="E635" s="8">
        <v>2.0371178267999998E8</v>
      </c>
    </row>
    <row r="636">
      <c r="A636" s="7" t="str">
        <f>IFERROR(__xludf.DUMMYFUNCTION("""COMPUTED_VALUE"""),"China")</f>
        <v>China</v>
      </c>
      <c r="B636" s="7" t="str">
        <f>IFERROR(__xludf.DUMMYFUNCTION("""COMPUTED_VALUE"""),"Christiansen-Langworth")</f>
        <v>Christiansen-Langworth</v>
      </c>
      <c r="C636" s="8">
        <f>IFERROR(__xludf.DUMMYFUNCTION("""COMPUTED_VALUE"""),1.47)</f>
        <v>1.47</v>
      </c>
      <c r="D636" s="7">
        <v>1.425887337E9</v>
      </c>
      <c r="E636" s="8">
        <v>2.0960543853899999E9</v>
      </c>
    </row>
    <row r="637">
      <c r="A637" s="7" t="str">
        <f>IFERROR(__xludf.DUMMYFUNCTION("""COMPUTED_VALUE"""),"Canada")</f>
        <v>Canada</v>
      </c>
      <c r="B637" s="7" t="str">
        <f>IFERROR(__xludf.DUMMYFUNCTION("""COMPUTED_VALUE"""),"Keeling and Sons")</f>
        <v>Keeling and Sons</v>
      </c>
      <c r="C637" s="8">
        <f>IFERROR(__xludf.DUMMYFUNCTION("""COMPUTED_VALUE"""),1.41)</f>
        <v>1.41</v>
      </c>
      <c r="D637" s="7">
        <v>3.8454327E7</v>
      </c>
      <c r="E637" s="8">
        <v>5.422060107E7</v>
      </c>
    </row>
    <row r="638">
      <c r="A638" s="7" t="str">
        <f>IFERROR(__xludf.DUMMYFUNCTION("""COMPUTED_VALUE"""),"Philippines")</f>
        <v>Philippines</v>
      </c>
      <c r="B638" s="7" t="str">
        <f>IFERROR(__xludf.DUMMYFUNCTION("""COMPUTED_VALUE"""),"Cronin-Franecki")</f>
        <v>Cronin-Franecki</v>
      </c>
      <c r="C638" s="8">
        <f>IFERROR(__xludf.DUMMYFUNCTION("""COMPUTED_VALUE"""),2.15)</f>
        <v>2.15</v>
      </c>
      <c r="D638" s="7">
        <v>1.15559009E8</v>
      </c>
      <c r="E638" s="8">
        <v>2.4845186935E8</v>
      </c>
    </row>
    <row r="639">
      <c r="A639" s="7" t="str">
        <f>IFERROR(__xludf.DUMMYFUNCTION("""COMPUTED_VALUE"""),"Comoros")</f>
        <v>Comoros</v>
      </c>
      <c r="B639" s="7" t="str">
        <f>IFERROR(__xludf.DUMMYFUNCTION("""COMPUTED_VALUE"""),"Mante-Champlin")</f>
        <v>Mante-Champlin</v>
      </c>
      <c r="C639" s="8">
        <f>IFERROR(__xludf.DUMMYFUNCTION("""COMPUTED_VALUE"""),0.93)</f>
        <v>0.93</v>
      </c>
      <c r="D639" s="7">
        <v>836774.0</v>
      </c>
      <c r="E639" s="8">
        <v>778199.8200000001</v>
      </c>
    </row>
    <row r="640">
      <c r="A640" s="7" t="str">
        <f>IFERROR(__xludf.DUMMYFUNCTION("""COMPUTED_VALUE"""),"Poland")</f>
        <v>Poland</v>
      </c>
      <c r="B640" s="7" t="str">
        <f>IFERROR(__xludf.DUMMYFUNCTION("""COMPUTED_VALUE"""),"Oberbrunner-Mann")</f>
        <v>Oberbrunner-Mann</v>
      </c>
      <c r="C640" s="8">
        <f>IFERROR(__xludf.DUMMYFUNCTION("""COMPUTED_VALUE"""),1.21)</f>
        <v>1.21</v>
      </c>
      <c r="D640" s="7">
        <v>3.9857145E7</v>
      </c>
      <c r="E640" s="8">
        <v>4.8227145449999996E7</v>
      </c>
    </row>
    <row r="641">
      <c r="A641" s="7" t="str">
        <f>IFERROR(__xludf.DUMMYFUNCTION("""COMPUTED_VALUE"""),"Argentina")</f>
        <v>Argentina</v>
      </c>
      <c r="B641" s="7" t="str">
        <f>IFERROR(__xludf.DUMMYFUNCTION("""COMPUTED_VALUE"""),"Leannon, Hammes and Runolfsson")</f>
        <v>Leannon, Hammes and Runolfsson</v>
      </c>
      <c r="C641" s="8">
        <f>IFERROR(__xludf.DUMMYFUNCTION("""COMPUTED_VALUE"""),2.17)</f>
        <v>2.17</v>
      </c>
      <c r="D641" s="7">
        <v>4.5510318E7</v>
      </c>
      <c r="E641" s="8">
        <v>9.875739006E7</v>
      </c>
    </row>
    <row r="642">
      <c r="A642" s="7" t="str">
        <f>IFERROR(__xludf.DUMMYFUNCTION("""COMPUTED_VALUE"""),"China")</f>
        <v>China</v>
      </c>
      <c r="B642" s="7" t="str">
        <f>IFERROR(__xludf.DUMMYFUNCTION("""COMPUTED_VALUE"""),"Ruecker LLC")</f>
        <v>Ruecker LLC</v>
      </c>
      <c r="C642" s="8">
        <f>IFERROR(__xludf.DUMMYFUNCTION("""COMPUTED_VALUE"""),1.19)</f>
        <v>1.19</v>
      </c>
      <c r="D642" s="7">
        <v>1.425887337E9</v>
      </c>
      <c r="E642" s="8">
        <v>1.69680593103E9</v>
      </c>
    </row>
    <row r="643">
      <c r="A643" s="7" t="str">
        <f>IFERROR(__xludf.DUMMYFUNCTION("""COMPUTED_VALUE"""),"Poland")</f>
        <v>Poland</v>
      </c>
      <c r="B643" s="7" t="str">
        <f>IFERROR(__xludf.DUMMYFUNCTION("""COMPUTED_VALUE"""),"Huels, Wisoky and Harvey")</f>
        <v>Huels, Wisoky and Harvey</v>
      </c>
      <c r="C643" s="8">
        <f>IFERROR(__xludf.DUMMYFUNCTION("""COMPUTED_VALUE"""),1.29)</f>
        <v>1.29</v>
      </c>
      <c r="D643" s="7">
        <v>3.9857145E7</v>
      </c>
      <c r="E643" s="8">
        <v>5.1415717050000004E7</v>
      </c>
    </row>
    <row r="644">
      <c r="A644" s="7" t="str">
        <f>IFERROR(__xludf.DUMMYFUNCTION("""COMPUTED_VALUE"""),"Mexico")</f>
        <v>Mexico</v>
      </c>
      <c r="B644" s="7" t="str">
        <f>IFERROR(__xludf.DUMMYFUNCTION("""COMPUTED_VALUE"""),"Murazik Inc")</f>
        <v>Murazik Inc</v>
      </c>
      <c r="C644" s="8">
        <f>IFERROR(__xludf.DUMMYFUNCTION("""COMPUTED_VALUE"""),1.14)</f>
        <v>1.14</v>
      </c>
      <c r="D644" s="7">
        <v>1.27504125E8</v>
      </c>
      <c r="E644" s="8">
        <v>1.453547025E8</v>
      </c>
    </row>
    <row r="645">
      <c r="A645" s="7" t="str">
        <f>IFERROR(__xludf.DUMMYFUNCTION("""COMPUTED_VALUE"""),"Philippines")</f>
        <v>Philippines</v>
      </c>
      <c r="B645" s="7" t="str">
        <f>IFERROR(__xludf.DUMMYFUNCTION("""COMPUTED_VALUE"""),"Cremin-Toy")</f>
        <v>Cremin-Toy</v>
      </c>
      <c r="C645" s="8">
        <f>IFERROR(__xludf.DUMMYFUNCTION("""COMPUTED_VALUE"""),1.84)</f>
        <v>1.84</v>
      </c>
      <c r="D645" s="7">
        <v>1.15559009E8</v>
      </c>
      <c r="E645" s="8">
        <v>2.1262857656E8</v>
      </c>
    </row>
    <row r="646">
      <c r="A646" s="7" t="str">
        <f>IFERROR(__xludf.DUMMYFUNCTION("""COMPUTED_VALUE"""),"Tanzania")</f>
        <v>Tanzania</v>
      </c>
      <c r="B646" s="7" t="str">
        <f>IFERROR(__xludf.DUMMYFUNCTION("""COMPUTED_VALUE"""),"Witting and Sons")</f>
        <v>Witting and Sons</v>
      </c>
      <c r="C646" s="8">
        <f>IFERROR(__xludf.DUMMYFUNCTION("""COMPUTED_VALUE"""),1.53)</f>
        <v>1.53</v>
      </c>
      <c r="D646" s="7">
        <v>6.5497748E7</v>
      </c>
      <c r="E646" s="8">
        <v>1.0021155444E8</v>
      </c>
    </row>
    <row r="647">
      <c r="A647" s="7" t="str">
        <f>IFERROR(__xludf.DUMMYFUNCTION("""COMPUTED_VALUE"""),"Portugal")</f>
        <v>Portugal</v>
      </c>
      <c r="B647" s="7" t="str">
        <f>IFERROR(__xludf.DUMMYFUNCTION("""COMPUTED_VALUE"""),"Metz-Larson")</f>
        <v>Metz-Larson</v>
      </c>
      <c r="C647" s="8">
        <f>IFERROR(__xludf.DUMMYFUNCTION("""COMPUTED_VALUE"""),2.09)</f>
        <v>2.09</v>
      </c>
      <c r="D647" s="7">
        <v>1.0270865E7</v>
      </c>
      <c r="E647" s="8">
        <v>2.1466107849999998E7</v>
      </c>
    </row>
    <row r="648">
      <c r="A648" s="7" t="str">
        <f>IFERROR(__xludf.DUMMYFUNCTION("""COMPUTED_VALUE"""),"Russia")</f>
        <v>Russia</v>
      </c>
      <c r="B648" s="7" t="str">
        <f>IFERROR(__xludf.DUMMYFUNCTION("""COMPUTED_VALUE"""),"Sauer-Howell")</f>
        <v>Sauer-Howell</v>
      </c>
      <c r="C648" s="8">
        <f>IFERROR(__xludf.DUMMYFUNCTION("""COMPUTED_VALUE"""),1.06)</f>
        <v>1.06</v>
      </c>
      <c r="D648" s="7">
        <v>1.44713314E8</v>
      </c>
      <c r="E648" s="8">
        <v>1.5339611284E8</v>
      </c>
    </row>
    <row r="649">
      <c r="A649" s="7" t="str">
        <f>IFERROR(__xludf.DUMMYFUNCTION("""COMPUTED_VALUE"""),"Canada")</f>
        <v>Canada</v>
      </c>
      <c r="B649" s="7" t="str">
        <f>IFERROR(__xludf.DUMMYFUNCTION("""COMPUTED_VALUE"""),"Murray Group")</f>
        <v>Murray Group</v>
      </c>
      <c r="C649" s="8">
        <f>IFERROR(__xludf.DUMMYFUNCTION("""COMPUTED_VALUE"""),1.95)</f>
        <v>1.95</v>
      </c>
      <c r="D649" s="7">
        <v>3.8454327E7</v>
      </c>
      <c r="E649" s="8">
        <v>7.498593764999999E7</v>
      </c>
    </row>
    <row r="650">
      <c r="A650" s="7" t="str">
        <f>IFERROR(__xludf.DUMMYFUNCTION("""COMPUTED_VALUE"""),"Russia")</f>
        <v>Russia</v>
      </c>
      <c r="B650" s="7" t="str">
        <f>IFERROR(__xludf.DUMMYFUNCTION("""COMPUTED_VALUE"""),"Skiles-Harris")</f>
        <v>Skiles-Harris</v>
      </c>
      <c r="C650" s="8">
        <f>IFERROR(__xludf.DUMMYFUNCTION("""COMPUTED_VALUE"""),1.52)</f>
        <v>1.52</v>
      </c>
      <c r="D650" s="7">
        <v>1.44713314E8</v>
      </c>
      <c r="E650" s="8">
        <v>2.1996423728E8</v>
      </c>
    </row>
    <row r="651">
      <c r="A651" s="7" t="str">
        <f>IFERROR(__xludf.DUMMYFUNCTION("""COMPUTED_VALUE"""),"Equatorial Guinea")</f>
        <v>Equatorial Guinea</v>
      </c>
      <c r="B651" s="7" t="str">
        <f>IFERROR(__xludf.DUMMYFUNCTION("""COMPUTED_VALUE"""),"Larson, Jakubowski and Considine")</f>
        <v>Larson, Jakubowski and Considine</v>
      </c>
      <c r="C651" s="8">
        <f>IFERROR(__xludf.DUMMYFUNCTION("""COMPUTED_VALUE"""),1.1)</f>
        <v>1.1</v>
      </c>
      <c r="D651" s="7">
        <v>1674908.0</v>
      </c>
      <c r="E651" s="8">
        <v>1842398.8</v>
      </c>
    </row>
    <row r="652">
      <c r="A652" s="7" t="str">
        <f>IFERROR(__xludf.DUMMYFUNCTION("""COMPUTED_VALUE"""),"Philippines")</f>
        <v>Philippines</v>
      </c>
      <c r="B652" s="7" t="str">
        <f>IFERROR(__xludf.DUMMYFUNCTION("""COMPUTED_VALUE"""),"McLaughlin, Hoppe and Hintz")</f>
        <v>McLaughlin, Hoppe and Hintz</v>
      </c>
      <c r="C652" s="8">
        <f>IFERROR(__xludf.DUMMYFUNCTION("""COMPUTED_VALUE"""),0.86)</f>
        <v>0.86</v>
      </c>
      <c r="D652" s="7">
        <v>1.15559009E8</v>
      </c>
      <c r="E652" s="8">
        <v>9.938074774E7</v>
      </c>
    </row>
    <row r="653">
      <c r="A653" s="7" t="str">
        <f>IFERROR(__xludf.DUMMYFUNCTION("""COMPUTED_VALUE"""),"Kyrgyzstan")</f>
        <v>Kyrgyzstan</v>
      </c>
      <c r="B653" s="7" t="str">
        <f>IFERROR(__xludf.DUMMYFUNCTION("""COMPUTED_VALUE"""),"Homenick and Sons")</f>
        <v>Homenick and Sons</v>
      </c>
      <c r="C653" s="8">
        <f>IFERROR(__xludf.DUMMYFUNCTION("""COMPUTED_VALUE"""),1.29)</f>
        <v>1.29</v>
      </c>
      <c r="D653" s="7">
        <v>6630623.0</v>
      </c>
      <c r="E653" s="8">
        <v>8553503.67</v>
      </c>
    </row>
    <row r="654">
      <c r="A654" s="7" t="str">
        <f>IFERROR(__xludf.DUMMYFUNCTION("""COMPUTED_VALUE"""),"Portugal")</f>
        <v>Portugal</v>
      </c>
      <c r="B654" s="7" t="str">
        <f>IFERROR(__xludf.DUMMYFUNCTION("""COMPUTED_VALUE"""),"Hayes-Gibson")</f>
        <v>Hayes-Gibson</v>
      </c>
      <c r="C654" s="8">
        <f>IFERROR(__xludf.DUMMYFUNCTION("""COMPUTED_VALUE"""),1.44)</f>
        <v>1.44</v>
      </c>
      <c r="D654" s="7">
        <v>1.0270865E7</v>
      </c>
      <c r="E654" s="8">
        <v>1.47900456E7</v>
      </c>
    </row>
    <row r="655">
      <c r="A655" s="7" t="str">
        <f>IFERROR(__xludf.DUMMYFUNCTION("""COMPUTED_VALUE"""),"Indonesia")</f>
        <v>Indonesia</v>
      </c>
      <c r="B655" s="7" t="str">
        <f>IFERROR(__xludf.DUMMYFUNCTION("""COMPUTED_VALUE"""),"Jaskolski, Hand and Kulas")</f>
        <v>Jaskolski, Hand and Kulas</v>
      </c>
      <c r="C655" s="8">
        <f>IFERROR(__xludf.DUMMYFUNCTION("""COMPUTED_VALUE"""),1.61)</f>
        <v>1.61</v>
      </c>
      <c r="D655" s="7">
        <v>2.75501339E8</v>
      </c>
      <c r="E655" s="8">
        <v>4.4355715579E8</v>
      </c>
    </row>
    <row r="656">
      <c r="A656" s="7" t="str">
        <f>IFERROR(__xludf.DUMMYFUNCTION("""COMPUTED_VALUE"""),"China")</f>
        <v>China</v>
      </c>
      <c r="B656" s="7" t="str">
        <f>IFERROR(__xludf.DUMMYFUNCTION("""COMPUTED_VALUE"""),"McLaughlin, Quitzon and Mills")</f>
        <v>McLaughlin, Quitzon and Mills</v>
      </c>
      <c r="C656" s="8">
        <f>IFERROR(__xludf.DUMMYFUNCTION("""COMPUTED_VALUE"""),2.2)</f>
        <v>2.2</v>
      </c>
      <c r="D656" s="7">
        <v>1.425887337E9</v>
      </c>
      <c r="E656" s="8">
        <v>3.1369521414E9</v>
      </c>
    </row>
    <row r="657">
      <c r="A657" s="7" t="str">
        <f>IFERROR(__xludf.DUMMYFUNCTION("""COMPUTED_VALUE"""),"Portugal")</f>
        <v>Portugal</v>
      </c>
      <c r="B657" s="7" t="str">
        <f>IFERROR(__xludf.DUMMYFUNCTION("""COMPUTED_VALUE"""),"McDermott-Bruen")</f>
        <v>McDermott-Bruen</v>
      </c>
      <c r="C657" s="8">
        <f>IFERROR(__xludf.DUMMYFUNCTION("""COMPUTED_VALUE"""),0.9)</f>
        <v>0.9</v>
      </c>
      <c r="D657" s="7">
        <v>1.0270865E7</v>
      </c>
      <c r="E657" s="8">
        <v>9243778.5</v>
      </c>
    </row>
    <row r="658">
      <c r="A658" s="7" t="str">
        <f>IFERROR(__xludf.DUMMYFUNCTION("""COMPUTED_VALUE"""),"Indonesia")</f>
        <v>Indonesia</v>
      </c>
      <c r="B658" s="7" t="str">
        <f>IFERROR(__xludf.DUMMYFUNCTION("""COMPUTED_VALUE"""),"Kris, Kutch and Beer")</f>
        <v>Kris, Kutch and Beer</v>
      </c>
      <c r="C658" s="8">
        <f>IFERROR(__xludf.DUMMYFUNCTION("""COMPUTED_VALUE"""),1.16)</f>
        <v>1.16</v>
      </c>
      <c r="D658" s="7">
        <v>2.75501339E8</v>
      </c>
      <c r="E658" s="8">
        <v>3.1958155323999995E8</v>
      </c>
    </row>
    <row r="659">
      <c r="A659" s="7" t="str">
        <f>IFERROR(__xludf.DUMMYFUNCTION("""COMPUTED_VALUE"""),"Pakistan")</f>
        <v>Pakistan</v>
      </c>
      <c r="B659" s="7" t="str">
        <f>IFERROR(__xludf.DUMMYFUNCTION("""COMPUTED_VALUE"""),"Hackett LLC")</f>
        <v>Hackett LLC</v>
      </c>
      <c r="C659" s="8">
        <f>IFERROR(__xludf.DUMMYFUNCTION("""COMPUTED_VALUE"""),1.82)</f>
        <v>1.82</v>
      </c>
      <c r="D659" s="7">
        <v>2.35824862E8</v>
      </c>
      <c r="E659" s="8">
        <v>4.2920124884000003E8</v>
      </c>
    </row>
    <row r="660">
      <c r="A660" s="7" t="str">
        <f>IFERROR(__xludf.DUMMYFUNCTION("""COMPUTED_VALUE"""),"Indonesia")</f>
        <v>Indonesia</v>
      </c>
      <c r="B660" s="7" t="str">
        <f>IFERROR(__xludf.DUMMYFUNCTION("""COMPUTED_VALUE"""),"Hermiston, Mante and Romaguera")</f>
        <v>Hermiston, Mante and Romaguera</v>
      </c>
      <c r="C660" s="8">
        <f>IFERROR(__xludf.DUMMYFUNCTION("""COMPUTED_VALUE"""),1.15)</f>
        <v>1.15</v>
      </c>
      <c r="D660" s="7">
        <v>2.75501339E8</v>
      </c>
      <c r="E660" s="8">
        <v>3.1682653984999996E8</v>
      </c>
    </row>
    <row r="661">
      <c r="A661" s="7" t="str">
        <f>IFERROR(__xludf.DUMMYFUNCTION("""COMPUTED_VALUE"""),"Bosnia and Herzegovina")</f>
        <v>Bosnia and Herzegovina</v>
      </c>
      <c r="B661" s="7" t="str">
        <f>IFERROR(__xludf.DUMMYFUNCTION("""COMPUTED_VALUE"""),"Zboncak and Sons")</f>
        <v>Zboncak and Sons</v>
      </c>
      <c r="C661" s="8">
        <f>IFERROR(__xludf.DUMMYFUNCTION("""COMPUTED_VALUE"""),0.96)</f>
        <v>0.96</v>
      </c>
      <c r="D661" s="7">
        <v>3233526.0</v>
      </c>
      <c r="E661" s="8">
        <v>3104184.96</v>
      </c>
    </row>
    <row r="662">
      <c r="A662" s="7" t="str">
        <f>IFERROR(__xludf.DUMMYFUNCTION("""COMPUTED_VALUE"""),"Croatia")</f>
        <v>Croatia</v>
      </c>
      <c r="B662" s="7" t="str">
        <f>IFERROR(__xludf.DUMMYFUNCTION("""COMPUTED_VALUE"""),"Stamm-Sipes")</f>
        <v>Stamm-Sipes</v>
      </c>
      <c r="C662" s="8">
        <f>IFERROR(__xludf.DUMMYFUNCTION("""COMPUTED_VALUE"""),2.14)</f>
        <v>2.14</v>
      </c>
      <c r="D662" s="7">
        <v>4030358.0</v>
      </c>
      <c r="E662" s="8">
        <v>8624966.120000001</v>
      </c>
    </row>
    <row r="663">
      <c r="A663" s="7" t="str">
        <f>IFERROR(__xludf.DUMMYFUNCTION("""COMPUTED_VALUE"""),"Indonesia")</f>
        <v>Indonesia</v>
      </c>
      <c r="B663" s="7" t="str">
        <f>IFERROR(__xludf.DUMMYFUNCTION("""COMPUTED_VALUE"""),"Wolff-Jakubowski")</f>
        <v>Wolff-Jakubowski</v>
      </c>
      <c r="C663" s="8">
        <f>IFERROR(__xludf.DUMMYFUNCTION("""COMPUTED_VALUE"""),1.82)</f>
        <v>1.82</v>
      </c>
      <c r="D663" s="7">
        <v>2.75501339E8</v>
      </c>
      <c r="E663" s="8">
        <v>5.0141243698E8</v>
      </c>
    </row>
    <row r="664">
      <c r="A664" s="7" t="str">
        <f>IFERROR(__xludf.DUMMYFUNCTION("""COMPUTED_VALUE"""),"China")</f>
        <v>China</v>
      </c>
      <c r="B664" s="7" t="str">
        <f>IFERROR(__xludf.DUMMYFUNCTION("""COMPUTED_VALUE"""),"Zulauf, Fritsch and Berge")</f>
        <v>Zulauf, Fritsch and Berge</v>
      </c>
      <c r="C664" s="8">
        <f>IFERROR(__xludf.DUMMYFUNCTION("""COMPUTED_VALUE"""),2.12)</f>
        <v>2.12</v>
      </c>
      <c r="D664" s="7">
        <v>1.425887337E9</v>
      </c>
      <c r="E664" s="8">
        <v>3.02288115444E9</v>
      </c>
    </row>
    <row r="665">
      <c r="A665" s="7" t="str">
        <f>IFERROR(__xludf.DUMMYFUNCTION("""COMPUTED_VALUE"""),"China")</f>
        <v>China</v>
      </c>
      <c r="B665" s="7" t="str">
        <f>IFERROR(__xludf.DUMMYFUNCTION("""COMPUTED_VALUE"""),"Veum and Sons")</f>
        <v>Veum and Sons</v>
      </c>
      <c r="C665" s="8">
        <f>IFERROR(__xludf.DUMMYFUNCTION("""COMPUTED_VALUE"""),1.55)</f>
        <v>1.55</v>
      </c>
      <c r="D665" s="7">
        <v>1.425887337E9</v>
      </c>
      <c r="E665" s="8">
        <v>2.21012537235E9</v>
      </c>
    </row>
    <row r="666">
      <c r="A666" s="7" t="str">
        <f>IFERROR(__xludf.DUMMYFUNCTION("""COMPUTED_VALUE"""),"Ireland")</f>
        <v>Ireland</v>
      </c>
      <c r="B666" s="7" t="str">
        <f>IFERROR(__xludf.DUMMYFUNCTION("""COMPUTED_VALUE"""),"Glover, Stokes and Daniel")</f>
        <v>Glover, Stokes and Daniel</v>
      </c>
      <c r="C666" s="8">
        <f>IFERROR(__xludf.DUMMYFUNCTION("""COMPUTED_VALUE"""),2.03)</f>
        <v>2.03</v>
      </c>
      <c r="D666" s="7">
        <v>5023109.0</v>
      </c>
      <c r="E666" s="8">
        <v>1.019691127E7</v>
      </c>
    </row>
    <row r="667">
      <c r="A667" s="7" t="str">
        <f>IFERROR(__xludf.DUMMYFUNCTION("""COMPUTED_VALUE"""),"Peru")</f>
        <v>Peru</v>
      </c>
      <c r="B667" s="7" t="str">
        <f>IFERROR(__xludf.DUMMYFUNCTION("""COMPUTED_VALUE"""),"Bergnaum LLC")</f>
        <v>Bergnaum LLC</v>
      </c>
      <c r="C667" s="8">
        <f>IFERROR(__xludf.DUMMYFUNCTION("""COMPUTED_VALUE"""),1.41)</f>
        <v>1.41</v>
      </c>
      <c r="D667" s="7">
        <v>3.4049588E7</v>
      </c>
      <c r="E667" s="8">
        <v>4.800991908E7</v>
      </c>
    </row>
    <row r="668">
      <c r="A668" s="7" t="str">
        <f>IFERROR(__xludf.DUMMYFUNCTION("""COMPUTED_VALUE"""),"Brazil")</f>
        <v>Brazil</v>
      </c>
      <c r="B668" s="7" t="str">
        <f>IFERROR(__xludf.DUMMYFUNCTION("""COMPUTED_VALUE"""),"Hermiston, Smitham and Lynch")</f>
        <v>Hermiston, Smitham and Lynch</v>
      </c>
      <c r="C668" s="8">
        <f>IFERROR(__xludf.DUMMYFUNCTION("""COMPUTED_VALUE"""),1.18)</f>
        <v>1.18</v>
      </c>
      <c r="D668" s="7">
        <v>2.15313498E8</v>
      </c>
      <c r="E668" s="8">
        <v>2.5406992764E8</v>
      </c>
    </row>
    <row r="669">
      <c r="A669" s="7" t="str">
        <f>IFERROR(__xludf.DUMMYFUNCTION("""COMPUTED_VALUE"""),"Canada")</f>
        <v>Canada</v>
      </c>
      <c r="B669" s="7" t="str">
        <f>IFERROR(__xludf.DUMMYFUNCTION("""COMPUTED_VALUE"""),"Stracke-Reilly")</f>
        <v>Stracke-Reilly</v>
      </c>
      <c r="C669" s="8">
        <f>IFERROR(__xludf.DUMMYFUNCTION("""COMPUTED_VALUE"""),2.04)</f>
        <v>2.04</v>
      </c>
      <c r="D669" s="7">
        <v>3.8454327E7</v>
      </c>
      <c r="E669" s="8">
        <v>7.844682708E7</v>
      </c>
    </row>
    <row r="670">
      <c r="A670" s="7" t="str">
        <f>IFERROR(__xludf.DUMMYFUNCTION("""COMPUTED_VALUE"""),"Portugal")</f>
        <v>Portugal</v>
      </c>
      <c r="B670" s="7" t="str">
        <f>IFERROR(__xludf.DUMMYFUNCTION("""COMPUTED_VALUE"""),"Schuppe-Yundt")</f>
        <v>Schuppe-Yundt</v>
      </c>
      <c r="C670" s="8">
        <f>IFERROR(__xludf.DUMMYFUNCTION("""COMPUTED_VALUE"""),1.34)</f>
        <v>1.34</v>
      </c>
      <c r="D670" s="7">
        <v>1.0270865E7</v>
      </c>
      <c r="E670" s="8">
        <v>1.3762959100000001E7</v>
      </c>
    </row>
    <row r="671">
      <c r="A671" s="7" t="str">
        <f>IFERROR(__xludf.DUMMYFUNCTION("""COMPUTED_VALUE"""),"Russia")</f>
        <v>Russia</v>
      </c>
      <c r="B671" s="7" t="str">
        <f>IFERROR(__xludf.DUMMYFUNCTION("""COMPUTED_VALUE"""),"Fay LLC")</f>
        <v>Fay LLC</v>
      </c>
      <c r="C671" s="8">
        <f>IFERROR(__xludf.DUMMYFUNCTION("""COMPUTED_VALUE"""),1.96)</f>
        <v>1.96</v>
      </c>
      <c r="D671" s="7">
        <v>1.44713314E8</v>
      </c>
      <c r="E671" s="8">
        <v>2.8363809544E8</v>
      </c>
    </row>
    <row r="672">
      <c r="A672" s="7" t="str">
        <f>IFERROR(__xludf.DUMMYFUNCTION("""COMPUTED_VALUE"""),"Philippines")</f>
        <v>Philippines</v>
      </c>
      <c r="B672" s="7" t="str">
        <f>IFERROR(__xludf.DUMMYFUNCTION("""COMPUTED_VALUE"""),"Cassin Inc")</f>
        <v>Cassin Inc</v>
      </c>
      <c r="C672" s="8">
        <f>IFERROR(__xludf.DUMMYFUNCTION("""COMPUTED_VALUE"""),0.92)</f>
        <v>0.92</v>
      </c>
      <c r="D672" s="7">
        <v>1.15559009E8</v>
      </c>
      <c r="E672" s="8">
        <v>1.0631428828E8</v>
      </c>
    </row>
    <row r="673">
      <c r="A673" s="7" t="str">
        <f>IFERROR(__xludf.DUMMYFUNCTION("""COMPUTED_VALUE"""),"United States")</f>
        <v>United States</v>
      </c>
      <c r="B673" s="7" t="str">
        <f>IFERROR(__xludf.DUMMYFUNCTION("""COMPUTED_VALUE"""),"Schultz-Kunde")</f>
        <v>Schultz-Kunde</v>
      </c>
      <c r="C673" s="8">
        <f>IFERROR(__xludf.DUMMYFUNCTION("""COMPUTED_VALUE"""),2.11)</f>
        <v>2.11</v>
      </c>
      <c r="D673" s="7">
        <v>3.38289857E8</v>
      </c>
      <c r="E673" s="8">
        <v>7.1379159827E8</v>
      </c>
    </row>
    <row r="674">
      <c r="A674" s="7" t="str">
        <f>IFERROR(__xludf.DUMMYFUNCTION("""COMPUTED_VALUE"""),"Czech Republic")</f>
        <v>Czech Republic</v>
      </c>
      <c r="B674" s="7" t="str">
        <f>IFERROR(__xludf.DUMMYFUNCTION("""COMPUTED_VALUE"""),"Ortiz-Greenholt")</f>
        <v>Ortiz-Greenholt</v>
      </c>
      <c r="C674" s="8">
        <f>IFERROR(__xludf.DUMMYFUNCTION("""COMPUTED_VALUE"""),1.27)</f>
        <v>1.27</v>
      </c>
      <c r="D674" s="7">
        <v>1.0493986E7</v>
      </c>
      <c r="E674" s="8">
        <v>1.332736222E7</v>
      </c>
    </row>
    <row r="675">
      <c r="A675" s="7" t="str">
        <f>IFERROR(__xludf.DUMMYFUNCTION("""COMPUTED_VALUE"""),"Chad")</f>
        <v>Chad</v>
      </c>
      <c r="B675" s="7" t="str">
        <f>IFERROR(__xludf.DUMMYFUNCTION("""COMPUTED_VALUE"""),"Dare-Wilkinson")</f>
        <v>Dare-Wilkinson</v>
      </c>
      <c r="C675" s="8">
        <f>IFERROR(__xludf.DUMMYFUNCTION("""COMPUTED_VALUE"""),0.85)</f>
        <v>0.85</v>
      </c>
      <c r="D675" s="7">
        <v>1.7723315E7</v>
      </c>
      <c r="E675" s="8">
        <v>1.506481775E7</v>
      </c>
    </row>
    <row r="676">
      <c r="A676" s="7" t="str">
        <f>IFERROR(__xludf.DUMMYFUNCTION("""COMPUTED_VALUE"""),"Brazil")</f>
        <v>Brazil</v>
      </c>
      <c r="B676" s="7" t="str">
        <f>IFERROR(__xludf.DUMMYFUNCTION("""COMPUTED_VALUE"""),"Koepp LLC")</f>
        <v>Koepp LLC</v>
      </c>
      <c r="C676" s="8">
        <f>IFERROR(__xludf.DUMMYFUNCTION("""COMPUTED_VALUE"""),1.56)</f>
        <v>1.56</v>
      </c>
      <c r="D676" s="7">
        <v>2.15313498E8</v>
      </c>
      <c r="E676" s="8">
        <v>3.3588905688E8</v>
      </c>
    </row>
    <row r="677">
      <c r="A677" s="7" t="str">
        <f>IFERROR(__xludf.DUMMYFUNCTION("""COMPUTED_VALUE"""),"China")</f>
        <v>China</v>
      </c>
      <c r="B677" s="7" t="str">
        <f>IFERROR(__xludf.DUMMYFUNCTION("""COMPUTED_VALUE"""),"Abbott, Quigley and Jerde")</f>
        <v>Abbott, Quigley and Jerde</v>
      </c>
      <c r="C677" s="8">
        <f>IFERROR(__xludf.DUMMYFUNCTION("""COMPUTED_VALUE"""),1.8)</f>
        <v>1.8</v>
      </c>
      <c r="D677" s="7">
        <v>1.425887337E9</v>
      </c>
      <c r="E677" s="8">
        <v>2.5665972066E9</v>
      </c>
    </row>
    <row r="678">
      <c r="A678" s="7" t="str">
        <f>IFERROR(__xludf.DUMMYFUNCTION("""COMPUTED_VALUE"""),"China")</f>
        <v>China</v>
      </c>
      <c r="B678" s="7" t="str">
        <f>IFERROR(__xludf.DUMMYFUNCTION("""COMPUTED_VALUE"""),"Davis, Fahey and Schinner")</f>
        <v>Davis, Fahey and Schinner</v>
      </c>
      <c r="C678" s="8">
        <f>IFERROR(__xludf.DUMMYFUNCTION("""COMPUTED_VALUE"""),2.04)</f>
        <v>2.04</v>
      </c>
      <c r="D678" s="7">
        <v>1.425887337E9</v>
      </c>
      <c r="E678" s="8">
        <v>2.90881016748E9</v>
      </c>
    </row>
    <row r="679">
      <c r="A679" s="7" t="str">
        <f>IFERROR(__xludf.DUMMYFUNCTION("""COMPUTED_VALUE"""),"Iran")</f>
        <v>Iran</v>
      </c>
      <c r="B679" s="7" t="str">
        <f>IFERROR(__xludf.DUMMYFUNCTION("""COMPUTED_VALUE"""),"Schuster Group")</f>
        <v>Schuster Group</v>
      </c>
      <c r="C679" s="8">
        <f>IFERROR(__xludf.DUMMYFUNCTION("""COMPUTED_VALUE"""),2.09)</f>
        <v>2.09</v>
      </c>
      <c r="D679" s="7">
        <v>8.855057E7</v>
      </c>
      <c r="E679" s="8">
        <v>1.8507069129999998E8</v>
      </c>
    </row>
    <row r="680">
      <c r="A680" s="7" t="str">
        <f>IFERROR(__xludf.DUMMYFUNCTION("""COMPUTED_VALUE"""),"Russia")</f>
        <v>Russia</v>
      </c>
      <c r="B680" s="7" t="str">
        <f>IFERROR(__xludf.DUMMYFUNCTION("""COMPUTED_VALUE"""),"Ondricka, Roob and Balistreri")</f>
        <v>Ondricka, Roob and Balistreri</v>
      </c>
      <c r="C680" s="8">
        <f>IFERROR(__xludf.DUMMYFUNCTION("""COMPUTED_VALUE"""),1.04)</f>
        <v>1.04</v>
      </c>
      <c r="D680" s="7">
        <v>1.44713314E8</v>
      </c>
      <c r="E680" s="8">
        <v>1.5050184656E8</v>
      </c>
    </row>
    <row r="681">
      <c r="A681" s="7" t="str">
        <f>IFERROR(__xludf.DUMMYFUNCTION("""COMPUTED_VALUE"""),"Syria")</f>
        <v>Syria</v>
      </c>
      <c r="B681" s="7" t="str">
        <f>IFERROR(__xludf.DUMMYFUNCTION("""COMPUTED_VALUE"""),"Glover-Walker")</f>
        <v>Glover-Walker</v>
      </c>
      <c r="C681" s="8">
        <f>IFERROR(__xludf.DUMMYFUNCTION("""COMPUTED_VALUE"""),1.78)</f>
        <v>1.78</v>
      </c>
      <c r="D681" s="7">
        <v>2.2125249E7</v>
      </c>
      <c r="E681" s="8">
        <v>3.938294322E7</v>
      </c>
    </row>
    <row r="682">
      <c r="A682" s="7" t="str">
        <f>IFERROR(__xludf.DUMMYFUNCTION("""COMPUTED_VALUE"""),"Poland")</f>
        <v>Poland</v>
      </c>
      <c r="B682" s="7" t="str">
        <f>IFERROR(__xludf.DUMMYFUNCTION("""COMPUTED_VALUE"""),"Jones Inc")</f>
        <v>Jones Inc</v>
      </c>
      <c r="C682" s="8">
        <f>IFERROR(__xludf.DUMMYFUNCTION("""COMPUTED_VALUE"""),1.24)</f>
        <v>1.24</v>
      </c>
      <c r="D682" s="7">
        <v>3.9857145E7</v>
      </c>
      <c r="E682" s="8">
        <v>4.94228598E7</v>
      </c>
    </row>
    <row r="683">
      <c r="A683" s="7" t="str">
        <f>IFERROR(__xludf.DUMMYFUNCTION("""COMPUTED_VALUE"""),"Saint Lucia")</f>
        <v>Saint Lucia</v>
      </c>
      <c r="B683" s="7" t="str">
        <f>IFERROR(__xludf.DUMMYFUNCTION("""COMPUTED_VALUE"""),"Braun, Swaniawski and Wilderman")</f>
        <v>Braun, Swaniawski and Wilderman</v>
      </c>
      <c r="C683" s="8">
        <f>IFERROR(__xludf.DUMMYFUNCTION("""COMPUTED_VALUE"""),2.07)</f>
        <v>2.07</v>
      </c>
      <c r="D683" s="7">
        <v>179857.0</v>
      </c>
      <c r="E683" s="8">
        <v>372303.99</v>
      </c>
    </row>
    <row r="684">
      <c r="A684" s="7" t="str">
        <f>IFERROR(__xludf.DUMMYFUNCTION("""COMPUTED_VALUE"""),"Lithuania")</f>
        <v>Lithuania</v>
      </c>
      <c r="B684" s="7" t="str">
        <f>IFERROR(__xludf.DUMMYFUNCTION("""COMPUTED_VALUE"""),"Ondricka-Schulist")</f>
        <v>Ondricka-Schulist</v>
      </c>
      <c r="C684" s="8">
        <f>IFERROR(__xludf.DUMMYFUNCTION("""COMPUTED_VALUE"""),1.33)</f>
        <v>1.33</v>
      </c>
      <c r="D684" s="7">
        <v>2750055.0</v>
      </c>
      <c r="E684" s="8">
        <v>3657573.1500000004</v>
      </c>
    </row>
    <row r="685">
      <c r="A685" s="7" t="str">
        <f>IFERROR(__xludf.DUMMYFUNCTION("""COMPUTED_VALUE"""),"Portugal")</f>
        <v>Portugal</v>
      </c>
      <c r="B685" s="7" t="str">
        <f>IFERROR(__xludf.DUMMYFUNCTION("""COMPUTED_VALUE"""),"Kshlerin-Hills")</f>
        <v>Kshlerin-Hills</v>
      </c>
      <c r="C685" s="8">
        <f>IFERROR(__xludf.DUMMYFUNCTION("""COMPUTED_VALUE"""),1.73)</f>
        <v>1.73</v>
      </c>
      <c r="D685" s="7">
        <v>1.0270865E7</v>
      </c>
      <c r="E685" s="8">
        <v>1.776859645E7</v>
      </c>
    </row>
    <row r="686">
      <c r="A686" s="7" t="str">
        <f>IFERROR(__xludf.DUMMYFUNCTION("""COMPUTED_VALUE"""),"Ukraine")</f>
        <v>Ukraine</v>
      </c>
      <c r="B686" s="7" t="str">
        <f>IFERROR(__xludf.DUMMYFUNCTION("""COMPUTED_VALUE"""),"Dietrich, Quigley and Lehner")</f>
        <v>Dietrich, Quigley and Lehner</v>
      </c>
      <c r="C686" s="8">
        <f>IFERROR(__xludf.DUMMYFUNCTION("""COMPUTED_VALUE"""),1.56)</f>
        <v>1.56</v>
      </c>
      <c r="D686" s="7">
        <v>3.9701739E7</v>
      </c>
      <c r="E686" s="8">
        <v>6.193471284E7</v>
      </c>
    </row>
    <row r="687">
      <c r="A687" s="7" t="str">
        <f>IFERROR(__xludf.DUMMYFUNCTION("""COMPUTED_VALUE"""),"Philippines")</f>
        <v>Philippines</v>
      </c>
      <c r="B687" s="7" t="str">
        <f>IFERROR(__xludf.DUMMYFUNCTION("""COMPUTED_VALUE"""),"Lockman, White and Schmidt")</f>
        <v>Lockman, White and Schmidt</v>
      </c>
      <c r="C687" s="8">
        <f>IFERROR(__xludf.DUMMYFUNCTION("""COMPUTED_VALUE"""),0.98)</f>
        <v>0.98</v>
      </c>
      <c r="D687" s="7">
        <v>1.15559009E8</v>
      </c>
      <c r="E687" s="8">
        <v>1.1324782882E8</v>
      </c>
    </row>
    <row r="688">
      <c r="A688" s="7" t="str">
        <f>IFERROR(__xludf.DUMMYFUNCTION("""COMPUTED_VALUE"""),"Philippines")</f>
        <v>Philippines</v>
      </c>
      <c r="B688" s="7" t="str">
        <f>IFERROR(__xludf.DUMMYFUNCTION("""COMPUTED_VALUE"""),"Kling-Johns")</f>
        <v>Kling-Johns</v>
      </c>
      <c r="C688" s="8">
        <f>IFERROR(__xludf.DUMMYFUNCTION("""COMPUTED_VALUE"""),2.18)</f>
        <v>2.18</v>
      </c>
      <c r="D688" s="7">
        <v>1.15559009E8</v>
      </c>
      <c r="E688" s="8">
        <v>2.5191863962E8</v>
      </c>
    </row>
    <row r="689">
      <c r="A689" s="7" t="str">
        <f>IFERROR(__xludf.DUMMYFUNCTION("""COMPUTED_VALUE"""),"Poland")</f>
        <v>Poland</v>
      </c>
      <c r="B689" s="7" t="str">
        <f>IFERROR(__xludf.DUMMYFUNCTION("""COMPUTED_VALUE"""),"Cormier Group")</f>
        <v>Cormier Group</v>
      </c>
      <c r="C689" s="8">
        <f>IFERROR(__xludf.DUMMYFUNCTION("""COMPUTED_VALUE"""),1.14)</f>
        <v>1.14</v>
      </c>
      <c r="D689" s="7">
        <v>3.9857145E7</v>
      </c>
      <c r="E689" s="8">
        <v>4.54371453E7</v>
      </c>
    </row>
    <row r="690">
      <c r="A690" s="7" t="str">
        <f>IFERROR(__xludf.DUMMYFUNCTION("""COMPUTED_VALUE"""),"China")</f>
        <v>China</v>
      </c>
      <c r="B690" s="7" t="str">
        <f>IFERROR(__xludf.DUMMYFUNCTION("""COMPUTED_VALUE"""),"Wilderman-Padberg")</f>
        <v>Wilderman-Padberg</v>
      </c>
      <c r="C690" s="8">
        <f>IFERROR(__xludf.DUMMYFUNCTION("""COMPUTED_VALUE"""),1.54)</f>
        <v>1.54</v>
      </c>
      <c r="D690" s="7">
        <v>1.425887337E9</v>
      </c>
      <c r="E690" s="8">
        <v>2.19586649898E9</v>
      </c>
    </row>
    <row r="691">
      <c r="A691" s="7" t="str">
        <f>IFERROR(__xludf.DUMMYFUNCTION("""COMPUTED_VALUE"""),"China")</f>
        <v>China</v>
      </c>
      <c r="B691" s="7" t="str">
        <f>IFERROR(__xludf.DUMMYFUNCTION("""COMPUTED_VALUE"""),"Krajcik LLC")</f>
        <v>Krajcik LLC</v>
      </c>
      <c r="C691" s="8">
        <f>IFERROR(__xludf.DUMMYFUNCTION("""COMPUTED_VALUE"""),1.0)</f>
        <v>1</v>
      </c>
      <c r="D691" s="7">
        <v>1.425887337E9</v>
      </c>
      <c r="E691" s="8">
        <v>1.425887337E9</v>
      </c>
    </row>
    <row r="692">
      <c r="A692" s="7" t="str">
        <f>IFERROR(__xludf.DUMMYFUNCTION("""COMPUTED_VALUE"""),"Armenia")</f>
        <v>Armenia</v>
      </c>
      <c r="B692" s="7" t="str">
        <f>IFERROR(__xludf.DUMMYFUNCTION("""COMPUTED_VALUE"""),"Frami-Monahan")</f>
        <v>Frami-Monahan</v>
      </c>
      <c r="C692" s="8">
        <f>IFERROR(__xludf.DUMMYFUNCTION("""COMPUTED_VALUE"""),2.16)</f>
        <v>2.16</v>
      </c>
      <c r="D692" s="7">
        <v>2780469.0</v>
      </c>
      <c r="E692" s="8">
        <v>6005813.04</v>
      </c>
    </row>
    <row r="693">
      <c r="A693" s="7" t="str">
        <f>IFERROR(__xludf.DUMMYFUNCTION("""COMPUTED_VALUE"""),"Poland")</f>
        <v>Poland</v>
      </c>
      <c r="B693" s="7" t="str">
        <f>IFERROR(__xludf.DUMMYFUNCTION("""COMPUTED_VALUE"""),"Runolfsson Group")</f>
        <v>Runolfsson Group</v>
      </c>
      <c r="C693" s="8">
        <f>IFERROR(__xludf.DUMMYFUNCTION("""COMPUTED_VALUE"""),1.91)</f>
        <v>1.91</v>
      </c>
      <c r="D693" s="7">
        <v>3.9857145E7</v>
      </c>
      <c r="E693" s="8">
        <v>7.612714695E7</v>
      </c>
    </row>
    <row r="694">
      <c r="A694" s="7" t="str">
        <f>IFERROR(__xludf.DUMMYFUNCTION("""COMPUTED_VALUE"""),"China")</f>
        <v>China</v>
      </c>
      <c r="B694" s="7" t="str">
        <f>IFERROR(__xludf.DUMMYFUNCTION("""COMPUTED_VALUE"""),"Harris-Gorczany")</f>
        <v>Harris-Gorczany</v>
      </c>
      <c r="C694" s="8">
        <f>IFERROR(__xludf.DUMMYFUNCTION("""COMPUTED_VALUE"""),2.13)</f>
        <v>2.13</v>
      </c>
      <c r="D694" s="7">
        <v>1.425887337E9</v>
      </c>
      <c r="E694" s="8">
        <v>3.03714002781E9</v>
      </c>
    </row>
    <row r="695">
      <c r="A695" s="7" t="str">
        <f>IFERROR(__xludf.DUMMYFUNCTION("""COMPUTED_VALUE"""),"Uzbekistan")</f>
        <v>Uzbekistan</v>
      </c>
      <c r="B695" s="7" t="str">
        <f>IFERROR(__xludf.DUMMYFUNCTION("""COMPUTED_VALUE"""),"Schuppe Group")</f>
        <v>Schuppe Group</v>
      </c>
      <c r="C695" s="8">
        <f>IFERROR(__xludf.DUMMYFUNCTION("""COMPUTED_VALUE"""),1.97)</f>
        <v>1.97</v>
      </c>
      <c r="D695" s="7">
        <v>3.4627652E7</v>
      </c>
      <c r="E695" s="8">
        <v>6.821647444E7</v>
      </c>
    </row>
    <row r="696">
      <c r="A696" s="7" t="str">
        <f>IFERROR(__xludf.DUMMYFUNCTION("""COMPUTED_VALUE"""),"Russia")</f>
        <v>Russia</v>
      </c>
      <c r="B696" s="7" t="str">
        <f>IFERROR(__xludf.DUMMYFUNCTION("""COMPUTED_VALUE"""),"McCullough Inc")</f>
        <v>McCullough Inc</v>
      </c>
      <c r="C696" s="8">
        <f>IFERROR(__xludf.DUMMYFUNCTION("""COMPUTED_VALUE"""),1.34)</f>
        <v>1.34</v>
      </c>
      <c r="D696" s="7">
        <v>1.44713314E8</v>
      </c>
      <c r="E696" s="8">
        <v>1.9391584076000002E8</v>
      </c>
    </row>
    <row r="697">
      <c r="A697" s="7" t="str">
        <f>IFERROR(__xludf.DUMMYFUNCTION("""COMPUTED_VALUE"""),"Brazil")</f>
        <v>Brazil</v>
      </c>
      <c r="B697" s="7" t="str">
        <f>IFERROR(__xludf.DUMMYFUNCTION("""COMPUTED_VALUE"""),"Nicolas and Sons")</f>
        <v>Nicolas and Sons</v>
      </c>
      <c r="C697" s="8">
        <f>IFERROR(__xludf.DUMMYFUNCTION("""COMPUTED_VALUE"""),0.94)</f>
        <v>0.94</v>
      </c>
      <c r="D697" s="7">
        <v>2.15313498E8</v>
      </c>
      <c r="E697" s="8">
        <v>2.0239468811999997E8</v>
      </c>
    </row>
    <row r="698">
      <c r="A698" s="7" t="str">
        <f>IFERROR(__xludf.DUMMYFUNCTION("""COMPUTED_VALUE"""),"Azerbaijan")</f>
        <v>Azerbaijan</v>
      </c>
      <c r="B698" s="7" t="str">
        <f>IFERROR(__xludf.DUMMYFUNCTION("""COMPUTED_VALUE"""),"Hudson-Pacocha")</f>
        <v>Hudson-Pacocha</v>
      </c>
      <c r="C698" s="8">
        <f>IFERROR(__xludf.DUMMYFUNCTION("""COMPUTED_VALUE"""),1.03)</f>
        <v>1.03</v>
      </c>
      <c r="D698" s="7">
        <v>1.0358074E7</v>
      </c>
      <c r="E698" s="8">
        <v>1.066881622E7</v>
      </c>
    </row>
    <row r="699">
      <c r="A699" s="7" t="str">
        <f>IFERROR(__xludf.DUMMYFUNCTION("""COMPUTED_VALUE"""),"Indonesia")</f>
        <v>Indonesia</v>
      </c>
      <c r="B699" s="7" t="str">
        <f>IFERROR(__xludf.DUMMYFUNCTION("""COMPUTED_VALUE"""),"Miller-Tremblay")</f>
        <v>Miller-Tremblay</v>
      </c>
      <c r="C699" s="8">
        <f>IFERROR(__xludf.DUMMYFUNCTION("""COMPUTED_VALUE"""),2.16)</f>
        <v>2.16</v>
      </c>
      <c r="D699" s="7">
        <v>2.75501339E8</v>
      </c>
      <c r="E699" s="8">
        <v>5.9508289224E8</v>
      </c>
    </row>
    <row r="700">
      <c r="A700" s="7" t="str">
        <f>IFERROR(__xludf.DUMMYFUNCTION("""COMPUTED_VALUE"""),"Argentina")</f>
        <v>Argentina</v>
      </c>
      <c r="B700" s="7" t="str">
        <f>IFERROR(__xludf.DUMMYFUNCTION("""COMPUTED_VALUE"""),"Bahringer Group")</f>
        <v>Bahringer Group</v>
      </c>
      <c r="C700" s="8">
        <f>IFERROR(__xludf.DUMMYFUNCTION("""COMPUTED_VALUE"""),1.67)</f>
        <v>1.67</v>
      </c>
      <c r="D700" s="7">
        <v>4.5510318E7</v>
      </c>
      <c r="E700" s="8">
        <v>7.600223106E7</v>
      </c>
    </row>
    <row r="701">
      <c r="A701" s="7" t="str">
        <f>IFERROR(__xludf.DUMMYFUNCTION("""COMPUTED_VALUE"""),"Philippines")</f>
        <v>Philippines</v>
      </c>
      <c r="B701" s="7" t="str">
        <f>IFERROR(__xludf.DUMMYFUNCTION("""COMPUTED_VALUE"""),"Lehner, Baumbach and Considine")</f>
        <v>Lehner, Baumbach and Considine</v>
      </c>
      <c r="C701" s="8">
        <f>IFERROR(__xludf.DUMMYFUNCTION("""COMPUTED_VALUE"""),0.89)</f>
        <v>0.89</v>
      </c>
      <c r="D701" s="7">
        <v>1.15559009E8</v>
      </c>
      <c r="E701" s="8">
        <v>1.0284751801E8</v>
      </c>
    </row>
    <row r="702">
      <c r="A702" s="7" t="str">
        <f>IFERROR(__xludf.DUMMYFUNCTION("""COMPUTED_VALUE"""),"Portugal")</f>
        <v>Portugal</v>
      </c>
      <c r="B702" s="7" t="str">
        <f>IFERROR(__xludf.DUMMYFUNCTION("""COMPUTED_VALUE"""),"Baumbach-Wuckert")</f>
        <v>Baumbach-Wuckert</v>
      </c>
      <c r="C702" s="8">
        <f>IFERROR(__xludf.DUMMYFUNCTION("""COMPUTED_VALUE"""),2.07)</f>
        <v>2.07</v>
      </c>
      <c r="D702" s="7">
        <v>1.0270865E7</v>
      </c>
      <c r="E702" s="8">
        <v>2.1260690549999997E7</v>
      </c>
    </row>
    <row r="703">
      <c r="A703" s="7" t="str">
        <f>IFERROR(__xludf.DUMMYFUNCTION("""COMPUTED_VALUE"""),"Sweden")</f>
        <v>Sweden</v>
      </c>
      <c r="B703" s="7" t="str">
        <f>IFERROR(__xludf.DUMMYFUNCTION("""COMPUTED_VALUE"""),"Fritsch, Fay and Douglas")</f>
        <v>Fritsch, Fay and Douglas</v>
      </c>
      <c r="C703" s="8">
        <f>IFERROR(__xludf.DUMMYFUNCTION("""COMPUTED_VALUE"""),1.8)</f>
        <v>1.8</v>
      </c>
      <c r="D703" s="7">
        <v>1.0549347E7</v>
      </c>
      <c r="E703" s="8">
        <v>1.89888246E7</v>
      </c>
    </row>
    <row r="704">
      <c r="A704" s="7" t="str">
        <f>IFERROR(__xludf.DUMMYFUNCTION("""COMPUTED_VALUE"""),"Russia")</f>
        <v>Russia</v>
      </c>
      <c r="B704" s="7" t="str">
        <f>IFERROR(__xludf.DUMMYFUNCTION("""COMPUTED_VALUE"""),"DuBuque LLC")</f>
        <v>DuBuque LLC</v>
      </c>
      <c r="C704" s="8">
        <f>IFERROR(__xludf.DUMMYFUNCTION("""COMPUTED_VALUE"""),0.94)</f>
        <v>0.94</v>
      </c>
      <c r="D704" s="7">
        <v>1.44713314E8</v>
      </c>
      <c r="E704" s="8">
        <v>1.3603051516E8</v>
      </c>
    </row>
    <row r="705">
      <c r="A705" s="7" t="str">
        <f>IFERROR(__xludf.DUMMYFUNCTION("""COMPUTED_VALUE"""),"China")</f>
        <v>China</v>
      </c>
      <c r="B705" s="7" t="str">
        <f>IFERROR(__xludf.DUMMYFUNCTION("""COMPUTED_VALUE"""),"Trantow-Bednar")</f>
        <v>Trantow-Bednar</v>
      </c>
      <c r="C705" s="8">
        <f>IFERROR(__xludf.DUMMYFUNCTION("""COMPUTED_VALUE"""),1.19)</f>
        <v>1.19</v>
      </c>
      <c r="D705" s="7">
        <v>1.425887337E9</v>
      </c>
      <c r="E705" s="8">
        <v>1.69680593103E9</v>
      </c>
    </row>
    <row r="706">
      <c r="A706" s="7" t="str">
        <f>IFERROR(__xludf.DUMMYFUNCTION("""COMPUTED_VALUE"""),"Guatemala")</f>
        <v>Guatemala</v>
      </c>
      <c r="B706" s="7" t="str">
        <f>IFERROR(__xludf.DUMMYFUNCTION("""COMPUTED_VALUE"""),"Auer, Dare and Kris")</f>
        <v>Auer, Dare and Kris</v>
      </c>
      <c r="C706" s="8">
        <f>IFERROR(__xludf.DUMMYFUNCTION("""COMPUTED_VALUE"""),1.53)</f>
        <v>1.53</v>
      </c>
      <c r="D706" s="7">
        <v>1.7843908E7</v>
      </c>
      <c r="E706" s="8">
        <v>2.7301179240000002E7</v>
      </c>
    </row>
    <row r="707">
      <c r="A707" s="7" t="str">
        <f>IFERROR(__xludf.DUMMYFUNCTION("""COMPUTED_VALUE"""),"Afghanistan")</f>
        <v>Afghanistan</v>
      </c>
      <c r="B707" s="7" t="str">
        <f>IFERROR(__xludf.DUMMYFUNCTION("""COMPUTED_VALUE"""),"Volkman, Powlowski and Morar")</f>
        <v>Volkman, Powlowski and Morar</v>
      </c>
      <c r="C707" s="8">
        <f>IFERROR(__xludf.DUMMYFUNCTION("""COMPUTED_VALUE"""),1.69)</f>
        <v>1.69</v>
      </c>
      <c r="D707" s="7">
        <v>4.1128771E7</v>
      </c>
      <c r="E707" s="8">
        <v>6.950762299E7</v>
      </c>
    </row>
    <row r="708">
      <c r="A708" s="7" t="str">
        <f>IFERROR(__xludf.DUMMYFUNCTION("""COMPUTED_VALUE"""),"China")</f>
        <v>China</v>
      </c>
      <c r="B708" s="7" t="str">
        <f>IFERROR(__xludf.DUMMYFUNCTION("""COMPUTED_VALUE"""),"Metz and Sons")</f>
        <v>Metz and Sons</v>
      </c>
      <c r="C708" s="8">
        <f>IFERROR(__xludf.DUMMYFUNCTION("""COMPUTED_VALUE"""),0.97)</f>
        <v>0.97</v>
      </c>
      <c r="D708" s="7">
        <v>1.425887337E9</v>
      </c>
      <c r="E708" s="8">
        <v>1.3831107168899999E9</v>
      </c>
    </row>
    <row r="709">
      <c r="A709" s="7" t="str">
        <f>IFERROR(__xludf.DUMMYFUNCTION("""COMPUTED_VALUE"""),"Sweden")</f>
        <v>Sweden</v>
      </c>
      <c r="B709" s="7" t="str">
        <f>IFERROR(__xludf.DUMMYFUNCTION("""COMPUTED_VALUE"""),"Mohr-Herzog")</f>
        <v>Mohr-Herzog</v>
      </c>
      <c r="C709" s="8">
        <f>IFERROR(__xludf.DUMMYFUNCTION("""COMPUTED_VALUE"""),2.11)</f>
        <v>2.11</v>
      </c>
      <c r="D709" s="7">
        <v>1.0549347E7</v>
      </c>
      <c r="E709" s="8">
        <v>2.2259122169999998E7</v>
      </c>
    </row>
    <row r="710">
      <c r="A710" s="7" t="str">
        <f>IFERROR(__xludf.DUMMYFUNCTION("""COMPUTED_VALUE"""),"Nicaragua")</f>
        <v>Nicaragua</v>
      </c>
      <c r="B710" s="7" t="str">
        <f>IFERROR(__xludf.DUMMYFUNCTION("""COMPUTED_VALUE"""),"Crist-Zboncak")</f>
        <v>Crist-Zboncak</v>
      </c>
      <c r="C710" s="8">
        <f>IFERROR(__xludf.DUMMYFUNCTION("""COMPUTED_VALUE"""),1.66)</f>
        <v>1.66</v>
      </c>
      <c r="D710" s="7">
        <v>6948392.0</v>
      </c>
      <c r="E710" s="8">
        <v>1.1534330719999999E7</v>
      </c>
    </row>
    <row r="711">
      <c r="A711" s="7" t="str">
        <f>IFERROR(__xludf.DUMMYFUNCTION("""COMPUTED_VALUE"""),"Sri Lanka")</f>
        <v>Sri Lanka</v>
      </c>
      <c r="B711" s="7" t="str">
        <f>IFERROR(__xludf.DUMMYFUNCTION("""COMPUTED_VALUE"""),"Bode, Shields and Mayer")</f>
        <v>Bode, Shields and Mayer</v>
      </c>
      <c r="C711" s="8">
        <f>IFERROR(__xludf.DUMMYFUNCTION("""COMPUTED_VALUE"""),2.09)</f>
        <v>2.09</v>
      </c>
      <c r="D711" s="7">
        <v>2.1832143E7</v>
      </c>
      <c r="E711" s="8">
        <v>4.562917887E7</v>
      </c>
    </row>
    <row r="712">
      <c r="A712" s="7" t="str">
        <f>IFERROR(__xludf.DUMMYFUNCTION("""COMPUTED_VALUE"""),"Mexico")</f>
        <v>Mexico</v>
      </c>
      <c r="B712" s="7" t="str">
        <f>IFERROR(__xludf.DUMMYFUNCTION("""COMPUTED_VALUE"""),"Jaskolski Inc")</f>
        <v>Jaskolski Inc</v>
      </c>
      <c r="C712" s="8">
        <f>IFERROR(__xludf.DUMMYFUNCTION("""COMPUTED_VALUE"""),1.73)</f>
        <v>1.73</v>
      </c>
      <c r="D712" s="7">
        <v>1.27504125E8</v>
      </c>
      <c r="E712" s="8">
        <v>2.2058213625E8</v>
      </c>
    </row>
    <row r="713">
      <c r="A713" s="7" t="str">
        <f>IFERROR(__xludf.DUMMYFUNCTION("""COMPUTED_VALUE"""),"Syria")</f>
        <v>Syria</v>
      </c>
      <c r="B713" s="7" t="str">
        <f>IFERROR(__xludf.DUMMYFUNCTION("""COMPUTED_VALUE"""),"Murphy, Rice and Emmerich")</f>
        <v>Murphy, Rice and Emmerich</v>
      </c>
      <c r="C713" s="8">
        <f>IFERROR(__xludf.DUMMYFUNCTION("""COMPUTED_VALUE"""),1.88)</f>
        <v>1.88</v>
      </c>
      <c r="D713" s="7">
        <v>2.2125249E7</v>
      </c>
      <c r="E713" s="8">
        <v>4.159546812E7</v>
      </c>
    </row>
    <row r="714">
      <c r="A714" s="7" t="str">
        <f>IFERROR(__xludf.DUMMYFUNCTION("""COMPUTED_VALUE"""),"Mexico")</f>
        <v>Mexico</v>
      </c>
      <c r="B714" s="7" t="str">
        <f>IFERROR(__xludf.DUMMYFUNCTION("""COMPUTED_VALUE"""),"Toy-Morar")</f>
        <v>Toy-Morar</v>
      </c>
      <c r="C714" s="8">
        <f>IFERROR(__xludf.DUMMYFUNCTION("""COMPUTED_VALUE"""),1.13)</f>
        <v>1.13</v>
      </c>
      <c r="D714" s="7">
        <v>1.27504125E8</v>
      </c>
      <c r="E714" s="8">
        <v>1.4407966125E8</v>
      </c>
    </row>
    <row r="715">
      <c r="A715" s="7" t="str">
        <f>IFERROR(__xludf.DUMMYFUNCTION("""COMPUTED_VALUE"""),"Philippines")</f>
        <v>Philippines</v>
      </c>
      <c r="B715" s="7" t="str">
        <f>IFERROR(__xludf.DUMMYFUNCTION("""COMPUTED_VALUE"""),"Bogisich, Heidenreich and Kling")</f>
        <v>Bogisich, Heidenreich and Kling</v>
      </c>
      <c r="C715" s="8">
        <f>IFERROR(__xludf.DUMMYFUNCTION("""COMPUTED_VALUE"""),0.96)</f>
        <v>0.96</v>
      </c>
      <c r="D715" s="7">
        <v>1.15559009E8</v>
      </c>
      <c r="E715" s="8">
        <v>1.1093664864E8</v>
      </c>
    </row>
    <row r="716">
      <c r="A716" s="7" t="str">
        <f>IFERROR(__xludf.DUMMYFUNCTION("""COMPUTED_VALUE"""),"Haiti")</f>
        <v>Haiti</v>
      </c>
      <c r="B716" s="7" t="str">
        <f>IFERROR(__xludf.DUMMYFUNCTION("""COMPUTED_VALUE"""),"Emard-D'Amore")</f>
        <v>Emard-D'Amore</v>
      </c>
      <c r="C716" s="8">
        <f>IFERROR(__xludf.DUMMYFUNCTION("""COMPUTED_VALUE"""),1.75)</f>
        <v>1.75</v>
      </c>
      <c r="D716" s="7">
        <v>1.1584996E7</v>
      </c>
      <c r="E716" s="8">
        <v>2.0273743E7</v>
      </c>
    </row>
    <row r="717">
      <c r="A717" s="7" t="str">
        <f>IFERROR(__xludf.DUMMYFUNCTION("""COMPUTED_VALUE"""),"Indonesia")</f>
        <v>Indonesia</v>
      </c>
      <c r="B717" s="7" t="str">
        <f>IFERROR(__xludf.DUMMYFUNCTION("""COMPUTED_VALUE"""),"Gottlieb LLC")</f>
        <v>Gottlieb LLC</v>
      </c>
      <c r="C717" s="8">
        <f>IFERROR(__xludf.DUMMYFUNCTION("""COMPUTED_VALUE"""),0.92)</f>
        <v>0.92</v>
      </c>
      <c r="D717" s="7">
        <v>2.75501339E8</v>
      </c>
      <c r="E717" s="8">
        <v>2.5346123188000003E8</v>
      </c>
    </row>
    <row r="718">
      <c r="A718" s="7" t="str">
        <f>IFERROR(__xludf.DUMMYFUNCTION("""COMPUTED_VALUE"""),"Lithuania")</f>
        <v>Lithuania</v>
      </c>
      <c r="B718" s="7" t="str">
        <f>IFERROR(__xludf.DUMMYFUNCTION("""COMPUTED_VALUE"""),"Gibson LLC")</f>
        <v>Gibson LLC</v>
      </c>
      <c r="C718" s="8">
        <f>IFERROR(__xludf.DUMMYFUNCTION("""COMPUTED_VALUE"""),2.15)</f>
        <v>2.15</v>
      </c>
      <c r="D718" s="7">
        <v>2750055.0</v>
      </c>
      <c r="E718" s="8">
        <v>5912618.25</v>
      </c>
    </row>
    <row r="719">
      <c r="A719" s="7" t="str">
        <f>IFERROR(__xludf.DUMMYFUNCTION("""COMPUTED_VALUE"""),"China")</f>
        <v>China</v>
      </c>
      <c r="B719" s="7" t="str">
        <f>IFERROR(__xludf.DUMMYFUNCTION("""COMPUTED_VALUE"""),"Hessel-Champlin")</f>
        <v>Hessel-Champlin</v>
      </c>
      <c r="C719" s="8">
        <f>IFERROR(__xludf.DUMMYFUNCTION("""COMPUTED_VALUE"""),1.3)</f>
        <v>1.3</v>
      </c>
      <c r="D719" s="7">
        <v>1.425887337E9</v>
      </c>
      <c r="E719" s="8">
        <v>1.8536535381000001E9</v>
      </c>
    </row>
    <row r="720">
      <c r="A720" s="7" t="str">
        <f>IFERROR(__xludf.DUMMYFUNCTION("""COMPUTED_VALUE"""),"Russia")</f>
        <v>Russia</v>
      </c>
      <c r="B720" s="7" t="str">
        <f>IFERROR(__xludf.DUMMYFUNCTION("""COMPUTED_VALUE"""),"Gibson, Brekke and Tillman")</f>
        <v>Gibson, Brekke and Tillman</v>
      </c>
      <c r="C720" s="8">
        <f>IFERROR(__xludf.DUMMYFUNCTION("""COMPUTED_VALUE"""),2.14)</f>
        <v>2.14</v>
      </c>
      <c r="D720" s="7">
        <v>1.44713314E8</v>
      </c>
      <c r="E720" s="8">
        <v>3.0968649196000004E8</v>
      </c>
    </row>
    <row r="721">
      <c r="A721" s="7" t="str">
        <f>IFERROR(__xludf.DUMMYFUNCTION("""COMPUTED_VALUE"""),"Japan")</f>
        <v>Japan</v>
      </c>
      <c r="B721" s="7" t="str">
        <f>IFERROR(__xludf.DUMMYFUNCTION("""COMPUTED_VALUE"""),"Dietrich and Sons")</f>
        <v>Dietrich and Sons</v>
      </c>
      <c r="C721" s="8">
        <f>IFERROR(__xludf.DUMMYFUNCTION("""COMPUTED_VALUE"""),1.54)</f>
        <v>1.54</v>
      </c>
      <c r="D721" s="7">
        <v>1.23951692E8</v>
      </c>
      <c r="E721" s="8">
        <v>1.9088560568E8</v>
      </c>
    </row>
    <row r="722">
      <c r="A722" s="7" t="str">
        <f>IFERROR(__xludf.DUMMYFUNCTION("""COMPUTED_VALUE"""),"Russia")</f>
        <v>Russia</v>
      </c>
      <c r="B722" s="7" t="str">
        <f>IFERROR(__xludf.DUMMYFUNCTION("""COMPUTED_VALUE"""),"Sipes Group")</f>
        <v>Sipes Group</v>
      </c>
      <c r="C722" s="8">
        <f>IFERROR(__xludf.DUMMYFUNCTION("""COMPUTED_VALUE"""),1.46)</f>
        <v>1.46</v>
      </c>
      <c r="D722" s="7">
        <v>1.44713314E8</v>
      </c>
      <c r="E722" s="8">
        <v>2.1128143844E8</v>
      </c>
    </row>
    <row r="723">
      <c r="A723" s="7" t="str">
        <f>IFERROR(__xludf.DUMMYFUNCTION("""COMPUTED_VALUE"""),"Japan")</f>
        <v>Japan</v>
      </c>
      <c r="B723" s="7" t="str">
        <f>IFERROR(__xludf.DUMMYFUNCTION("""COMPUTED_VALUE"""),"Davis and Sons")</f>
        <v>Davis and Sons</v>
      </c>
      <c r="C723" s="8">
        <f>IFERROR(__xludf.DUMMYFUNCTION("""COMPUTED_VALUE"""),2.23)</f>
        <v>2.23</v>
      </c>
      <c r="D723" s="7">
        <v>1.23951692E8</v>
      </c>
      <c r="E723" s="8">
        <v>2.7641227316E8</v>
      </c>
    </row>
    <row r="724">
      <c r="A724" s="7" t="str">
        <f>IFERROR(__xludf.DUMMYFUNCTION("""COMPUTED_VALUE"""),"Ukraine")</f>
        <v>Ukraine</v>
      </c>
      <c r="B724" s="7" t="str">
        <f>IFERROR(__xludf.DUMMYFUNCTION("""COMPUTED_VALUE"""),"Ebert, Connelly and Beier")</f>
        <v>Ebert, Connelly and Beier</v>
      </c>
      <c r="C724" s="8">
        <f>IFERROR(__xludf.DUMMYFUNCTION("""COMPUTED_VALUE"""),1.29)</f>
        <v>1.29</v>
      </c>
      <c r="D724" s="7">
        <v>3.9701739E7</v>
      </c>
      <c r="E724" s="8">
        <v>5.121524331E7</v>
      </c>
    </row>
    <row r="725">
      <c r="A725" s="7" t="str">
        <f>IFERROR(__xludf.DUMMYFUNCTION("""COMPUTED_VALUE"""),"China")</f>
        <v>China</v>
      </c>
      <c r="B725" s="7" t="str">
        <f>IFERROR(__xludf.DUMMYFUNCTION("""COMPUTED_VALUE"""),"Metz-White")</f>
        <v>Metz-White</v>
      </c>
      <c r="C725" s="8">
        <f>IFERROR(__xludf.DUMMYFUNCTION("""COMPUTED_VALUE"""),2.22)</f>
        <v>2.22</v>
      </c>
      <c r="D725" s="7">
        <v>1.425887337E9</v>
      </c>
      <c r="E725" s="8">
        <v>3.1654698881400003E9</v>
      </c>
    </row>
    <row r="726">
      <c r="A726" s="7" t="str">
        <f>IFERROR(__xludf.DUMMYFUNCTION("""COMPUTED_VALUE"""),"Brazil")</f>
        <v>Brazil</v>
      </c>
      <c r="B726" s="7" t="str">
        <f>IFERROR(__xludf.DUMMYFUNCTION("""COMPUTED_VALUE"""),"Keeling-Greenholt")</f>
        <v>Keeling-Greenholt</v>
      </c>
      <c r="C726" s="8">
        <f>IFERROR(__xludf.DUMMYFUNCTION("""COMPUTED_VALUE"""),1.43)</f>
        <v>1.43</v>
      </c>
      <c r="D726" s="7">
        <v>2.15313498E8</v>
      </c>
      <c r="E726" s="8">
        <v>3.0789830214E8</v>
      </c>
    </row>
    <row r="727">
      <c r="A727" s="7" t="str">
        <f>IFERROR(__xludf.DUMMYFUNCTION("""COMPUTED_VALUE"""),"Venezuela")</f>
        <v>Venezuela</v>
      </c>
      <c r="B727" s="7" t="str">
        <f>IFERROR(__xludf.DUMMYFUNCTION("""COMPUTED_VALUE"""),"Trantow, Smith and Tromp")</f>
        <v>Trantow, Smith and Tromp</v>
      </c>
      <c r="C727" s="8">
        <f>IFERROR(__xludf.DUMMYFUNCTION("""COMPUTED_VALUE"""),1.81)</f>
        <v>1.81</v>
      </c>
      <c r="D727" s="7">
        <v>2.8301696E7</v>
      </c>
      <c r="E727" s="8">
        <v>5.122606976E7</v>
      </c>
    </row>
    <row r="728">
      <c r="A728" s="7" t="str">
        <f>IFERROR(__xludf.DUMMYFUNCTION("""COMPUTED_VALUE"""),"Indonesia")</f>
        <v>Indonesia</v>
      </c>
      <c r="B728" s="7" t="str">
        <f>IFERROR(__xludf.DUMMYFUNCTION("""COMPUTED_VALUE"""),"Pollich, Mayert and Skiles")</f>
        <v>Pollich, Mayert and Skiles</v>
      </c>
      <c r="C728" s="8">
        <f>IFERROR(__xludf.DUMMYFUNCTION("""COMPUTED_VALUE"""),1.45)</f>
        <v>1.45</v>
      </c>
      <c r="D728" s="7">
        <v>2.75501339E8</v>
      </c>
      <c r="E728" s="8">
        <v>3.9947694155E8</v>
      </c>
    </row>
    <row r="729">
      <c r="A729" s="7" t="str">
        <f>IFERROR(__xludf.DUMMYFUNCTION("""COMPUTED_VALUE"""),"China")</f>
        <v>China</v>
      </c>
      <c r="B729" s="7" t="str">
        <f>IFERROR(__xludf.DUMMYFUNCTION("""COMPUTED_VALUE"""),"Paucek-Ebert")</f>
        <v>Paucek-Ebert</v>
      </c>
      <c r="C729" s="8">
        <f>IFERROR(__xludf.DUMMYFUNCTION("""COMPUTED_VALUE"""),1.51)</f>
        <v>1.51</v>
      </c>
      <c r="D729" s="7">
        <v>1.425887337E9</v>
      </c>
      <c r="E729" s="8">
        <v>2.15308987887E9</v>
      </c>
    </row>
    <row r="730">
      <c r="A730" s="7" t="str">
        <f>IFERROR(__xludf.DUMMYFUNCTION("""COMPUTED_VALUE"""),"Albania")</f>
        <v>Albania</v>
      </c>
      <c r="B730" s="7" t="str">
        <f>IFERROR(__xludf.DUMMYFUNCTION("""COMPUTED_VALUE"""),"Mann Group")</f>
        <v>Mann Group</v>
      </c>
      <c r="C730" s="8">
        <f>IFERROR(__xludf.DUMMYFUNCTION("""COMPUTED_VALUE"""),1.41)</f>
        <v>1.41</v>
      </c>
      <c r="D730" s="7">
        <v>2842321.0</v>
      </c>
      <c r="E730" s="8">
        <v>4007672.61</v>
      </c>
    </row>
    <row r="731">
      <c r="A731" s="7" t="str">
        <f>IFERROR(__xludf.DUMMYFUNCTION("""COMPUTED_VALUE"""),"China")</f>
        <v>China</v>
      </c>
      <c r="B731" s="7" t="str">
        <f>IFERROR(__xludf.DUMMYFUNCTION("""COMPUTED_VALUE"""),"Simonis-Lubowitz")</f>
        <v>Simonis-Lubowitz</v>
      </c>
      <c r="C731" s="8">
        <f>IFERROR(__xludf.DUMMYFUNCTION("""COMPUTED_VALUE"""),1.5)</f>
        <v>1.5</v>
      </c>
      <c r="D731" s="7">
        <v>1.425887337E9</v>
      </c>
      <c r="E731" s="8">
        <v>2.1388310055E9</v>
      </c>
    </row>
    <row r="732">
      <c r="A732" s="7" t="str">
        <f>IFERROR(__xludf.DUMMYFUNCTION("""COMPUTED_VALUE"""),"Indonesia")</f>
        <v>Indonesia</v>
      </c>
      <c r="B732" s="7" t="str">
        <f>IFERROR(__xludf.DUMMYFUNCTION("""COMPUTED_VALUE"""),"Skiles-Howe")</f>
        <v>Skiles-Howe</v>
      </c>
      <c r="C732" s="8">
        <f>IFERROR(__xludf.DUMMYFUNCTION("""COMPUTED_VALUE"""),1.24)</f>
        <v>1.24</v>
      </c>
      <c r="D732" s="7">
        <v>2.75501339E8</v>
      </c>
      <c r="E732" s="8">
        <v>3.4162166036E8</v>
      </c>
    </row>
    <row r="733">
      <c r="A733" s="7" t="str">
        <f>IFERROR(__xludf.DUMMYFUNCTION("""COMPUTED_VALUE"""),"North Korea")</f>
        <v>North Korea</v>
      </c>
      <c r="B733" s="7" t="str">
        <f>IFERROR(__xludf.DUMMYFUNCTION("""COMPUTED_VALUE"""),"Shields Group")</f>
        <v>Shields Group</v>
      </c>
      <c r="C733" s="8">
        <f>IFERROR(__xludf.DUMMYFUNCTION("""COMPUTED_VALUE"""),1.59)</f>
        <v>1.59</v>
      </c>
      <c r="D733" s="7">
        <v>2.6069416E7</v>
      </c>
      <c r="E733" s="8">
        <v>4.1450371440000005E7</v>
      </c>
    </row>
    <row r="734">
      <c r="A734" s="7" t="str">
        <f>IFERROR(__xludf.DUMMYFUNCTION("""COMPUTED_VALUE"""),"Philippines")</f>
        <v>Philippines</v>
      </c>
      <c r="B734" s="7" t="str">
        <f>IFERROR(__xludf.DUMMYFUNCTION("""COMPUTED_VALUE"""),"Dicki, Beier and Parisian")</f>
        <v>Dicki, Beier and Parisian</v>
      </c>
      <c r="C734" s="8">
        <f>IFERROR(__xludf.DUMMYFUNCTION("""COMPUTED_VALUE"""),1.77)</f>
        <v>1.77</v>
      </c>
      <c r="D734" s="7">
        <v>1.15559009E8</v>
      </c>
      <c r="E734" s="8">
        <v>2.0453944593E8</v>
      </c>
    </row>
    <row r="735">
      <c r="A735" s="7" t="str">
        <f>IFERROR(__xludf.DUMMYFUNCTION("""COMPUTED_VALUE"""),"Indonesia")</f>
        <v>Indonesia</v>
      </c>
      <c r="B735" s="7" t="str">
        <f>IFERROR(__xludf.DUMMYFUNCTION("""COMPUTED_VALUE"""),"West-Boehm")</f>
        <v>West-Boehm</v>
      </c>
      <c r="C735" s="8">
        <f>IFERROR(__xludf.DUMMYFUNCTION("""COMPUTED_VALUE"""),0.99)</f>
        <v>0.99</v>
      </c>
      <c r="D735" s="7">
        <v>2.75501339E8</v>
      </c>
      <c r="E735" s="8">
        <v>2.7274632561E8</v>
      </c>
    </row>
    <row r="736">
      <c r="A736" s="7" t="str">
        <f>IFERROR(__xludf.DUMMYFUNCTION("""COMPUTED_VALUE"""),"China")</f>
        <v>China</v>
      </c>
      <c r="B736" s="7" t="str">
        <f>IFERROR(__xludf.DUMMYFUNCTION("""COMPUTED_VALUE"""),"Medhurst, Zieme and Leffler")</f>
        <v>Medhurst, Zieme and Leffler</v>
      </c>
      <c r="C736" s="8">
        <f>IFERROR(__xludf.DUMMYFUNCTION("""COMPUTED_VALUE"""),1.52)</f>
        <v>1.52</v>
      </c>
      <c r="D736" s="7">
        <v>1.425887337E9</v>
      </c>
      <c r="E736" s="8">
        <v>2.1673487522400002E9</v>
      </c>
    </row>
    <row r="737">
      <c r="A737" s="7" t="str">
        <f>IFERROR(__xludf.DUMMYFUNCTION("""COMPUTED_VALUE"""),"China")</f>
        <v>China</v>
      </c>
      <c r="B737" s="7" t="str">
        <f>IFERROR(__xludf.DUMMYFUNCTION("""COMPUTED_VALUE"""),"Wolf-Glover")</f>
        <v>Wolf-Glover</v>
      </c>
      <c r="C737" s="8">
        <f>IFERROR(__xludf.DUMMYFUNCTION("""COMPUTED_VALUE"""),1.33)</f>
        <v>1.33</v>
      </c>
      <c r="D737" s="7">
        <v>1.425887337E9</v>
      </c>
      <c r="E737" s="8">
        <v>1.89643015821E9</v>
      </c>
    </row>
    <row r="738">
      <c r="A738" s="7" t="str">
        <f>IFERROR(__xludf.DUMMYFUNCTION("""COMPUTED_VALUE"""),"Brazil")</f>
        <v>Brazil</v>
      </c>
      <c r="B738" s="7" t="str">
        <f>IFERROR(__xludf.DUMMYFUNCTION("""COMPUTED_VALUE"""),"Schaefer-Heller")</f>
        <v>Schaefer-Heller</v>
      </c>
      <c r="C738" s="8">
        <f>IFERROR(__xludf.DUMMYFUNCTION("""COMPUTED_VALUE"""),1.32)</f>
        <v>1.32</v>
      </c>
      <c r="D738" s="7">
        <v>2.15313498E8</v>
      </c>
      <c r="E738" s="8">
        <v>2.8421381736E8</v>
      </c>
    </row>
    <row r="739">
      <c r="A739" s="7" t="str">
        <f>IFERROR(__xludf.DUMMYFUNCTION("""COMPUTED_VALUE"""),"France")</f>
        <v>France</v>
      </c>
      <c r="B739" s="7" t="str">
        <f>IFERROR(__xludf.DUMMYFUNCTION("""COMPUTED_VALUE"""),"Jones LLC")</f>
        <v>Jones LLC</v>
      </c>
      <c r="C739" s="8">
        <f>IFERROR(__xludf.DUMMYFUNCTION("""COMPUTED_VALUE"""),1.6)</f>
        <v>1.6</v>
      </c>
      <c r="D739" s="7">
        <v>6.4626628E7</v>
      </c>
      <c r="E739" s="8">
        <v>1.0340260480000001E8</v>
      </c>
    </row>
    <row r="740">
      <c r="A740" s="7" t="str">
        <f>IFERROR(__xludf.DUMMYFUNCTION("""COMPUTED_VALUE"""),"Poland")</f>
        <v>Poland</v>
      </c>
      <c r="B740" s="7" t="str">
        <f>IFERROR(__xludf.DUMMYFUNCTION("""COMPUTED_VALUE"""),"Carter LLC")</f>
        <v>Carter LLC</v>
      </c>
      <c r="C740" s="8">
        <f>IFERROR(__xludf.DUMMYFUNCTION("""COMPUTED_VALUE"""),0.85)</f>
        <v>0.85</v>
      </c>
      <c r="D740" s="7">
        <v>3.9857145E7</v>
      </c>
      <c r="E740" s="8">
        <v>3.387857325E7</v>
      </c>
    </row>
    <row r="741">
      <c r="A741" s="7" t="str">
        <f>IFERROR(__xludf.DUMMYFUNCTION("""COMPUTED_VALUE"""),"Belarus")</f>
        <v>Belarus</v>
      </c>
      <c r="B741" s="7" t="str">
        <f>IFERROR(__xludf.DUMMYFUNCTION("""COMPUTED_VALUE"""),"Schuppe, Kulas and Reynolds")</f>
        <v>Schuppe, Kulas and Reynolds</v>
      </c>
      <c r="C741" s="8">
        <f>IFERROR(__xludf.DUMMYFUNCTION("""COMPUTED_VALUE"""),1.6)</f>
        <v>1.6</v>
      </c>
      <c r="D741" s="7">
        <v>9534954.0</v>
      </c>
      <c r="E741" s="8">
        <v>1.52559264E7</v>
      </c>
    </row>
    <row r="742">
      <c r="A742" s="7" t="str">
        <f>IFERROR(__xludf.DUMMYFUNCTION("""COMPUTED_VALUE"""),"Egypt")</f>
        <v>Egypt</v>
      </c>
      <c r="B742" s="7" t="str">
        <f>IFERROR(__xludf.DUMMYFUNCTION("""COMPUTED_VALUE"""),"Conn-Maggio")</f>
        <v>Conn-Maggio</v>
      </c>
      <c r="C742" s="8">
        <f>IFERROR(__xludf.DUMMYFUNCTION("""COMPUTED_VALUE"""),1.89)</f>
        <v>1.89</v>
      </c>
      <c r="D742" s="7">
        <v>1.10990103E8</v>
      </c>
      <c r="E742" s="8">
        <v>2.0977129467E8</v>
      </c>
    </row>
    <row r="743">
      <c r="A743" s="7" t="str">
        <f>IFERROR(__xludf.DUMMYFUNCTION("""COMPUTED_VALUE"""),"Indonesia")</f>
        <v>Indonesia</v>
      </c>
      <c r="B743" s="7" t="str">
        <f>IFERROR(__xludf.DUMMYFUNCTION("""COMPUTED_VALUE"""),"Hackett-Hoeger")</f>
        <v>Hackett-Hoeger</v>
      </c>
      <c r="C743" s="8">
        <f>IFERROR(__xludf.DUMMYFUNCTION("""COMPUTED_VALUE"""),1.61)</f>
        <v>1.61</v>
      </c>
      <c r="D743" s="7">
        <v>2.75501339E8</v>
      </c>
      <c r="E743" s="8">
        <v>4.4355715579E8</v>
      </c>
    </row>
    <row r="744">
      <c r="A744" s="7" t="str">
        <f>IFERROR(__xludf.DUMMYFUNCTION("""COMPUTED_VALUE"""),"Brunei")</f>
        <v>Brunei</v>
      </c>
      <c r="B744" s="7" t="str">
        <f>IFERROR(__xludf.DUMMYFUNCTION("""COMPUTED_VALUE"""),"Kub, Hauck and Dooley")</f>
        <v>Kub, Hauck and Dooley</v>
      </c>
      <c r="C744" s="8">
        <f>IFERROR(__xludf.DUMMYFUNCTION("""COMPUTED_VALUE"""),1.41)</f>
        <v>1.41</v>
      </c>
      <c r="D744" s="7">
        <v>449002.0</v>
      </c>
      <c r="E744" s="8">
        <v>633092.82</v>
      </c>
    </row>
    <row r="745">
      <c r="A745" s="7" t="str">
        <f>IFERROR(__xludf.DUMMYFUNCTION("""COMPUTED_VALUE"""),"Belarus")</f>
        <v>Belarus</v>
      </c>
      <c r="B745" s="7" t="str">
        <f>IFERROR(__xludf.DUMMYFUNCTION("""COMPUTED_VALUE"""),"Mitchell-Sauer")</f>
        <v>Mitchell-Sauer</v>
      </c>
      <c r="C745" s="8">
        <f>IFERROR(__xludf.DUMMYFUNCTION("""COMPUTED_VALUE"""),1.72)</f>
        <v>1.72</v>
      </c>
      <c r="D745" s="7">
        <v>9534954.0</v>
      </c>
      <c r="E745" s="8">
        <v>1.6400120879999999E7</v>
      </c>
    </row>
    <row r="746">
      <c r="A746" s="7" t="str">
        <f>IFERROR(__xludf.DUMMYFUNCTION("""COMPUTED_VALUE"""),"United States")</f>
        <v>United States</v>
      </c>
      <c r="B746" s="7" t="str">
        <f>IFERROR(__xludf.DUMMYFUNCTION("""COMPUTED_VALUE"""),"Koelpin-VonRueden")</f>
        <v>Koelpin-VonRueden</v>
      </c>
      <c r="C746" s="8">
        <f>IFERROR(__xludf.DUMMYFUNCTION("""COMPUTED_VALUE"""),2.13)</f>
        <v>2.13</v>
      </c>
      <c r="D746" s="7">
        <v>3.38289857E8</v>
      </c>
      <c r="E746" s="8">
        <v>7.2055739541E8</v>
      </c>
    </row>
    <row r="747">
      <c r="A747" s="7" t="str">
        <f>IFERROR(__xludf.DUMMYFUNCTION("""COMPUTED_VALUE"""),"China")</f>
        <v>China</v>
      </c>
      <c r="B747" s="7" t="str">
        <f>IFERROR(__xludf.DUMMYFUNCTION("""COMPUTED_VALUE"""),"D'Amore-Torp")</f>
        <v>D'Amore-Torp</v>
      </c>
      <c r="C747" s="8">
        <f>IFERROR(__xludf.DUMMYFUNCTION("""COMPUTED_VALUE"""),0.94)</f>
        <v>0.94</v>
      </c>
      <c r="D747" s="7">
        <v>1.425887337E9</v>
      </c>
      <c r="E747" s="8">
        <v>1.34033409678E9</v>
      </c>
    </row>
    <row r="748">
      <c r="A748" s="7" t="str">
        <f>IFERROR(__xludf.DUMMYFUNCTION("""COMPUTED_VALUE"""),"Sweden")</f>
        <v>Sweden</v>
      </c>
      <c r="B748" s="7" t="str">
        <f>IFERROR(__xludf.DUMMYFUNCTION("""COMPUTED_VALUE"""),"Glover and Sons")</f>
        <v>Glover and Sons</v>
      </c>
      <c r="C748" s="8">
        <f>IFERROR(__xludf.DUMMYFUNCTION("""COMPUTED_VALUE"""),1.81)</f>
        <v>1.81</v>
      </c>
      <c r="D748" s="7">
        <v>1.0549347E7</v>
      </c>
      <c r="E748" s="8">
        <v>1.909431807E7</v>
      </c>
    </row>
    <row r="749">
      <c r="A749" s="7" t="str">
        <f>IFERROR(__xludf.DUMMYFUNCTION("""COMPUTED_VALUE"""),"Bahamas")</f>
        <v>Bahamas</v>
      </c>
      <c r="B749" s="7" t="str">
        <f>IFERROR(__xludf.DUMMYFUNCTION("""COMPUTED_VALUE"""),"Hamill, Dibbert and Lebsack")</f>
        <v>Hamill, Dibbert and Lebsack</v>
      </c>
      <c r="C749" s="8">
        <f>IFERROR(__xludf.DUMMYFUNCTION("""COMPUTED_VALUE"""),1.61)</f>
        <v>1.61</v>
      </c>
      <c r="D749" s="7">
        <v>409984.0</v>
      </c>
      <c r="E749" s="8">
        <v>660074.24</v>
      </c>
    </row>
    <row r="750">
      <c r="A750" s="7" t="str">
        <f>IFERROR(__xludf.DUMMYFUNCTION("""COMPUTED_VALUE"""),"Vietnam")</f>
        <v>Vietnam</v>
      </c>
      <c r="B750" s="7" t="str">
        <f>IFERROR(__xludf.DUMMYFUNCTION("""COMPUTED_VALUE"""),"Ferry Group")</f>
        <v>Ferry Group</v>
      </c>
      <c r="C750" s="8">
        <f>IFERROR(__xludf.DUMMYFUNCTION("""COMPUTED_VALUE"""),1.98)</f>
        <v>1.98</v>
      </c>
      <c r="D750" s="7">
        <v>9.8186856E7</v>
      </c>
      <c r="E750" s="8">
        <v>1.9440997488E8</v>
      </c>
    </row>
    <row r="751">
      <c r="A751" s="7" t="str">
        <f>IFERROR(__xludf.DUMMYFUNCTION("""COMPUTED_VALUE"""),"Ukraine")</f>
        <v>Ukraine</v>
      </c>
      <c r="B751" s="7" t="str">
        <f>IFERROR(__xludf.DUMMYFUNCTION("""COMPUTED_VALUE"""),"Abshire, Gislason and Stoltenberg")</f>
        <v>Abshire, Gislason and Stoltenberg</v>
      </c>
      <c r="C751" s="8">
        <f>IFERROR(__xludf.DUMMYFUNCTION("""COMPUTED_VALUE"""),2.08)</f>
        <v>2.08</v>
      </c>
      <c r="D751" s="7">
        <v>3.9701739E7</v>
      </c>
      <c r="E751" s="8">
        <v>8.257961712E7</v>
      </c>
    </row>
    <row r="752">
      <c r="A752" s="7" t="str">
        <f>IFERROR(__xludf.DUMMYFUNCTION("""COMPUTED_VALUE"""),"Canada")</f>
        <v>Canada</v>
      </c>
      <c r="B752" s="7" t="str">
        <f>IFERROR(__xludf.DUMMYFUNCTION("""COMPUTED_VALUE"""),"VonRueden, Klein and Kassulke")</f>
        <v>VonRueden, Klein and Kassulke</v>
      </c>
      <c r="C752" s="8">
        <f>IFERROR(__xludf.DUMMYFUNCTION("""COMPUTED_VALUE"""),1.96)</f>
        <v>1.96</v>
      </c>
      <c r="D752" s="7">
        <v>3.8454327E7</v>
      </c>
      <c r="E752" s="8">
        <v>7.537048092E7</v>
      </c>
    </row>
    <row r="753">
      <c r="A753" s="7" t="str">
        <f>IFERROR(__xludf.DUMMYFUNCTION("""COMPUTED_VALUE"""),"Peru")</f>
        <v>Peru</v>
      </c>
      <c r="B753" s="7" t="str">
        <f>IFERROR(__xludf.DUMMYFUNCTION("""COMPUTED_VALUE"""),"Weimann-Boyle")</f>
        <v>Weimann-Boyle</v>
      </c>
      <c r="C753" s="8">
        <f>IFERROR(__xludf.DUMMYFUNCTION("""COMPUTED_VALUE"""),1.41)</f>
        <v>1.41</v>
      </c>
      <c r="D753" s="7">
        <v>3.4049588E7</v>
      </c>
      <c r="E753" s="8">
        <v>4.800991908E7</v>
      </c>
    </row>
    <row r="754">
      <c r="A754" s="7" t="str">
        <f>IFERROR(__xludf.DUMMYFUNCTION("""COMPUTED_VALUE"""),"Norway")</f>
        <v>Norway</v>
      </c>
      <c r="B754" s="7" t="str">
        <f>IFERROR(__xludf.DUMMYFUNCTION("""COMPUTED_VALUE"""),"Hand Group")</f>
        <v>Hand Group</v>
      </c>
      <c r="C754" s="8">
        <f>IFERROR(__xludf.DUMMYFUNCTION("""COMPUTED_VALUE"""),1.73)</f>
        <v>1.73</v>
      </c>
      <c r="D754" s="7">
        <v>5434319.0</v>
      </c>
      <c r="E754" s="8">
        <v>9401371.87</v>
      </c>
    </row>
    <row r="755">
      <c r="A755" s="7" t="str">
        <f>IFERROR(__xludf.DUMMYFUNCTION("""COMPUTED_VALUE"""),"China")</f>
        <v>China</v>
      </c>
      <c r="B755" s="7" t="str">
        <f>IFERROR(__xludf.DUMMYFUNCTION("""COMPUTED_VALUE"""),"Becker, Russel and Stroman")</f>
        <v>Becker, Russel and Stroman</v>
      </c>
      <c r="C755" s="8">
        <f>IFERROR(__xludf.DUMMYFUNCTION("""COMPUTED_VALUE"""),0.87)</f>
        <v>0.87</v>
      </c>
      <c r="D755" s="7">
        <v>1.425887337E9</v>
      </c>
      <c r="E755" s="8">
        <v>1.24052198319E9</v>
      </c>
    </row>
    <row r="756">
      <c r="A756" s="7" t="str">
        <f>IFERROR(__xludf.DUMMYFUNCTION("""COMPUTED_VALUE"""),"Brazil")</f>
        <v>Brazil</v>
      </c>
      <c r="B756" s="7" t="str">
        <f>IFERROR(__xludf.DUMMYFUNCTION("""COMPUTED_VALUE"""),"Dickens, Halvorson and Hamill")</f>
        <v>Dickens, Halvorson and Hamill</v>
      </c>
      <c r="C756" s="8">
        <f>IFERROR(__xludf.DUMMYFUNCTION("""COMPUTED_VALUE"""),0.86)</f>
        <v>0.86</v>
      </c>
      <c r="D756" s="7">
        <v>2.15313498E8</v>
      </c>
      <c r="E756" s="8">
        <v>1.8516960828E8</v>
      </c>
    </row>
    <row r="757">
      <c r="A757" s="7" t="str">
        <f>IFERROR(__xludf.DUMMYFUNCTION("""COMPUTED_VALUE"""),"Ireland")</f>
        <v>Ireland</v>
      </c>
      <c r="B757" s="7" t="str">
        <f>IFERROR(__xludf.DUMMYFUNCTION("""COMPUTED_VALUE"""),"Morar-Deckow")</f>
        <v>Morar-Deckow</v>
      </c>
      <c r="C757" s="8">
        <f>IFERROR(__xludf.DUMMYFUNCTION("""COMPUTED_VALUE"""),2.13)</f>
        <v>2.13</v>
      </c>
      <c r="D757" s="7">
        <v>5023109.0</v>
      </c>
      <c r="E757" s="8">
        <v>1.069922217E7</v>
      </c>
    </row>
    <row r="758">
      <c r="A758" s="7" t="str">
        <f>IFERROR(__xludf.DUMMYFUNCTION("""COMPUTED_VALUE"""),"Philippines")</f>
        <v>Philippines</v>
      </c>
      <c r="B758" s="7" t="str">
        <f>IFERROR(__xludf.DUMMYFUNCTION("""COMPUTED_VALUE"""),"Hoeger, Erdman and Sanford")</f>
        <v>Hoeger, Erdman and Sanford</v>
      </c>
      <c r="C758" s="8">
        <f>IFERROR(__xludf.DUMMYFUNCTION("""COMPUTED_VALUE"""),1.64)</f>
        <v>1.64</v>
      </c>
      <c r="D758" s="7">
        <v>1.15559009E8</v>
      </c>
      <c r="E758" s="8">
        <v>1.8951677476E8</v>
      </c>
    </row>
    <row r="759">
      <c r="A759" s="7" t="str">
        <f>IFERROR(__xludf.DUMMYFUNCTION("""COMPUTED_VALUE"""),"China")</f>
        <v>China</v>
      </c>
      <c r="B759" s="7" t="str">
        <f>IFERROR(__xludf.DUMMYFUNCTION("""COMPUTED_VALUE"""),"Erdman Inc")</f>
        <v>Erdman Inc</v>
      </c>
      <c r="C759" s="8">
        <f>IFERROR(__xludf.DUMMYFUNCTION("""COMPUTED_VALUE"""),2.11)</f>
        <v>2.11</v>
      </c>
      <c r="D759" s="7">
        <v>1.425887337E9</v>
      </c>
      <c r="E759" s="8">
        <v>3.0086222810699997E9</v>
      </c>
    </row>
    <row r="760">
      <c r="A760" s="7" t="str">
        <f>IFERROR(__xludf.DUMMYFUNCTION("""COMPUTED_VALUE"""),"China")</f>
        <v>China</v>
      </c>
      <c r="B760" s="7" t="str">
        <f>IFERROR(__xludf.DUMMYFUNCTION("""COMPUTED_VALUE"""),"Kessler LLC")</f>
        <v>Kessler LLC</v>
      </c>
      <c r="C760" s="8">
        <f>IFERROR(__xludf.DUMMYFUNCTION("""COMPUTED_VALUE"""),2.01)</f>
        <v>2.01</v>
      </c>
      <c r="D760" s="7">
        <v>1.425887337E9</v>
      </c>
      <c r="E760" s="8">
        <v>2.86603354737E9</v>
      </c>
    </row>
    <row r="761">
      <c r="A761" s="7" t="str">
        <f>IFERROR(__xludf.DUMMYFUNCTION("""COMPUTED_VALUE"""),"Japan")</f>
        <v>Japan</v>
      </c>
      <c r="B761" s="7" t="str">
        <f>IFERROR(__xludf.DUMMYFUNCTION("""COMPUTED_VALUE"""),"Hodkiewicz-Kilback")</f>
        <v>Hodkiewicz-Kilback</v>
      </c>
      <c r="C761" s="8">
        <f>IFERROR(__xludf.DUMMYFUNCTION("""COMPUTED_VALUE"""),2.22)</f>
        <v>2.22</v>
      </c>
      <c r="D761" s="7">
        <v>1.23951692E8</v>
      </c>
      <c r="E761" s="8">
        <v>2.7517275624E8</v>
      </c>
    </row>
    <row r="762">
      <c r="A762" s="7" t="str">
        <f>IFERROR(__xludf.DUMMYFUNCTION("""COMPUTED_VALUE"""),"United States")</f>
        <v>United States</v>
      </c>
      <c r="B762" s="7" t="str">
        <f>IFERROR(__xludf.DUMMYFUNCTION("""COMPUTED_VALUE"""),"Zieme-Kovacek")</f>
        <v>Zieme-Kovacek</v>
      </c>
      <c r="C762" s="8">
        <f>IFERROR(__xludf.DUMMYFUNCTION("""COMPUTED_VALUE"""),1.13)</f>
        <v>1.13</v>
      </c>
      <c r="D762" s="7">
        <v>3.38289857E8</v>
      </c>
      <c r="E762" s="8">
        <v>3.8226753840999997E8</v>
      </c>
    </row>
    <row r="763">
      <c r="A763" s="7" t="str">
        <f>IFERROR(__xludf.DUMMYFUNCTION("""COMPUTED_VALUE"""),"China")</f>
        <v>China</v>
      </c>
      <c r="B763" s="7" t="str">
        <f>IFERROR(__xludf.DUMMYFUNCTION("""COMPUTED_VALUE"""),"West Group")</f>
        <v>West Group</v>
      </c>
      <c r="C763" s="8">
        <f>IFERROR(__xludf.DUMMYFUNCTION("""COMPUTED_VALUE"""),1.66)</f>
        <v>1.66</v>
      </c>
      <c r="D763" s="7">
        <v>1.425887337E9</v>
      </c>
      <c r="E763" s="8">
        <v>2.36697297942E9</v>
      </c>
    </row>
    <row r="764">
      <c r="A764" s="7" t="str">
        <f>IFERROR(__xludf.DUMMYFUNCTION("""COMPUTED_VALUE"""),"Poland")</f>
        <v>Poland</v>
      </c>
      <c r="B764" s="7" t="str">
        <f>IFERROR(__xludf.DUMMYFUNCTION("""COMPUTED_VALUE"""),"Mante Inc")</f>
        <v>Mante Inc</v>
      </c>
      <c r="C764" s="8">
        <f>IFERROR(__xludf.DUMMYFUNCTION("""COMPUTED_VALUE"""),1.33)</f>
        <v>1.33</v>
      </c>
      <c r="D764" s="7">
        <v>3.9857145E7</v>
      </c>
      <c r="E764" s="8">
        <v>5.301000285E7</v>
      </c>
    </row>
    <row r="765">
      <c r="A765" s="7" t="str">
        <f>IFERROR(__xludf.DUMMYFUNCTION("""COMPUTED_VALUE"""),"China")</f>
        <v>China</v>
      </c>
      <c r="B765" s="7" t="str">
        <f>IFERROR(__xludf.DUMMYFUNCTION("""COMPUTED_VALUE"""),"Pfeffer-Dibbert")</f>
        <v>Pfeffer-Dibbert</v>
      </c>
      <c r="C765" s="8">
        <f>IFERROR(__xludf.DUMMYFUNCTION("""COMPUTED_VALUE"""),1.5)</f>
        <v>1.5</v>
      </c>
      <c r="D765" s="7">
        <v>1.425887337E9</v>
      </c>
      <c r="E765" s="8">
        <v>2.1388310055E9</v>
      </c>
    </row>
    <row r="766">
      <c r="A766" s="7" t="str">
        <f>IFERROR(__xludf.DUMMYFUNCTION("""COMPUTED_VALUE"""),"Croatia")</f>
        <v>Croatia</v>
      </c>
      <c r="B766" s="7" t="str">
        <f>IFERROR(__xludf.DUMMYFUNCTION("""COMPUTED_VALUE"""),"Grady LLC")</f>
        <v>Grady LLC</v>
      </c>
      <c r="C766" s="8">
        <f>IFERROR(__xludf.DUMMYFUNCTION("""COMPUTED_VALUE"""),2.1)</f>
        <v>2.1</v>
      </c>
      <c r="D766" s="7">
        <v>4030358.0</v>
      </c>
      <c r="E766" s="8">
        <v>8463751.8</v>
      </c>
    </row>
    <row r="767">
      <c r="A767" s="7" t="str">
        <f>IFERROR(__xludf.DUMMYFUNCTION("""COMPUTED_VALUE"""),"Japan")</f>
        <v>Japan</v>
      </c>
      <c r="B767" s="7" t="str">
        <f>IFERROR(__xludf.DUMMYFUNCTION("""COMPUTED_VALUE"""),"Lang, O'Connell and Klocko")</f>
        <v>Lang, O'Connell and Klocko</v>
      </c>
      <c r="C767" s="8">
        <f>IFERROR(__xludf.DUMMYFUNCTION("""COMPUTED_VALUE"""),1.28)</f>
        <v>1.28</v>
      </c>
      <c r="D767" s="7">
        <v>1.23951692E8</v>
      </c>
      <c r="E767" s="8">
        <v>1.5865816576E8</v>
      </c>
    </row>
    <row r="768">
      <c r="A768" s="7" t="str">
        <f>IFERROR(__xludf.DUMMYFUNCTION("""COMPUTED_VALUE"""),"Philippines")</f>
        <v>Philippines</v>
      </c>
      <c r="B768" s="7" t="str">
        <f>IFERROR(__xludf.DUMMYFUNCTION("""COMPUTED_VALUE"""),"Schaefer, Funk and Cole")</f>
        <v>Schaefer, Funk and Cole</v>
      </c>
      <c r="C768" s="8">
        <f>IFERROR(__xludf.DUMMYFUNCTION("""COMPUTED_VALUE"""),1.26)</f>
        <v>1.26</v>
      </c>
      <c r="D768" s="7">
        <v>1.15559009E8</v>
      </c>
      <c r="E768" s="8">
        <v>1.4560435134E8</v>
      </c>
    </row>
    <row r="769">
      <c r="A769" s="7" t="str">
        <f>IFERROR(__xludf.DUMMYFUNCTION("""COMPUTED_VALUE"""),"Nigeria")</f>
        <v>Nigeria</v>
      </c>
      <c r="B769" s="7" t="str">
        <f>IFERROR(__xludf.DUMMYFUNCTION("""COMPUTED_VALUE"""),"Douglas Group")</f>
        <v>Douglas Group</v>
      </c>
      <c r="C769" s="8">
        <f>IFERROR(__xludf.DUMMYFUNCTION("""COMPUTED_VALUE"""),1.89)</f>
        <v>1.89</v>
      </c>
      <c r="D769" s="7">
        <v>2.18541212E8</v>
      </c>
      <c r="E769" s="8">
        <v>4.1304289068E8</v>
      </c>
    </row>
    <row r="770">
      <c r="A770" s="7" t="str">
        <f>IFERROR(__xludf.DUMMYFUNCTION("""COMPUTED_VALUE"""),"Chad")</f>
        <v>Chad</v>
      </c>
      <c r="B770" s="7" t="str">
        <f>IFERROR(__xludf.DUMMYFUNCTION("""COMPUTED_VALUE"""),"Cole-Blick")</f>
        <v>Cole-Blick</v>
      </c>
      <c r="C770" s="8">
        <f>IFERROR(__xludf.DUMMYFUNCTION("""COMPUTED_VALUE"""),1.7)</f>
        <v>1.7</v>
      </c>
      <c r="D770" s="7">
        <v>1.7723315E7</v>
      </c>
      <c r="E770" s="8">
        <v>3.01296355E7</v>
      </c>
    </row>
    <row r="771">
      <c r="A771" s="7" t="str">
        <f>IFERROR(__xludf.DUMMYFUNCTION("""COMPUTED_VALUE"""),"Jamaica")</f>
        <v>Jamaica</v>
      </c>
      <c r="B771" s="7" t="str">
        <f>IFERROR(__xludf.DUMMYFUNCTION("""COMPUTED_VALUE"""),"Goldner, Wolf and Hermann")</f>
        <v>Goldner, Wolf and Hermann</v>
      </c>
      <c r="C771" s="8">
        <f>IFERROR(__xludf.DUMMYFUNCTION("""COMPUTED_VALUE"""),1.85)</f>
        <v>1.85</v>
      </c>
      <c r="D771" s="7">
        <v>2827377.0</v>
      </c>
      <c r="E771" s="8">
        <v>5230647.45</v>
      </c>
    </row>
    <row r="772">
      <c r="A772" s="7" t="str">
        <f>IFERROR(__xludf.DUMMYFUNCTION("""COMPUTED_VALUE"""),"Czech Republic")</f>
        <v>Czech Republic</v>
      </c>
      <c r="B772" s="7" t="str">
        <f>IFERROR(__xludf.DUMMYFUNCTION("""COMPUTED_VALUE"""),"Monahan LLC")</f>
        <v>Monahan LLC</v>
      </c>
      <c r="C772" s="8">
        <f>IFERROR(__xludf.DUMMYFUNCTION("""COMPUTED_VALUE"""),1.57)</f>
        <v>1.57</v>
      </c>
      <c r="D772" s="7">
        <v>1.0493986E7</v>
      </c>
      <c r="E772" s="8">
        <v>1.6475558020000001E7</v>
      </c>
    </row>
    <row r="773">
      <c r="A773" s="7" t="str">
        <f>IFERROR(__xludf.DUMMYFUNCTION("""COMPUTED_VALUE"""),"Indonesia")</f>
        <v>Indonesia</v>
      </c>
      <c r="B773" s="7" t="str">
        <f>IFERROR(__xludf.DUMMYFUNCTION("""COMPUTED_VALUE"""),"Sanford and Sons")</f>
        <v>Sanford and Sons</v>
      </c>
      <c r="C773" s="8">
        <f>IFERROR(__xludf.DUMMYFUNCTION("""COMPUTED_VALUE"""),1.8)</f>
        <v>1.8</v>
      </c>
      <c r="D773" s="7">
        <v>2.75501339E8</v>
      </c>
      <c r="E773" s="8">
        <v>4.959024102E8</v>
      </c>
    </row>
    <row r="774">
      <c r="A774" s="7" t="str">
        <f>IFERROR(__xludf.DUMMYFUNCTION("""COMPUTED_VALUE"""),"Russia")</f>
        <v>Russia</v>
      </c>
      <c r="B774" s="7" t="str">
        <f>IFERROR(__xludf.DUMMYFUNCTION("""COMPUTED_VALUE"""),"Stokes Inc")</f>
        <v>Stokes Inc</v>
      </c>
      <c r="C774" s="8">
        <f>IFERROR(__xludf.DUMMYFUNCTION("""COMPUTED_VALUE"""),1.78)</f>
        <v>1.78</v>
      </c>
      <c r="D774" s="7">
        <v>1.44713314E8</v>
      </c>
      <c r="E774" s="8">
        <v>2.5758969892000002E8</v>
      </c>
    </row>
    <row r="775">
      <c r="A775" s="7" t="str">
        <f>IFERROR(__xludf.DUMMYFUNCTION("""COMPUTED_VALUE"""),"Azerbaijan")</f>
        <v>Azerbaijan</v>
      </c>
      <c r="B775" s="7" t="str">
        <f>IFERROR(__xludf.DUMMYFUNCTION("""COMPUTED_VALUE"""),"Konopelski Group")</f>
        <v>Konopelski Group</v>
      </c>
      <c r="C775" s="8">
        <f>IFERROR(__xludf.DUMMYFUNCTION("""COMPUTED_VALUE"""),1.74)</f>
        <v>1.74</v>
      </c>
      <c r="D775" s="7">
        <v>1.0358074E7</v>
      </c>
      <c r="E775" s="8">
        <v>1.802304876E7</v>
      </c>
    </row>
    <row r="776">
      <c r="A776" s="7" t="str">
        <f>IFERROR(__xludf.DUMMYFUNCTION("""COMPUTED_VALUE"""),"Nigeria")</f>
        <v>Nigeria</v>
      </c>
      <c r="B776" s="7" t="str">
        <f>IFERROR(__xludf.DUMMYFUNCTION("""COMPUTED_VALUE"""),"Beier Inc")</f>
        <v>Beier Inc</v>
      </c>
      <c r="C776" s="8">
        <f>IFERROR(__xludf.DUMMYFUNCTION("""COMPUTED_VALUE"""),1.75)</f>
        <v>1.75</v>
      </c>
      <c r="D776" s="7">
        <v>2.18541212E8</v>
      </c>
      <c r="E776" s="8">
        <v>3.82447121E8</v>
      </c>
    </row>
    <row r="777">
      <c r="A777" s="7" t="str">
        <f>IFERROR(__xludf.DUMMYFUNCTION("""COMPUTED_VALUE"""),"Cuba")</f>
        <v>Cuba</v>
      </c>
      <c r="B777" s="7" t="str">
        <f>IFERROR(__xludf.DUMMYFUNCTION("""COMPUTED_VALUE"""),"Roob-Quitzon")</f>
        <v>Roob-Quitzon</v>
      </c>
      <c r="C777" s="8">
        <f>IFERROR(__xludf.DUMMYFUNCTION("""COMPUTED_VALUE"""),1.88)</f>
        <v>1.88</v>
      </c>
      <c r="D777" s="7">
        <v>1.1212191E7</v>
      </c>
      <c r="E777" s="8">
        <v>2.107891908E7</v>
      </c>
    </row>
    <row r="778">
      <c r="A778" s="7" t="str">
        <f>IFERROR(__xludf.DUMMYFUNCTION("""COMPUTED_VALUE"""),"China")</f>
        <v>China</v>
      </c>
      <c r="B778" s="7" t="str">
        <f>IFERROR(__xludf.DUMMYFUNCTION("""COMPUTED_VALUE"""),"Weissnat-Boyle")</f>
        <v>Weissnat-Boyle</v>
      </c>
      <c r="C778" s="8">
        <f>IFERROR(__xludf.DUMMYFUNCTION("""COMPUTED_VALUE"""),1.62)</f>
        <v>1.62</v>
      </c>
      <c r="D778" s="7">
        <v>1.425887337E9</v>
      </c>
      <c r="E778" s="8">
        <v>2.30993748594E9</v>
      </c>
    </row>
    <row r="779">
      <c r="A779" s="7" t="str">
        <f>IFERROR(__xludf.DUMMYFUNCTION("""COMPUTED_VALUE"""),"United States")</f>
        <v>United States</v>
      </c>
      <c r="B779" s="7" t="str">
        <f>IFERROR(__xludf.DUMMYFUNCTION("""COMPUTED_VALUE"""),"Ruecker, Streich and Gusikowski")</f>
        <v>Ruecker, Streich and Gusikowski</v>
      </c>
      <c r="C779" s="8">
        <f>IFERROR(__xludf.DUMMYFUNCTION("""COMPUTED_VALUE"""),2.0)</f>
        <v>2</v>
      </c>
      <c r="D779" s="7">
        <v>3.38289857E8</v>
      </c>
      <c r="E779" s="8">
        <v>6.76579714E8</v>
      </c>
    </row>
    <row r="780">
      <c r="A780" s="7" t="str">
        <f>IFERROR(__xludf.DUMMYFUNCTION("""COMPUTED_VALUE"""),"Poland")</f>
        <v>Poland</v>
      </c>
      <c r="B780" s="7" t="str">
        <f>IFERROR(__xludf.DUMMYFUNCTION("""COMPUTED_VALUE"""),"Hayes, Batz and Yost")</f>
        <v>Hayes, Batz and Yost</v>
      </c>
      <c r="C780" s="8">
        <f>IFERROR(__xludf.DUMMYFUNCTION("""COMPUTED_VALUE"""),1.86)</f>
        <v>1.86</v>
      </c>
      <c r="D780" s="7">
        <v>3.9857145E7</v>
      </c>
      <c r="E780" s="8">
        <v>7.41342897E7</v>
      </c>
    </row>
    <row r="781">
      <c r="A781" s="7" t="str">
        <f>IFERROR(__xludf.DUMMYFUNCTION("""COMPUTED_VALUE"""),"Russia")</f>
        <v>Russia</v>
      </c>
      <c r="B781" s="7" t="str">
        <f>IFERROR(__xludf.DUMMYFUNCTION("""COMPUTED_VALUE"""),"Stracke, Haley and Friesen")</f>
        <v>Stracke, Haley and Friesen</v>
      </c>
      <c r="C781" s="8">
        <f>IFERROR(__xludf.DUMMYFUNCTION("""COMPUTED_VALUE"""),1.58)</f>
        <v>1.58</v>
      </c>
      <c r="D781" s="7">
        <v>1.44713314E8</v>
      </c>
      <c r="E781" s="8">
        <v>2.2864703612E8</v>
      </c>
    </row>
    <row r="782">
      <c r="A782" s="7" t="str">
        <f>IFERROR(__xludf.DUMMYFUNCTION("""COMPUTED_VALUE"""),"Serbia")</f>
        <v>Serbia</v>
      </c>
      <c r="B782" s="7" t="str">
        <f>IFERROR(__xludf.DUMMYFUNCTION("""COMPUTED_VALUE"""),"Aufderhar, Wolf and Turcotte")</f>
        <v>Aufderhar, Wolf and Turcotte</v>
      </c>
      <c r="C782" s="8">
        <f>IFERROR(__xludf.DUMMYFUNCTION("""COMPUTED_VALUE"""),1.47)</f>
        <v>1.47</v>
      </c>
      <c r="D782" s="7">
        <v>7221365.0</v>
      </c>
      <c r="E782" s="8">
        <v>1.0615406549999999E7</v>
      </c>
    </row>
    <row r="783">
      <c r="A783" s="7" t="str">
        <f>IFERROR(__xludf.DUMMYFUNCTION("""COMPUTED_VALUE"""),"China")</f>
        <v>China</v>
      </c>
      <c r="B783" s="7" t="str">
        <f>IFERROR(__xludf.DUMMYFUNCTION("""COMPUTED_VALUE"""),"Cartwright-Champlin")</f>
        <v>Cartwright-Champlin</v>
      </c>
      <c r="C783" s="8">
        <f>IFERROR(__xludf.DUMMYFUNCTION("""COMPUTED_VALUE"""),1.56)</f>
        <v>1.56</v>
      </c>
      <c r="D783" s="7">
        <v>1.425887337E9</v>
      </c>
      <c r="E783" s="8">
        <v>2.2243842457200003E9</v>
      </c>
    </row>
    <row r="784">
      <c r="A784" s="7" t="str">
        <f>IFERROR(__xludf.DUMMYFUNCTION("""COMPUTED_VALUE"""),"China")</f>
        <v>China</v>
      </c>
      <c r="B784" s="7" t="str">
        <f>IFERROR(__xludf.DUMMYFUNCTION("""COMPUTED_VALUE"""),"Haag, Romaguera and Hessel")</f>
        <v>Haag, Romaguera and Hessel</v>
      </c>
      <c r="C784" s="8">
        <f>IFERROR(__xludf.DUMMYFUNCTION("""COMPUTED_VALUE"""),1.39)</f>
        <v>1.39</v>
      </c>
      <c r="D784" s="7">
        <v>1.425887337E9</v>
      </c>
      <c r="E784" s="8">
        <v>1.9819833984299998E9</v>
      </c>
    </row>
    <row r="785">
      <c r="A785" s="7" t="str">
        <f>IFERROR(__xludf.DUMMYFUNCTION("""COMPUTED_VALUE"""),"Russia")</f>
        <v>Russia</v>
      </c>
      <c r="B785" s="7" t="str">
        <f>IFERROR(__xludf.DUMMYFUNCTION("""COMPUTED_VALUE"""),"Lang Group")</f>
        <v>Lang Group</v>
      </c>
      <c r="C785" s="8">
        <f>IFERROR(__xludf.DUMMYFUNCTION("""COMPUTED_VALUE"""),0.98)</f>
        <v>0.98</v>
      </c>
      <c r="D785" s="7">
        <v>1.44713314E8</v>
      </c>
      <c r="E785" s="8">
        <v>1.4181904772E8</v>
      </c>
    </row>
    <row r="786">
      <c r="A786" s="7" t="str">
        <f>IFERROR(__xludf.DUMMYFUNCTION("""COMPUTED_VALUE"""),"China")</f>
        <v>China</v>
      </c>
      <c r="B786" s="7" t="str">
        <f>IFERROR(__xludf.DUMMYFUNCTION("""COMPUTED_VALUE"""),"Larson-Schamberger")</f>
        <v>Larson-Schamberger</v>
      </c>
      <c r="C786" s="8">
        <f>IFERROR(__xludf.DUMMYFUNCTION("""COMPUTED_VALUE"""),1.19)</f>
        <v>1.19</v>
      </c>
      <c r="D786" s="7">
        <v>1.425887337E9</v>
      </c>
      <c r="E786" s="8">
        <v>1.69680593103E9</v>
      </c>
    </row>
    <row r="787">
      <c r="A787" s="7" t="str">
        <f>IFERROR(__xludf.DUMMYFUNCTION("""COMPUTED_VALUE"""),"France")</f>
        <v>France</v>
      </c>
      <c r="B787" s="7" t="str">
        <f>IFERROR(__xludf.DUMMYFUNCTION("""COMPUTED_VALUE"""),"Stoltenberg LLC")</f>
        <v>Stoltenberg LLC</v>
      </c>
      <c r="C787" s="8">
        <f>IFERROR(__xludf.DUMMYFUNCTION("""COMPUTED_VALUE"""),1.33)</f>
        <v>1.33</v>
      </c>
      <c r="D787" s="7">
        <v>6.4626628E7</v>
      </c>
      <c r="E787" s="8">
        <v>8.595341524000001E7</v>
      </c>
    </row>
    <row r="788">
      <c r="A788" s="7" t="str">
        <f>IFERROR(__xludf.DUMMYFUNCTION("""COMPUTED_VALUE"""),"Somalia")</f>
        <v>Somalia</v>
      </c>
      <c r="B788" s="7" t="str">
        <f>IFERROR(__xludf.DUMMYFUNCTION("""COMPUTED_VALUE"""),"Jacobi-Leuschke")</f>
        <v>Jacobi-Leuschke</v>
      </c>
      <c r="C788" s="8">
        <f>IFERROR(__xludf.DUMMYFUNCTION("""COMPUTED_VALUE"""),1.94)</f>
        <v>1.94</v>
      </c>
      <c r="D788" s="7">
        <v>1.7597511E7</v>
      </c>
      <c r="E788" s="8">
        <v>3.4139171339999996E7</v>
      </c>
    </row>
    <row r="789">
      <c r="A789" s="7" t="str">
        <f>IFERROR(__xludf.DUMMYFUNCTION("""COMPUTED_VALUE"""),"Czech Republic")</f>
        <v>Czech Republic</v>
      </c>
      <c r="B789" s="7" t="str">
        <f>IFERROR(__xludf.DUMMYFUNCTION("""COMPUTED_VALUE"""),"Erdman, Moore and Veum")</f>
        <v>Erdman, Moore and Veum</v>
      </c>
      <c r="C789" s="8">
        <f>IFERROR(__xludf.DUMMYFUNCTION("""COMPUTED_VALUE"""),1.73)</f>
        <v>1.73</v>
      </c>
      <c r="D789" s="7">
        <v>1.0493986E7</v>
      </c>
      <c r="E789" s="8">
        <v>1.815459578E7</v>
      </c>
    </row>
    <row r="790">
      <c r="A790" s="7" t="str">
        <f>IFERROR(__xludf.DUMMYFUNCTION("""COMPUTED_VALUE"""),"Russia")</f>
        <v>Russia</v>
      </c>
      <c r="B790" s="7" t="str">
        <f>IFERROR(__xludf.DUMMYFUNCTION("""COMPUTED_VALUE"""),"Ruecker Group")</f>
        <v>Ruecker Group</v>
      </c>
      <c r="C790" s="8">
        <f>IFERROR(__xludf.DUMMYFUNCTION("""COMPUTED_VALUE"""),0.96)</f>
        <v>0.96</v>
      </c>
      <c r="D790" s="7">
        <v>1.44713314E8</v>
      </c>
      <c r="E790" s="8">
        <v>1.3892478144E8</v>
      </c>
    </row>
    <row r="791">
      <c r="A791" s="7" t="str">
        <f>IFERROR(__xludf.DUMMYFUNCTION("""COMPUTED_VALUE"""),"Canada")</f>
        <v>Canada</v>
      </c>
      <c r="B791" s="7" t="str">
        <f>IFERROR(__xludf.DUMMYFUNCTION("""COMPUTED_VALUE"""),"Schinner Group")</f>
        <v>Schinner Group</v>
      </c>
      <c r="C791" s="8">
        <f>IFERROR(__xludf.DUMMYFUNCTION("""COMPUTED_VALUE"""),0.98)</f>
        <v>0.98</v>
      </c>
      <c r="D791" s="7">
        <v>3.8454327E7</v>
      </c>
      <c r="E791" s="8">
        <v>3.768524046E7</v>
      </c>
    </row>
    <row r="792">
      <c r="A792" s="7" t="str">
        <f>IFERROR(__xludf.DUMMYFUNCTION("""COMPUTED_VALUE"""),"Nigeria")</f>
        <v>Nigeria</v>
      </c>
      <c r="B792" s="7" t="str">
        <f>IFERROR(__xludf.DUMMYFUNCTION("""COMPUTED_VALUE"""),"Nicolas Inc")</f>
        <v>Nicolas Inc</v>
      </c>
      <c r="C792" s="8">
        <f>IFERROR(__xludf.DUMMYFUNCTION("""COMPUTED_VALUE"""),1.33)</f>
        <v>1.33</v>
      </c>
      <c r="D792" s="7">
        <v>2.18541212E8</v>
      </c>
      <c r="E792" s="8">
        <v>2.9065981196000004E8</v>
      </c>
    </row>
    <row r="793">
      <c r="A793" s="7" t="str">
        <f>IFERROR(__xludf.DUMMYFUNCTION("""COMPUTED_VALUE"""),"Russia")</f>
        <v>Russia</v>
      </c>
      <c r="B793" s="7" t="str">
        <f>IFERROR(__xludf.DUMMYFUNCTION("""COMPUTED_VALUE"""),"Daugherty Inc")</f>
        <v>Daugherty Inc</v>
      </c>
      <c r="C793" s="8">
        <f>IFERROR(__xludf.DUMMYFUNCTION("""COMPUTED_VALUE"""),1.05)</f>
        <v>1.05</v>
      </c>
      <c r="D793" s="7">
        <v>1.44713314E8</v>
      </c>
      <c r="E793" s="8">
        <v>1.5194897970000002E8</v>
      </c>
    </row>
    <row r="794">
      <c r="A794" s="7" t="str">
        <f>IFERROR(__xludf.DUMMYFUNCTION("""COMPUTED_VALUE"""),"China")</f>
        <v>China</v>
      </c>
      <c r="B794" s="7" t="str">
        <f>IFERROR(__xludf.DUMMYFUNCTION("""COMPUTED_VALUE"""),"Schoen, Abshire and Hilll")</f>
        <v>Schoen, Abshire and Hilll</v>
      </c>
      <c r="C794" s="8">
        <f>IFERROR(__xludf.DUMMYFUNCTION("""COMPUTED_VALUE"""),1.3)</f>
        <v>1.3</v>
      </c>
      <c r="D794" s="7">
        <v>1.425887337E9</v>
      </c>
      <c r="E794" s="8">
        <v>1.8536535381000001E9</v>
      </c>
    </row>
    <row r="795">
      <c r="A795" s="7" t="str">
        <f>IFERROR(__xludf.DUMMYFUNCTION("""COMPUTED_VALUE"""),"China")</f>
        <v>China</v>
      </c>
      <c r="B795" s="7" t="str">
        <f>IFERROR(__xludf.DUMMYFUNCTION("""COMPUTED_VALUE"""),"Haag, Shanahan and Bartell")</f>
        <v>Haag, Shanahan and Bartell</v>
      </c>
      <c r="C795" s="8">
        <f>IFERROR(__xludf.DUMMYFUNCTION("""COMPUTED_VALUE"""),1.55)</f>
        <v>1.55</v>
      </c>
      <c r="D795" s="7">
        <v>1.425887337E9</v>
      </c>
      <c r="E795" s="8">
        <v>2.21012537235E9</v>
      </c>
    </row>
    <row r="796">
      <c r="A796" s="7" t="str">
        <f>IFERROR(__xludf.DUMMYFUNCTION("""COMPUTED_VALUE"""),"Costa Rica")</f>
        <v>Costa Rica</v>
      </c>
      <c r="B796" s="7" t="str">
        <f>IFERROR(__xludf.DUMMYFUNCTION("""COMPUTED_VALUE"""),"Batz-Schiller")</f>
        <v>Batz-Schiller</v>
      </c>
      <c r="C796" s="8">
        <f>IFERROR(__xludf.DUMMYFUNCTION("""COMPUTED_VALUE"""),1.82)</f>
        <v>1.82</v>
      </c>
      <c r="D796" s="7">
        <v>5180829.0</v>
      </c>
      <c r="E796" s="8">
        <v>9429108.780000001</v>
      </c>
    </row>
    <row r="797">
      <c r="A797" s="7" t="str">
        <f>IFERROR(__xludf.DUMMYFUNCTION("""COMPUTED_VALUE"""),"Honduras")</f>
        <v>Honduras</v>
      </c>
      <c r="B797" s="7" t="str">
        <f>IFERROR(__xludf.DUMMYFUNCTION("""COMPUTED_VALUE"""),"Pfeffer-Kuphal")</f>
        <v>Pfeffer-Kuphal</v>
      </c>
      <c r="C797" s="8">
        <f>IFERROR(__xludf.DUMMYFUNCTION("""COMPUTED_VALUE"""),1.63)</f>
        <v>1.63</v>
      </c>
      <c r="D797" s="7">
        <v>1.043286E7</v>
      </c>
      <c r="E797" s="8">
        <v>1.70055618E7</v>
      </c>
    </row>
    <row r="798">
      <c r="A798" s="7" t="str">
        <f>IFERROR(__xludf.DUMMYFUNCTION("""COMPUTED_VALUE"""),"China")</f>
        <v>China</v>
      </c>
      <c r="B798" s="7" t="str">
        <f>IFERROR(__xludf.DUMMYFUNCTION("""COMPUTED_VALUE"""),"Greenholt-Veum")</f>
        <v>Greenholt-Veum</v>
      </c>
      <c r="C798" s="8">
        <f>IFERROR(__xludf.DUMMYFUNCTION("""COMPUTED_VALUE"""),1.38)</f>
        <v>1.38</v>
      </c>
      <c r="D798" s="7">
        <v>1.425887337E9</v>
      </c>
      <c r="E798" s="8">
        <v>1.96772452506E9</v>
      </c>
    </row>
    <row r="799">
      <c r="A799" s="7" t="str">
        <f>IFERROR(__xludf.DUMMYFUNCTION("""COMPUTED_VALUE"""),"Philippines")</f>
        <v>Philippines</v>
      </c>
      <c r="B799" s="7" t="str">
        <f>IFERROR(__xludf.DUMMYFUNCTION("""COMPUTED_VALUE"""),"Schimmel-Botsford")</f>
        <v>Schimmel-Botsford</v>
      </c>
      <c r="C799" s="8">
        <f>IFERROR(__xludf.DUMMYFUNCTION("""COMPUTED_VALUE"""),1.04)</f>
        <v>1.04</v>
      </c>
      <c r="D799" s="7">
        <v>1.15559009E8</v>
      </c>
      <c r="E799" s="8">
        <v>1.2018136936E8</v>
      </c>
    </row>
    <row r="800">
      <c r="A800" s="7" t="str">
        <f>IFERROR(__xludf.DUMMYFUNCTION("""COMPUTED_VALUE"""),"Colombia")</f>
        <v>Colombia</v>
      </c>
      <c r="B800" s="7" t="str">
        <f>IFERROR(__xludf.DUMMYFUNCTION("""COMPUTED_VALUE"""),"Blick Inc")</f>
        <v>Blick Inc</v>
      </c>
      <c r="C800" s="8">
        <f>IFERROR(__xludf.DUMMYFUNCTION("""COMPUTED_VALUE"""),1.71)</f>
        <v>1.71</v>
      </c>
      <c r="D800" s="7">
        <v>5.1874024E7</v>
      </c>
      <c r="E800" s="8">
        <v>8.870458103999999E7</v>
      </c>
    </row>
    <row r="801">
      <c r="A801" s="7" t="str">
        <f>IFERROR(__xludf.DUMMYFUNCTION("""COMPUTED_VALUE"""),"Lesotho")</f>
        <v>Lesotho</v>
      </c>
      <c r="B801" s="7" t="str">
        <f>IFERROR(__xludf.DUMMYFUNCTION("""COMPUTED_VALUE"""),"Zulauf Group")</f>
        <v>Zulauf Group</v>
      </c>
      <c r="C801" s="8">
        <f>IFERROR(__xludf.DUMMYFUNCTION("""COMPUTED_VALUE"""),1.29)</f>
        <v>1.29</v>
      </c>
      <c r="D801" s="7">
        <v>2305825.0</v>
      </c>
      <c r="E801" s="8">
        <v>2974514.25</v>
      </c>
    </row>
    <row r="802">
      <c r="A802" s="7" t="str">
        <f>IFERROR(__xludf.DUMMYFUNCTION("""COMPUTED_VALUE"""),"Portugal")</f>
        <v>Portugal</v>
      </c>
      <c r="B802" s="7" t="str">
        <f>IFERROR(__xludf.DUMMYFUNCTION("""COMPUTED_VALUE"""),"Legros-Koelpin")</f>
        <v>Legros-Koelpin</v>
      </c>
      <c r="C802" s="8">
        <f>IFERROR(__xludf.DUMMYFUNCTION("""COMPUTED_VALUE"""),1.01)</f>
        <v>1.01</v>
      </c>
      <c r="D802" s="7">
        <v>1.0270865E7</v>
      </c>
      <c r="E802" s="8">
        <v>1.037357365E7</v>
      </c>
    </row>
    <row r="803">
      <c r="A803" s="7" t="str">
        <f>IFERROR(__xludf.DUMMYFUNCTION("""COMPUTED_VALUE"""),"China")</f>
        <v>China</v>
      </c>
      <c r="B803" s="7" t="str">
        <f>IFERROR(__xludf.DUMMYFUNCTION("""COMPUTED_VALUE"""),"Runolfsdottir-Morar")</f>
        <v>Runolfsdottir-Morar</v>
      </c>
      <c r="C803" s="8">
        <f>IFERROR(__xludf.DUMMYFUNCTION("""COMPUTED_VALUE"""),1.26)</f>
        <v>1.26</v>
      </c>
      <c r="D803" s="7">
        <v>1.425887337E9</v>
      </c>
      <c r="E803" s="8">
        <v>1.7966180446200001E9</v>
      </c>
    </row>
    <row r="804">
      <c r="A804" s="7" t="str">
        <f>IFERROR(__xludf.DUMMYFUNCTION("""COMPUTED_VALUE"""),"Philippines")</f>
        <v>Philippines</v>
      </c>
      <c r="B804" s="7" t="str">
        <f>IFERROR(__xludf.DUMMYFUNCTION("""COMPUTED_VALUE"""),"Leannon LLC")</f>
        <v>Leannon LLC</v>
      </c>
      <c r="C804" s="8">
        <f>IFERROR(__xludf.DUMMYFUNCTION("""COMPUTED_VALUE"""),1.49)</f>
        <v>1.49</v>
      </c>
      <c r="D804" s="7">
        <v>1.15559009E8</v>
      </c>
      <c r="E804" s="8">
        <v>1.7218292341E8</v>
      </c>
    </row>
    <row r="805">
      <c r="A805" s="7" t="str">
        <f>IFERROR(__xludf.DUMMYFUNCTION("""COMPUTED_VALUE"""),"China")</f>
        <v>China</v>
      </c>
      <c r="B805" s="7" t="str">
        <f>IFERROR(__xludf.DUMMYFUNCTION("""COMPUTED_VALUE"""),"Becker-Little")</f>
        <v>Becker-Little</v>
      </c>
      <c r="C805" s="8">
        <f>IFERROR(__xludf.DUMMYFUNCTION("""COMPUTED_VALUE"""),1.93)</f>
        <v>1.93</v>
      </c>
      <c r="D805" s="7">
        <v>1.425887337E9</v>
      </c>
      <c r="E805" s="8">
        <v>2.75196256041E9</v>
      </c>
    </row>
    <row r="806">
      <c r="A806" s="7" t="str">
        <f>IFERROR(__xludf.DUMMYFUNCTION("""COMPUTED_VALUE"""),"Poland")</f>
        <v>Poland</v>
      </c>
      <c r="B806" s="7" t="str">
        <f>IFERROR(__xludf.DUMMYFUNCTION("""COMPUTED_VALUE"""),"Shanahan LLC")</f>
        <v>Shanahan LLC</v>
      </c>
      <c r="C806" s="8">
        <f>IFERROR(__xludf.DUMMYFUNCTION("""COMPUTED_VALUE"""),1.48)</f>
        <v>1.48</v>
      </c>
      <c r="D806" s="7">
        <v>3.9857145E7</v>
      </c>
      <c r="E806" s="8">
        <v>5.89885746E7</v>
      </c>
    </row>
    <row r="807">
      <c r="A807" s="7" t="str">
        <f>IFERROR(__xludf.DUMMYFUNCTION("""COMPUTED_VALUE"""),"Poland")</f>
        <v>Poland</v>
      </c>
      <c r="B807" s="7" t="str">
        <f>IFERROR(__xludf.DUMMYFUNCTION("""COMPUTED_VALUE"""),"Langworth Group")</f>
        <v>Langworth Group</v>
      </c>
      <c r="C807" s="8">
        <f>IFERROR(__xludf.DUMMYFUNCTION("""COMPUTED_VALUE"""),1.81)</f>
        <v>1.81</v>
      </c>
      <c r="D807" s="7">
        <v>3.9857145E7</v>
      </c>
      <c r="E807" s="8">
        <v>7.214143245E7</v>
      </c>
    </row>
    <row r="808">
      <c r="A808" s="7" t="str">
        <f>IFERROR(__xludf.DUMMYFUNCTION("""COMPUTED_VALUE"""),"China")</f>
        <v>China</v>
      </c>
      <c r="B808" s="7" t="str">
        <f>IFERROR(__xludf.DUMMYFUNCTION("""COMPUTED_VALUE"""),"Lubowitz-Schamberger")</f>
        <v>Lubowitz-Schamberger</v>
      </c>
      <c r="C808" s="8">
        <f>IFERROR(__xludf.DUMMYFUNCTION("""COMPUTED_VALUE"""),2.21)</f>
        <v>2.21</v>
      </c>
      <c r="D808" s="7">
        <v>1.425887337E9</v>
      </c>
      <c r="E808" s="8">
        <v>3.15121101477E9</v>
      </c>
    </row>
    <row r="809">
      <c r="A809" s="7" t="str">
        <f>IFERROR(__xludf.DUMMYFUNCTION("""COMPUTED_VALUE"""),"Philippines")</f>
        <v>Philippines</v>
      </c>
      <c r="B809" s="7" t="str">
        <f>IFERROR(__xludf.DUMMYFUNCTION("""COMPUTED_VALUE"""),"Lowe, Roberts and Douglas")</f>
        <v>Lowe, Roberts and Douglas</v>
      </c>
      <c r="C809" s="8">
        <f>IFERROR(__xludf.DUMMYFUNCTION("""COMPUTED_VALUE"""),1.98)</f>
        <v>1.98</v>
      </c>
      <c r="D809" s="7">
        <v>1.15559009E8</v>
      </c>
      <c r="E809" s="8">
        <v>2.2880683782E8</v>
      </c>
    </row>
    <row r="810">
      <c r="A810" s="7" t="str">
        <f>IFERROR(__xludf.DUMMYFUNCTION("""COMPUTED_VALUE"""),"Tanzania")</f>
        <v>Tanzania</v>
      </c>
      <c r="B810" s="7" t="str">
        <f>IFERROR(__xludf.DUMMYFUNCTION("""COMPUTED_VALUE"""),"Jaskolski-Rau")</f>
        <v>Jaskolski-Rau</v>
      </c>
      <c r="C810" s="8">
        <f>IFERROR(__xludf.DUMMYFUNCTION("""COMPUTED_VALUE"""),1.54)</f>
        <v>1.54</v>
      </c>
      <c r="D810" s="7">
        <v>6.5497748E7</v>
      </c>
      <c r="E810" s="8">
        <v>1.0086653192E8</v>
      </c>
    </row>
    <row r="811">
      <c r="A811" s="7" t="str">
        <f>IFERROR(__xludf.DUMMYFUNCTION("""COMPUTED_VALUE"""),"China")</f>
        <v>China</v>
      </c>
      <c r="B811" s="7" t="str">
        <f>IFERROR(__xludf.DUMMYFUNCTION("""COMPUTED_VALUE"""),"Hamill-Legros")</f>
        <v>Hamill-Legros</v>
      </c>
      <c r="C811" s="8">
        <f>IFERROR(__xludf.DUMMYFUNCTION("""COMPUTED_VALUE"""),1.07)</f>
        <v>1.07</v>
      </c>
      <c r="D811" s="7">
        <v>1.425887337E9</v>
      </c>
      <c r="E811" s="8">
        <v>1.5256994505900002E9</v>
      </c>
    </row>
    <row r="812">
      <c r="A812" s="7" t="str">
        <f>IFERROR(__xludf.DUMMYFUNCTION("""COMPUTED_VALUE"""),"Philippines")</f>
        <v>Philippines</v>
      </c>
      <c r="B812" s="7" t="str">
        <f>IFERROR(__xludf.DUMMYFUNCTION("""COMPUTED_VALUE"""),"Langosh, Hirthe and Rath")</f>
        <v>Langosh, Hirthe and Rath</v>
      </c>
      <c r="C812" s="8">
        <f>IFERROR(__xludf.DUMMYFUNCTION("""COMPUTED_VALUE"""),2.07)</f>
        <v>2.07</v>
      </c>
      <c r="D812" s="7">
        <v>1.15559009E8</v>
      </c>
      <c r="E812" s="8">
        <v>2.3920714863E8</v>
      </c>
    </row>
    <row r="813">
      <c r="A813" s="7" t="str">
        <f>IFERROR(__xludf.DUMMYFUNCTION("""COMPUTED_VALUE"""),"France")</f>
        <v>France</v>
      </c>
      <c r="B813" s="7" t="str">
        <f>IFERROR(__xludf.DUMMYFUNCTION("""COMPUTED_VALUE"""),"Hayes Group")</f>
        <v>Hayes Group</v>
      </c>
      <c r="C813" s="8">
        <f>IFERROR(__xludf.DUMMYFUNCTION("""COMPUTED_VALUE"""),0.93)</f>
        <v>0.93</v>
      </c>
      <c r="D813" s="7">
        <v>6.4626628E7</v>
      </c>
      <c r="E813" s="8">
        <v>6.010276404000001E7</v>
      </c>
    </row>
    <row r="814">
      <c r="A814" s="7" t="str">
        <f>IFERROR(__xludf.DUMMYFUNCTION("""COMPUTED_VALUE"""),"Portugal")</f>
        <v>Portugal</v>
      </c>
      <c r="B814" s="7" t="str">
        <f>IFERROR(__xludf.DUMMYFUNCTION("""COMPUTED_VALUE"""),"Bartell-Carter")</f>
        <v>Bartell-Carter</v>
      </c>
      <c r="C814" s="8">
        <f>IFERROR(__xludf.DUMMYFUNCTION("""COMPUTED_VALUE"""),1.97)</f>
        <v>1.97</v>
      </c>
      <c r="D814" s="7">
        <v>1.0270865E7</v>
      </c>
      <c r="E814" s="8">
        <v>2.023360405E7</v>
      </c>
    </row>
    <row r="815">
      <c r="A815" s="7" t="str">
        <f>IFERROR(__xludf.DUMMYFUNCTION("""COMPUTED_VALUE"""),"Argentina")</f>
        <v>Argentina</v>
      </c>
      <c r="B815" s="7" t="str">
        <f>IFERROR(__xludf.DUMMYFUNCTION("""COMPUTED_VALUE"""),"Jenkins Group")</f>
        <v>Jenkins Group</v>
      </c>
      <c r="C815" s="8">
        <f>IFERROR(__xludf.DUMMYFUNCTION("""COMPUTED_VALUE"""),2.13)</f>
        <v>2.13</v>
      </c>
      <c r="D815" s="7">
        <v>4.5510318E7</v>
      </c>
      <c r="E815" s="8">
        <v>9.693697733999999E7</v>
      </c>
    </row>
    <row r="816">
      <c r="A816" s="7" t="str">
        <f>IFERROR(__xludf.DUMMYFUNCTION("""COMPUTED_VALUE"""),"Paraguay")</f>
        <v>Paraguay</v>
      </c>
      <c r="B816" s="7" t="str">
        <f>IFERROR(__xludf.DUMMYFUNCTION("""COMPUTED_VALUE"""),"Herzog and Sons")</f>
        <v>Herzog and Sons</v>
      </c>
      <c r="C816" s="8">
        <f>IFERROR(__xludf.DUMMYFUNCTION("""COMPUTED_VALUE"""),1.55)</f>
        <v>1.55</v>
      </c>
      <c r="D816" s="7">
        <v>6780744.0</v>
      </c>
      <c r="E816" s="8">
        <v>1.0510153200000001E7</v>
      </c>
    </row>
    <row r="817">
      <c r="A817" s="7" t="str">
        <f>IFERROR(__xludf.DUMMYFUNCTION("""COMPUTED_VALUE"""),"Brazil")</f>
        <v>Brazil</v>
      </c>
      <c r="B817" s="7" t="str">
        <f>IFERROR(__xludf.DUMMYFUNCTION("""COMPUTED_VALUE"""),"Senger-Marvin")</f>
        <v>Senger-Marvin</v>
      </c>
      <c r="C817" s="8">
        <f>IFERROR(__xludf.DUMMYFUNCTION("""COMPUTED_VALUE"""),0.98)</f>
        <v>0.98</v>
      </c>
      <c r="D817" s="7">
        <v>2.15313498E8</v>
      </c>
      <c r="E817" s="8">
        <v>2.1100722804E8</v>
      </c>
    </row>
    <row r="818">
      <c r="A818" s="7" t="str">
        <f>IFERROR(__xludf.DUMMYFUNCTION("""COMPUTED_VALUE"""),"United States")</f>
        <v>United States</v>
      </c>
      <c r="B818" s="7" t="str">
        <f>IFERROR(__xludf.DUMMYFUNCTION("""COMPUTED_VALUE"""),"Tillman Group")</f>
        <v>Tillman Group</v>
      </c>
      <c r="C818" s="8">
        <f>IFERROR(__xludf.DUMMYFUNCTION("""COMPUTED_VALUE"""),1.56)</f>
        <v>1.56</v>
      </c>
      <c r="D818" s="7">
        <v>3.38289857E8</v>
      </c>
      <c r="E818" s="8">
        <v>5.2773217692E8</v>
      </c>
    </row>
    <row r="819">
      <c r="A819" s="7" t="str">
        <f>IFERROR(__xludf.DUMMYFUNCTION("""COMPUTED_VALUE"""),"Philippines")</f>
        <v>Philippines</v>
      </c>
      <c r="B819" s="7" t="str">
        <f>IFERROR(__xludf.DUMMYFUNCTION("""COMPUTED_VALUE"""),"Reichel, Tremblay and Beier")</f>
        <v>Reichel, Tremblay and Beier</v>
      </c>
      <c r="C819" s="8">
        <f>IFERROR(__xludf.DUMMYFUNCTION("""COMPUTED_VALUE"""),1.96)</f>
        <v>1.96</v>
      </c>
      <c r="D819" s="7">
        <v>1.15559009E8</v>
      </c>
      <c r="E819" s="8">
        <v>2.2649565764E8</v>
      </c>
    </row>
    <row r="820">
      <c r="A820" s="7" t="str">
        <f>IFERROR(__xludf.DUMMYFUNCTION("""COMPUTED_VALUE"""),"Cuba")</f>
        <v>Cuba</v>
      </c>
      <c r="B820" s="7" t="str">
        <f>IFERROR(__xludf.DUMMYFUNCTION("""COMPUTED_VALUE"""),"Crist, Bailey and Marquardt")</f>
        <v>Crist, Bailey and Marquardt</v>
      </c>
      <c r="C820" s="8">
        <f>IFERROR(__xludf.DUMMYFUNCTION("""COMPUTED_VALUE"""),2.11)</f>
        <v>2.11</v>
      </c>
      <c r="D820" s="7">
        <v>1.1212191E7</v>
      </c>
      <c r="E820" s="8">
        <v>2.3657723009999998E7</v>
      </c>
    </row>
    <row r="821">
      <c r="A821" s="7" t="str">
        <f>IFERROR(__xludf.DUMMYFUNCTION("""COMPUTED_VALUE"""),"Philippines")</f>
        <v>Philippines</v>
      </c>
      <c r="B821" s="7" t="str">
        <f>IFERROR(__xludf.DUMMYFUNCTION("""COMPUTED_VALUE"""),"Satterfield, Rowe and McGlynn")</f>
        <v>Satterfield, Rowe and McGlynn</v>
      </c>
      <c r="C821" s="8">
        <f>IFERROR(__xludf.DUMMYFUNCTION("""COMPUTED_VALUE"""),2.11)</f>
        <v>2.11</v>
      </c>
      <c r="D821" s="7">
        <v>1.15559009E8</v>
      </c>
      <c r="E821" s="8">
        <v>2.4382950898999998E8</v>
      </c>
    </row>
    <row r="822">
      <c r="A822" s="7" t="str">
        <f>IFERROR(__xludf.DUMMYFUNCTION("""COMPUTED_VALUE"""),"China")</f>
        <v>China</v>
      </c>
      <c r="B822" s="7" t="str">
        <f>IFERROR(__xludf.DUMMYFUNCTION("""COMPUTED_VALUE"""),"Hoeger and Sons")</f>
        <v>Hoeger and Sons</v>
      </c>
      <c r="C822" s="8">
        <f>IFERROR(__xludf.DUMMYFUNCTION("""COMPUTED_VALUE"""),2.17)</f>
        <v>2.17</v>
      </c>
      <c r="D822" s="7">
        <v>1.425887337E9</v>
      </c>
      <c r="E822" s="8">
        <v>3.09417552129E9</v>
      </c>
    </row>
    <row r="823">
      <c r="A823" s="7" t="str">
        <f>IFERROR(__xludf.DUMMYFUNCTION("""COMPUTED_VALUE"""),"Guatemala")</f>
        <v>Guatemala</v>
      </c>
      <c r="B823" s="7" t="str">
        <f>IFERROR(__xludf.DUMMYFUNCTION("""COMPUTED_VALUE"""),"Morar, Schowalter and Hilpert")</f>
        <v>Morar, Schowalter and Hilpert</v>
      </c>
      <c r="C823" s="8">
        <f>IFERROR(__xludf.DUMMYFUNCTION("""COMPUTED_VALUE"""),1.65)</f>
        <v>1.65</v>
      </c>
      <c r="D823" s="7">
        <v>1.7843908E7</v>
      </c>
      <c r="E823" s="8">
        <v>2.94424482E7</v>
      </c>
    </row>
    <row r="824">
      <c r="A824" s="7" t="str">
        <f>IFERROR(__xludf.DUMMYFUNCTION("""COMPUTED_VALUE"""),"Indonesia")</f>
        <v>Indonesia</v>
      </c>
      <c r="B824" s="7" t="str">
        <f>IFERROR(__xludf.DUMMYFUNCTION("""COMPUTED_VALUE"""),"Feest, Halvorson and Kuhlman")</f>
        <v>Feest, Halvorson and Kuhlman</v>
      </c>
      <c r="C824" s="8">
        <f>IFERROR(__xludf.DUMMYFUNCTION("""COMPUTED_VALUE"""),1.86)</f>
        <v>1.86</v>
      </c>
      <c r="D824" s="7">
        <v>2.75501339E8</v>
      </c>
      <c r="E824" s="8">
        <v>5.1243249054E8</v>
      </c>
    </row>
    <row r="825">
      <c r="A825" s="7" t="str">
        <f>IFERROR(__xludf.DUMMYFUNCTION("""COMPUTED_VALUE"""),"China")</f>
        <v>China</v>
      </c>
      <c r="B825" s="7" t="str">
        <f>IFERROR(__xludf.DUMMYFUNCTION("""COMPUTED_VALUE"""),"Metz LLC")</f>
        <v>Metz LLC</v>
      </c>
      <c r="C825" s="8">
        <f>IFERROR(__xludf.DUMMYFUNCTION("""COMPUTED_VALUE"""),0.97)</f>
        <v>0.97</v>
      </c>
      <c r="D825" s="7">
        <v>1.425887337E9</v>
      </c>
      <c r="E825" s="8">
        <v>1.3831107168899999E9</v>
      </c>
    </row>
    <row r="826">
      <c r="A826" s="7" t="str">
        <f>IFERROR(__xludf.DUMMYFUNCTION("""COMPUTED_VALUE"""),"Peru")</f>
        <v>Peru</v>
      </c>
      <c r="B826" s="7" t="str">
        <f>IFERROR(__xludf.DUMMYFUNCTION("""COMPUTED_VALUE"""),"Collier-Gerhold")</f>
        <v>Collier-Gerhold</v>
      </c>
      <c r="C826" s="8">
        <f>IFERROR(__xludf.DUMMYFUNCTION("""COMPUTED_VALUE"""),1.88)</f>
        <v>1.88</v>
      </c>
      <c r="D826" s="7">
        <v>3.4049588E7</v>
      </c>
      <c r="E826" s="8">
        <v>6.401322544E7</v>
      </c>
    </row>
    <row r="827">
      <c r="A827" s="7" t="str">
        <f>IFERROR(__xludf.DUMMYFUNCTION("""COMPUTED_VALUE"""),"Japan")</f>
        <v>Japan</v>
      </c>
      <c r="B827" s="7" t="str">
        <f>IFERROR(__xludf.DUMMYFUNCTION("""COMPUTED_VALUE"""),"Blanda-Flatley")</f>
        <v>Blanda-Flatley</v>
      </c>
      <c r="C827" s="8">
        <f>IFERROR(__xludf.DUMMYFUNCTION("""COMPUTED_VALUE"""),1.17)</f>
        <v>1.17</v>
      </c>
      <c r="D827" s="7">
        <v>1.23951692E8</v>
      </c>
      <c r="E827" s="8">
        <v>1.4502347964E8</v>
      </c>
    </row>
    <row r="828">
      <c r="A828" s="7" t="str">
        <f>IFERROR(__xludf.DUMMYFUNCTION("""COMPUTED_VALUE"""),"Indonesia")</f>
        <v>Indonesia</v>
      </c>
      <c r="B828" s="7" t="str">
        <f>IFERROR(__xludf.DUMMYFUNCTION("""COMPUTED_VALUE"""),"Bauch, Kohler and Waelchi")</f>
        <v>Bauch, Kohler and Waelchi</v>
      </c>
      <c r="C828" s="8">
        <f>IFERROR(__xludf.DUMMYFUNCTION("""COMPUTED_VALUE"""),1.86)</f>
        <v>1.86</v>
      </c>
      <c r="D828" s="7">
        <v>2.75501339E8</v>
      </c>
      <c r="E828" s="8">
        <v>5.1243249054E8</v>
      </c>
    </row>
    <row r="829">
      <c r="A829" s="7" t="str">
        <f>IFERROR(__xludf.DUMMYFUNCTION("""COMPUTED_VALUE"""),"China")</f>
        <v>China</v>
      </c>
      <c r="B829" s="7" t="str">
        <f>IFERROR(__xludf.DUMMYFUNCTION("""COMPUTED_VALUE"""),"Maggio Inc")</f>
        <v>Maggio Inc</v>
      </c>
      <c r="C829" s="8">
        <f>IFERROR(__xludf.DUMMYFUNCTION("""COMPUTED_VALUE"""),2.13)</f>
        <v>2.13</v>
      </c>
      <c r="D829" s="7">
        <v>1.425887337E9</v>
      </c>
      <c r="E829" s="8">
        <v>3.03714002781E9</v>
      </c>
    </row>
    <row r="830">
      <c r="A830" s="7" t="str">
        <f>IFERROR(__xludf.DUMMYFUNCTION("""COMPUTED_VALUE"""),"Honduras")</f>
        <v>Honduras</v>
      </c>
      <c r="B830" s="7" t="str">
        <f>IFERROR(__xludf.DUMMYFUNCTION("""COMPUTED_VALUE"""),"Mohr-Herman")</f>
        <v>Mohr-Herman</v>
      </c>
      <c r="C830" s="8">
        <f>IFERROR(__xludf.DUMMYFUNCTION("""COMPUTED_VALUE"""),0.95)</f>
        <v>0.95</v>
      </c>
      <c r="D830" s="7">
        <v>1.043286E7</v>
      </c>
      <c r="E830" s="8">
        <v>9911217.0</v>
      </c>
    </row>
    <row r="831">
      <c r="A831" s="7" t="str">
        <f>IFERROR(__xludf.DUMMYFUNCTION("""COMPUTED_VALUE"""),"Canada")</f>
        <v>Canada</v>
      </c>
      <c r="B831" s="7" t="str">
        <f>IFERROR(__xludf.DUMMYFUNCTION("""COMPUTED_VALUE"""),"Emard-Cole")</f>
        <v>Emard-Cole</v>
      </c>
      <c r="C831" s="8">
        <f>IFERROR(__xludf.DUMMYFUNCTION("""COMPUTED_VALUE"""),1.64)</f>
        <v>1.64</v>
      </c>
      <c r="D831" s="7">
        <v>3.8454327E7</v>
      </c>
      <c r="E831" s="8">
        <v>6.3065096279999994E7</v>
      </c>
    </row>
    <row r="832">
      <c r="A832" s="7" t="str">
        <f>IFERROR(__xludf.DUMMYFUNCTION("""COMPUTED_VALUE"""),"Finland")</f>
        <v>Finland</v>
      </c>
      <c r="B832" s="7" t="str">
        <f>IFERROR(__xludf.DUMMYFUNCTION("""COMPUTED_VALUE"""),"Daugherty, Thompson and Maggio")</f>
        <v>Daugherty, Thompson and Maggio</v>
      </c>
      <c r="C832" s="8">
        <f>IFERROR(__xludf.DUMMYFUNCTION("""COMPUTED_VALUE"""),2.06)</f>
        <v>2.06</v>
      </c>
      <c r="D832" s="7">
        <v>5540745.0</v>
      </c>
      <c r="E832" s="8">
        <v>1.1413934700000001E7</v>
      </c>
    </row>
    <row r="833">
      <c r="A833" s="7" t="str">
        <f>IFERROR(__xludf.DUMMYFUNCTION("""COMPUTED_VALUE"""),"Sweden")</f>
        <v>Sweden</v>
      </c>
      <c r="B833" s="7" t="str">
        <f>IFERROR(__xludf.DUMMYFUNCTION("""COMPUTED_VALUE"""),"Lakin-Lang")</f>
        <v>Lakin-Lang</v>
      </c>
      <c r="C833" s="8">
        <f>IFERROR(__xludf.DUMMYFUNCTION("""COMPUTED_VALUE"""),0.95)</f>
        <v>0.95</v>
      </c>
      <c r="D833" s="7">
        <v>1.0549347E7</v>
      </c>
      <c r="E833" s="8">
        <v>1.002187965E7</v>
      </c>
    </row>
    <row r="834">
      <c r="A834" s="7" t="str">
        <f>IFERROR(__xludf.DUMMYFUNCTION("""COMPUTED_VALUE"""),"Brazil")</f>
        <v>Brazil</v>
      </c>
      <c r="B834" s="7" t="str">
        <f>IFERROR(__xludf.DUMMYFUNCTION("""COMPUTED_VALUE"""),"Lang Inc")</f>
        <v>Lang Inc</v>
      </c>
      <c r="C834" s="8">
        <f>IFERROR(__xludf.DUMMYFUNCTION("""COMPUTED_VALUE"""),1.59)</f>
        <v>1.59</v>
      </c>
      <c r="D834" s="7">
        <v>2.15313498E8</v>
      </c>
      <c r="E834" s="8">
        <v>3.4234846182E8</v>
      </c>
    </row>
    <row r="835">
      <c r="A835" s="7" t="str">
        <f>IFERROR(__xludf.DUMMYFUNCTION("""COMPUTED_VALUE"""),"Portugal")</f>
        <v>Portugal</v>
      </c>
      <c r="B835" s="7" t="str">
        <f>IFERROR(__xludf.DUMMYFUNCTION("""COMPUTED_VALUE"""),"Mayert LLC")</f>
        <v>Mayert LLC</v>
      </c>
      <c r="C835" s="8">
        <f>IFERROR(__xludf.DUMMYFUNCTION("""COMPUTED_VALUE"""),1.63)</f>
        <v>1.63</v>
      </c>
      <c r="D835" s="7">
        <v>1.0270865E7</v>
      </c>
      <c r="E835" s="8">
        <v>1.674150995E7</v>
      </c>
    </row>
    <row r="836">
      <c r="A836" s="7" t="str">
        <f>IFERROR(__xludf.DUMMYFUNCTION("""COMPUTED_VALUE"""),"Greece")</f>
        <v>Greece</v>
      </c>
      <c r="B836" s="7" t="str">
        <f>IFERROR(__xludf.DUMMYFUNCTION("""COMPUTED_VALUE"""),"Mante, Torphy and Farrell")</f>
        <v>Mante, Torphy and Farrell</v>
      </c>
      <c r="C836" s="8">
        <f>IFERROR(__xludf.DUMMYFUNCTION("""COMPUTED_VALUE"""),1.73)</f>
        <v>1.73</v>
      </c>
      <c r="D836" s="7">
        <v>1.0384971E7</v>
      </c>
      <c r="E836" s="8">
        <v>1.796599983E7</v>
      </c>
    </row>
    <row r="837">
      <c r="A837" s="7" t="str">
        <f>IFERROR(__xludf.DUMMYFUNCTION("""COMPUTED_VALUE"""),"Colombia")</f>
        <v>Colombia</v>
      </c>
      <c r="B837" s="7" t="str">
        <f>IFERROR(__xludf.DUMMYFUNCTION("""COMPUTED_VALUE"""),"Runolfsdottir, Daugherty and Wilderman")</f>
        <v>Runolfsdottir, Daugherty and Wilderman</v>
      </c>
      <c r="C837" s="8">
        <f>IFERROR(__xludf.DUMMYFUNCTION("""COMPUTED_VALUE"""),1.88)</f>
        <v>1.88</v>
      </c>
      <c r="D837" s="7">
        <v>5.1874024E7</v>
      </c>
      <c r="E837" s="8">
        <v>9.752316511999999E7</v>
      </c>
    </row>
    <row r="838">
      <c r="A838" s="7" t="str">
        <f>IFERROR(__xludf.DUMMYFUNCTION("""COMPUTED_VALUE"""),"Honduras")</f>
        <v>Honduras</v>
      </c>
      <c r="B838" s="7" t="str">
        <f>IFERROR(__xludf.DUMMYFUNCTION("""COMPUTED_VALUE"""),"Bergstrom-Koepp")</f>
        <v>Bergstrom-Koepp</v>
      </c>
      <c r="C838" s="8">
        <f>IFERROR(__xludf.DUMMYFUNCTION("""COMPUTED_VALUE"""),1.31)</f>
        <v>1.31</v>
      </c>
      <c r="D838" s="7">
        <v>1.043286E7</v>
      </c>
      <c r="E838" s="8">
        <v>1.36670466E7</v>
      </c>
    </row>
    <row r="839">
      <c r="A839" s="7" t="str">
        <f>IFERROR(__xludf.DUMMYFUNCTION("""COMPUTED_VALUE"""),"Philippines")</f>
        <v>Philippines</v>
      </c>
      <c r="B839" s="7" t="str">
        <f>IFERROR(__xludf.DUMMYFUNCTION("""COMPUTED_VALUE"""),"Crooks LLC")</f>
        <v>Crooks LLC</v>
      </c>
      <c r="C839" s="8">
        <f>IFERROR(__xludf.DUMMYFUNCTION("""COMPUTED_VALUE"""),2.02)</f>
        <v>2.02</v>
      </c>
      <c r="D839" s="7">
        <v>1.15559009E8</v>
      </c>
      <c r="E839" s="8">
        <v>2.3342919818E8</v>
      </c>
    </row>
    <row r="840">
      <c r="A840" s="7" t="str">
        <f>IFERROR(__xludf.DUMMYFUNCTION("""COMPUTED_VALUE"""),"China")</f>
        <v>China</v>
      </c>
      <c r="B840" s="7" t="str">
        <f>IFERROR(__xludf.DUMMYFUNCTION("""COMPUTED_VALUE"""),"Spinka, Kunde and Powlowski")</f>
        <v>Spinka, Kunde and Powlowski</v>
      </c>
      <c r="C840" s="8">
        <f>IFERROR(__xludf.DUMMYFUNCTION("""COMPUTED_VALUE"""),1.25)</f>
        <v>1.25</v>
      </c>
      <c r="D840" s="7">
        <v>1.425887337E9</v>
      </c>
      <c r="E840" s="8">
        <v>1.78235917125E9</v>
      </c>
    </row>
    <row r="841">
      <c r="A841" s="7" t="str">
        <f>IFERROR(__xludf.DUMMYFUNCTION("""COMPUTED_VALUE"""),"Indonesia")</f>
        <v>Indonesia</v>
      </c>
      <c r="B841" s="7" t="str">
        <f>IFERROR(__xludf.DUMMYFUNCTION("""COMPUTED_VALUE"""),"Mills Inc")</f>
        <v>Mills Inc</v>
      </c>
      <c r="C841" s="8">
        <f>IFERROR(__xludf.DUMMYFUNCTION("""COMPUTED_VALUE"""),2.12)</f>
        <v>2.12</v>
      </c>
      <c r="D841" s="7">
        <v>2.75501339E8</v>
      </c>
      <c r="E841" s="8">
        <v>5.840628386800001E8</v>
      </c>
    </row>
    <row r="842">
      <c r="A842" s="7" t="str">
        <f>IFERROR(__xludf.DUMMYFUNCTION("""COMPUTED_VALUE"""),"Mexico")</f>
        <v>Mexico</v>
      </c>
      <c r="B842" s="7" t="str">
        <f>IFERROR(__xludf.DUMMYFUNCTION("""COMPUTED_VALUE"""),"Weissnat and Sons")</f>
        <v>Weissnat and Sons</v>
      </c>
      <c r="C842" s="8">
        <f>IFERROR(__xludf.DUMMYFUNCTION("""COMPUTED_VALUE"""),1.79)</f>
        <v>1.79</v>
      </c>
      <c r="D842" s="7">
        <v>1.27504125E8</v>
      </c>
      <c r="E842" s="8">
        <v>2.2823238375E8</v>
      </c>
    </row>
    <row r="843">
      <c r="A843" s="7" t="str">
        <f>IFERROR(__xludf.DUMMYFUNCTION("""COMPUTED_VALUE"""),"Panama")</f>
        <v>Panama</v>
      </c>
      <c r="B843" s="7" t="str">
        <f>IFERROR(__xludf.DUMMYFUNCTION("""COMPUTED_VALUE"""),"Bernier, Stracke and Gerhold")</f>
        <v>Bernier, Stracke and Gerhold</v>
      </c>
      <c r="C843" s="8">
        <f>IFERROR(__xludf.DUMMYFUNCTION("""COMPUTED_VALUE"""),1.6)</f>
        <v>1.6</v>
      </c>
      <c r="D843" s="7">
        <v>4408581.0</v>
      </c>
      <c r="E843" s="8">
        <v>7053729.600000001</v>
      </c>
    </row>
    <row r="844">
      <c r="A844" s="7" t="str">
        <f>IFERROR(__xludf.DUMMYFUNCTION("""COMPUTED_VALUE"""),"Colombia")</f>
        <v>Colombia</v>
      </c>
      <c r="B844" s="7" t="str">
        <f>IFERROR(__xludf.DUMMYFUNCTION("""COMPUTED_VALUE"""),"Ferry Inc")</f>
        <v>Ferry Inc</v>
      </c>
      <c r="C844" s="8">
        <f>IFERROR(__xludf.DUMMYFUNCTION("""COMPUTED_VALUE"""),1.68)</f>
        <v>1.68</v>
      </c>
      <c r="D844" s="7">
        <v>5.1874024E7</v>
      </c>
      <c r="E844" s="8">
        <v>8.714836032E7</v>
      </c>
    </row>
    <row r="845">
      <c r="A845" s="7" t="str">
        <f>IFERROR(__xludf.DUMMYFUNCTION("""COMPUTED_VALUE"""),"Malaysia")</f>
        <v>Malaysia</v>
      </c>
      <c r="B845" s="7" t="str">
        <f>IFERROR(__xludf.DUMMYFUNCTION("""COMPUTED_VALUE"""),"Nienow, Hickle and Emmerich")</f>
        <v>Nienow, Hickle and Emmerich</v>
      </c>
      <c r="C845" s="8">
        <f>IFERROR(__xludf.DUMMYFUNCTION("""COMPUTED_VALUE"""),2.05)</f>
        <v>2.05</v>
      </c>
      <c r="D845" s="7">
        <v>3.3938221E7</v>
      </c>
      <c r="E845" s="8">
        <v>6.957335305E7</v>
      </c>
    </row>
    <row r="846">
      <c r="A846" s="7" t="str">
        <f>IFERROR(__xludf.DUMMYFUNCTION("""COMPUTED_VALUE"""),"China")</f>
        <v>China</v>
      </c>
      <c r="B846" s="7" t="str">
        <f>IFERROR(__xludf.DUMMYFUNCTION("""COMPUTED_VALUE"""),"Howe-Predovic")</f>
        <v>Howe-Predovic</v>
      </c>
      <c r="C846" s="8">
        <f>IFERROR(__xludf.DUMMYFUNCTION("""COMPUTED_VALUE"""),1.94)</f>
        <v>1.94</v>
      </c>
      <c r="D846" s="7">
        <v>1.425887337E9</v>
      </c>
      <c r="E846" s="8">
        <v>2.7662214337799997E9</v>
      </c>
    </row>
    <row r="847">
      <c r="A847" s="7" t="str">
        <f>IFERROR(__xludf.DUMMYFUNCTION("""COMPUTED_VALUE"""),"Mexico")</f>
        <v>Mexico</v>
      </c>
      <c r="B847" s="7" t="str">
        <f>IFERROR(__xludf.DUMMYFUNCTION("""COMPUTED_VALUE"""),"Terry and Sons")</f>
        <v>Terry and Sons</v>
      </c>
      <c r="C847" s="8">
        <f>IFERROR(__xludf.DUMMYFUNCTION("""COMPUTED_VALUE"""),0.89)</f>
        <v>0.89</v>
      </c>
      <c r="D847" s="7">
        <v>1.27504125E8</v>
      </c>
      <c r="E847" s="8">
        <v>1.1347867125E8</v>
      </c>
    </row>
    <row r="848">
      <c r="A848" s="7" t="str">
        <f>IFERROR(__xludf.DUMMYFUNCTION("""COMPUTED_VALUE"""),"Norway")</f>
        <v>Norway</v>
      </c>
      <c r="B848" s="7" t="str">
        <f>IFERROR(__xludf.DUMMYFUNCTION("""COMPUTED_VALUE"""),"Parisian Inc")</f>
        <v>Parisian Inc</v>
      </c>
      <c r="C848" s="8">
        <f>IFERROR(__xludf.DUMMYFUNCTION("""COMPUTED_VALUE"""),1.28)</f>
        <v>1.28</v>
      </c>
      <c r="D848" s="7">
        <v>5434319.0</v>
      </c>
      <c r="E848" s="8">
        <v>6955928.32</v>
      </c>
    </row>
    <row r="849">
      <c r="A849" s="7" t="str">
        <f>IFERROR(__xludf.DUMMYFUNCTION("""COMPUTED_VALUE"""),"Indonesia")</f>
        <v>Indonesia</v>
      </c>
      <c r="B849" s="7" t="str">
        <f>IFERROR(__xludf.DUMMYFUNCTION("""COMPUTED_VALUE"""),"Denesik-Gerhold")</f>
        <v>Denesik-Gerhold</v>
      </c>
      <c r="C849" s="8">
        <f>IFERROR(__xludf.DUMMYFUNCTION("""COMPUTED_VALUE"""),1.43)</f>
        <v>1.43</v>
      </c>
      <c r="D849" s="7">
        <v>2.75501339E8</v>
      </c>
      <c r="E849" s="8">
        <v>3.9396691477E8</v>
      </c>
    </row>
    <row r="850">
      <c r="A850" s="7" t="str">
        <f>IFERROR(__xludf.DUMMYFUNCTION("""COMPUTED_VALUE"""),"Indonesia")</f>
        <v>Indonesia</v>
      </c>
      <c r="B850" s="7" t="str">
        <f>IFERROR(__xludf.DUMMYFUNCTION("""COMPUTED_VALUE"""),"Quitzon LLC")</f>
        <v>Quitzon LLC</v>
      </c>
      <c r="C850" s="8">
        <f>IFERROR(__xludf.DUMMYFUNCTION("""COMPUTED_VALUE"""),1.21)</f>
        <v>1.21</v>
      </c>
      <c r="D850" s="7">
        <v>2.75501339E8</v>
      </c>
      <c r="E850" s="8">
        <v>3.3335662019E8</v>
      </c>
    </row>
    <row r="851">
      <c r="A851" s="7" t="str">
        <f>IFERROR(__xludf.DUMMYFUNCTION("""COMPUTED_VALUE"""),"Philippines")</f>
        <v>Philippines</v>
      </c>
      <c r="B851" s="7" t="str">
        <f>IFERROR(__xludf.DUMMYFUNCTION("""COMPUTED_VALUE"""),"Mann-Abbott")</f>
        <v>Mann-Abbott</v>
      </c>
      <c r="C851" s="8">
        <f>IFERROR(__xludf.DUMMYFUNCTION("""COMPUTED_VALUE"""),2.05)</f>
        <v>2.05</v>
      </c>
      <c r="D851" s="7">
        <v>1.15559009E8</v>
      </c>
      <c r="E851" s="8">
        <v>2.3689596845E8</v>
      </c>
    </row>
    <row r="852">
      <c r="A852" s="7" t="str">
        <f>IFERROR(__xludf.DUMMYFUNCTION("""COMPUTED_VALUE"""),"Greece")</f>
        <v>Greece</v>
      </c>
      <c r="B852" s="7" t="str">
        <f>IFERROR(__xludf.DUMMYFUNCTION("""COMPUTED_VALUE"""),"Schuppe Inc")</f>
        <v>Schuppe Inc</v>
      </c>
      <c r="C852" s="8">
        <f>IFERROR(__xludf.DUMMYFUNCTION("""COMPUTED_VALUE"""),1.08)</f>
        <v>1.08</v>
      </c>
      <c r="D852" s="7">
        <v>1.0384971E7</v>
      </c>
      <c r="E852" s="8">
        <v>1.1215768680000002E7</v>
      </c>
    </row>
    <row r="853">
      <c r="A853" s="7" t="str">
        <f>IFERROR(__xludf.DUMMYFUNCTION("""COMPUTED_VALUE"""),"Philippines")</f>
        <v>Philippines</v>
      </c>
      <c r="B853" s="7" t="str">
        <f>IFERROR(__xludf.DUMMYFUNCTION("""COMPUTED_VALUE"""),"Zieme LLC")</f>
        <v>Zieme LLC</v>
      </c>
      <c r="C853" s="8">
        <f>IFERROR(__xludf.DUMMYFUNCTION("""COMPUTED_VALUE"""),1.99)</f>
        <v>1.99</v>
      </c>
      <c r="D853" s="7">
        <v>1.15559009E8</v>
      </c>
      <c r="E853" s="8">
        <v>2.2996242791E8</v>
      </c>
    </row>
    <row r="854">
      <c r="A854" s="7" t="str">
        <f>IFERROR(__xludf.DUMMYFUNCTION("""COMPUTED_VALUE"""),"China")</f>
        <v>China</v>
      </c>
      <c r="B854" s="7" t="str">
        <f>IFERROR(__xludf.DUMMYFUNCTION("""COMPUTED_VALUE"""),"Yundt-Medhurst")</f>
        <v>Yundt-Medhurst</v>
      </c>
      <c r="C854" s="8">
        <f>IFERROR(__xludf.DUMMYFUNCTION("""COMPUTED_VALUE"""),1.37)</f>
        <v>1.37</v>
      </c>
      <c r="D854" s="7">
        <v>1.425887337E9</v>
      </c>
      <c r="E854" s="8">
        <v>1.95346565169E9</v>
      </c>
    </row>
    <row r="855">
      <c r="A855" s="7" t="str">
        <f>IFERROR(__xludf.DUMMYFUNCTION("""COMPUTED_VALUE"""),"China")</f>
        <v>China</v>
      </c>
      <c r="B855" s="7" t="str">
        <f>IFERROR(__xludf.DUMMYFUNCTION("""COMPUTED_VALUE"""),"Goldner-Sauer")</f>
        <v>Goldner-Sauer</v>
      </c>
      <c r="C855" s="8">
        <f>IFERROR(__xludf.DUMMYFUNCTION("""COMPUTED_VALUE"""),1.53)</f>
        <v>1.53</v>
      </c>
      <c r="D855" s="7">
        <v>1.425887337E9</v>
      </c>
      <c r="E855" s="8">
        <v>2.18160762561E9</v>
      </c>
    </row>
    <row r="856">
      <c r="A856" s="7" t="str">
        <f>IFERROR(__xludf.DUMMYFUNCTION("""COMPUTED_VALUE"""),"Greece")</f>
        <v>Greece</v>
      </c>
      <c r="B856" s="7" t="str">
        <f>IFERROR(__xludf.DUMMYFUNCTION("""COMPUTED_VALUE"""),"Wisozk LLC")</f>
        <v>Wisozk LLC</v>
      </c>
      <c r="C856" s="8">
        <f>IFERROR(__xludf.DUMMYFUNCTION("""COMPUTED_VALUE"""),1.12)</f>
        <v>1.12</v>
      </c>
      <c r="D856" s="7">
        <v>1.0384971E7</v>
      </c>
      <c r="E856" s="8">
        <v>1.1631167520000001E7</v>
      </c>
    </row>
    <row r="857">
      <c r="A857" s="7" t="str">
        <f>IFERROR(__xludf.DUMMYFUNCTION("""COMPUTED_VALUE"""),"Portugal")</f>
        <v>Portugal</v>
      </c>
      <c r="B857" s="7" t="str">
        <f>IFERROR(__xludf.DUMMYFUNCTION("""COMPUTED_VALUE"""),"Runolfsson-Swaniawski")</f>
        <v>Runolfsson-Swaniawski</v>
      </c>
      <c r="C857" s="8">
        <f>IFERROR(__xludf.DUMMYFUNCTION("""COMPUTED_VALUE"""),0.87)</f>
        <v>0.87</v>
      </c>
      <c r="D857" s="7">
        <v>1.0270865E7</v>
      </c>
      <c r="E857" s="8">
        <v>8935652.55</v>
      </c>
    </row>
    <row r="858">
      <c r="A858" s="7" t="str">
        <f>IFERROR(__xludf.DUMMYFUNCTION("""COMPUTED_VALUE"""),"Niger")</f>
        <v>Niger</v>
      </c>
      <c r="B858" s="7" t="str">
        <f>IFERROR(__xludf.DUMMYFUNCTION("""COMPUTED_VALUE"""),"Schmidt, Hane and Johns")</f>
        <v>Schmidt, Hane and Johns</v>
      </c>
      <c r="C858" s="8">
        <f>IFERROR(__xludf.DUMMYFUNCTION("""COMPUTED_VALUE"""),2.2)</f>
        <v>2.2</v>
      </c>
      <c r="D858" s="7">
        <v>2.6207977E7</v>
      </c>
      <c r="E858" s="8">
        <v>5.7657549400000006E7</v>
      </c>
    </row>
    <row r="859">
      <c r="A859" s="7" t="str">
        <f>IFERROR(__xludf.DUMMYFUNCTION("""COMPUTED_VALUE"""),"Philippines")</f>
        <v>Philippines</v>
      </c>
      <c r="B859" s="7" t="str">
        <f>IFERROR(__xludf.DUMMYFUNCTION("""COMPUTED_VALUE"""),"MacGyver and Sons")</f>
        <v>MacGyver and Sons</v>
      </c>
      <c r="C859" s="8">
        <f>IFERROR(__xludf.DUMMYFUNCTION("""COMPUTED_VALUE"""),2.13)</f>
        <v>2.13</v>
      </c>
      <c r="D859" s="7">
        <v>1.15559009E8</v>
      </c>
      <c r="E859" s="8">
        <v>2.4614068917E8</v>
      </c>
    </row>
    <row r="860">
      <c r="A860" s="7" t="str">
        <f>IFERROR(__xludf.DUMMYFUNCTION("""COMPUTED_VALUE"""),"Philippines")</f>
        <v>Philippines</v>
      </c>
      <c r="B860" s="7" t="str">
        <f>IFERROR(__xludf.DUMMYFUNCTION("""COMPUTED_VALUE"""),"Stanton Inc")</f>
        <v>Stanton Inc</v>
      </c>
      <c r="C860" s="8">
        <f>IFERROR(__xludf.DUMMYFUNCTION("""COMPUTED_VALUE"""),1.36)</f>
        <v>1.36</v>
      </c>
      <c r="D860" s="7">
        <v>1.15559009E8</v>
      </c>
      <c r="E860" s="8">
        <v>1.5716025224E8</v>
      </c>
    </row>
    <row r="861">
      <c r="A861" s="7" t="str">
        <f>IFERROR(__xludf.DUMMYFUNCTION("""COMPUTED_VALUE"""),"Portugal")</f>
        <v>Portugal</v>
      </c>
      <c r="B861" s="7" t="str">
        <f>IFERROR(__xludf.DUMMYFUNCTION("""COMPUTED_VALUE"""),"Farrell Inc")</f>
        <v>Farrell Inc</v>
      </c>
      <c r="C861" s="8">
        <f>IFERROR(__xludf.DUMMYFUNCTION("""COMPUTED_VALUE"""),1.55)</f>
        <v>1.55</v>
      </c>
      <c r="D861" s="7">
        <v>1.0270865E7</v>
      </c>
      <c r="E861" s="8">
        <v>1.591984075E7</v>
      </c>
    </row>
    <row r="862">
      <c r="A862" s="7" t="str">
        <f>IFERROR(__xludf.DUMMYFUNCTION("""COMPUTED_VALUE"""),"Philippines")</f>
        <v>Philippines</v>
      </c>
      <c r="B862" s="7" t="str">
        <f>IFERROR(__xludf.DUMMYFUNCTION("""COMPUTED_VALUE"""),"Maggio, Bartoletti and Cormier")</f>
        <v>Maggio, Bartoletti and Cormier</v>
      </c>
      <c r="C862" s="8">
        <f>IFERROR(__xludf.DUMMYFUNCTION("""COMPUTED_VALUE"""),1.94)</f>
        <v>1.94</v>
      </c>
      <c r="D862" s="7">
        <v>1.15559009E8</v>
      </c>
      <c r="E862" s="8">
        <v>2.2418447746E8</v>
      </c>
    </row>
    <row r="863">
      <c r="A863" s="7" t="str">
        <f>IFERROR(__xludf.DUMMYFUNCTION("""COMPUTED_VALUE"""),"Tanzania")</f>
        <v>Tanzania</v>
      </c>
      <c r="B863" s="7" t="str">
        <f>IFERROR(__xludf.DUMMYFUNCTION("""COMPUTED_VALUE"""),"Rutherford Group")</f>
        <v>Rutherford Group</v>
      </c>
      <c r="C863" s="8">
        <f>IFERROR(__xludf.DUMMYFUNCTION("""COMPUTED_VALUE"""),1.74)</f>
        <v>1.74</v>
      </c>
      <c r="D863" s="7">
        <v>6.5497748E7</v>
      </c>
      <c r="E863" s="8">
        <v>1.1396608152E8</v>
      </c>
    </row>
    <row r="864">
      <c r="A864" s="7" t="str">
        <f>IFERROR(__xludf.DUMMYFUNCTION("""COMPUTED_VALUE"""),"Sweden")</f>
        <v>Sweden</v>
      </c>
      <c r="B864" s="7" t="str">
        <f>IFERROR(__xludf.DUMMYFUNCTION("""COMPUTED_VALUE"""),"Ratke-Fay")</f>
        <v>Ratke-Fay</v>
      </c>
      <c r="C864" s="8">
        <f>IFERROR(__xludf.DUMMYFUNCTION("""COMPUTED_VALUE"""),1.07)</f>
        <v>1.07</v>
      </c>
      <c r="D864" s="7">
        <v>1.0549347E7</v>
      </c>
      <c r="E864" s="8">
        <v>1.1287801290000001E7</v>
      </c>
    </row>
    <row r="865">
      <c r="A865" s="7" t="str">
        <f>IFERROR(__xludf.DUMMYFUNCTION("""COMPUTED_VALUE"""),"Belarus")</f>
        <v>Belarus</v>
      </c>
      <c r="B865" s="7" t="str">
        <f>IFERROR(__xludf.DUMMYFUNCTION("""COMPUTED_VALUE"""),"Kunze-Hermiston")</f>
        <v>Kunze-Hermiston</v>
      </c>
      <c r="C865" s="8">
        <f>IFERROR(__xludf.DUMMYFUNCTION("""COMPUTED_VALUE"""),2.11)</f>
        <v>2.11</v>
      </c>
      <c r="D865" s="7">
        <v>9534954.0</v>
      </c>
      <c r="E865" s="8">
        <v>2.0118752939999998E7</v>
      </c>
    </row>
    <row r="866">
      <c r="A866" s="7" t="str">
        <f>IFERROR(__xludf.DUMMYFUNCTION("""COMPUTED_VALUE"""),"China")</f>
        <v>China</v>
      </c>
      <c r="B866" s="7" t="str">
        <f>IFERROR(__xludf.DUMMYFUNCTION("""COMPUTED_VALUE"""),"Rippin LLC")</f>
        <v>Rippin LLC</v>
      </c>
      <c r="C866" s="8">
        <f>IFERROR(__xludf.DUMMYFUNCTION("""COMPUTED_VALUE"""),1.23)</f>
        <v>1.23</v>
      </c>
      <c r="D866" s="7">
        <v>1.425887337E9</v>
      </c>
      <c r="E866" s="8">
        <v>1.75384142451E9</v>
      </c>
    </row>
    <row r="867">
      <c r="A867" s="7" t="str">
        <f>IFERROR(__xludf.DUMMYFUNCTION("""COMPUTED_VALUE"""),"Tanzania")</f>
        <v>Tanzania</v>
      </c>
      <c r="B867" s="7" t="str">
        <f>IFERROR(__xludf.DUMMYFUNCTION("""COMPUTED_VALUE"""),"Marvin-Pfeffer")</f>
        <v>Marvin-Pfeffer</v>
      </c>
      <c r="C867" s="8">
        <f>IFERROR(__xludf.DUMMYFUNCTION("""COMPUTED_VALUE"""),0.88)</f>
        <v>0.88</v>
      </c>
      <c r="D867" s="7">
        <v>6.5497748E7</v>
      </c>
      <c r="E867" s="8">
        <v>5.763801824E7</v>
      </c>
    </row>
    <row r="868">
      <c r="A868" s="7" t="str">
        <f>IFERROR(__xludf.DUMMYFUNCTION("""COMPUTED_VALUE"""),"China")</f>
        <v>China</v>
      </c>
      <c r="B868" s="7" t="str">
        <f>IFERROR(__xludf.DUMMYFUNCTION("""COMPUTED_VALUE"""),"Marquardt Inc")</f>
        <v>Marquardt Inc</v>
      </c>
      <c r="C868" s="8">
        <f>IFERROR(__xludf.DUMMYFUNCTION("""COMPUTED_VALUE"""),1.23)</f>
        <v>1.23</v>
      </c>
      <c r="D868" s="7">
        <v>1.425887337E9</v>
      </c>
      <c r="E868" s="8">
        <v>1.75384142451E9</v>
      </c>
    </row>
    <row r="869">
      <c r="A869" s="7" t="str">
        <f>IFERROR(__xludf.DUMMYFUNCTION("""COMPUTED_VALUE"""),"Indonesia")</f>
        <v>Indonesia</v>
      </c>
      <c r="B869" s="7" t="str">
        <f>IFERROR(__xludf.DUMMYFUNCTION("""COMPUTED_VALUE"""),"Kuhic, Hodkiewicz and McLaughlin")</f>
        <v>Kuhic, Hodkiewicz and McLaughlin</v>
      </c>
      <c r="C869" s="8">
        <f>IFERROR(__xludf.DUMMYFUNCTION("""COMPUTED_VALUE"""),1.42)</f>
        <v>1.42</v>
      </c>
      <c r="D869" s="7">
        <v>2.75501339E8</v>
      </c>
      <c r="E869" s="8">
        <v>3.9121190138E8</v>
      </c>
    </row>
    <row r="870">
      <c r="A870" s="7" t="str">
        <f>IFERROR(__xludf.DUMMYFUNCTION("""COMPUTED_VALUE"""),"Poland")</f>
        <v>Poland</v>
      </c>
      <c r="B870" s="7" t="str">
        <f>IFERROR(__xludf.DUMMYFUNCTION("""COMPUTED_VALUE"""),"Padberg Inc")</f>
        <v>Padberg Inc</v>
      </c>
      <c r="C870" s="8">
        <f>IFERROR(__xludf.DUMMYFUNCTION("""COMPUTED_VALUE"""),1.24)</f>
        <v>1.24</v>
      </c>
      <c r="D870" s="7">
        <v>3.9857145E7</v>
      </c>
      <c r="E870" s="8">
        <v>4.94228598E7</v>
      </c>
    </row>
    <row r="871">
      <c r="A871" s="7" t="str">
        <f>IFERROR(__xludf.DUMMYFUNCTION("""COMPUTED_VALUE"""),"Brazil")</f>
        <v>Brazil</v>
      </c>
      <c r="B871" s="7" t="str">
        <f>IFERROR(__xludf.DUMMYFUNCTION("""COMPUTED_VALUE"""),"O'Kon-Brown")</f>
        <v>O'Kon-Brown</v>
      </c>
      <c r="C871" s="8">
        <f>IFERROR(__xludf.DUMMYFUNCTION("""COMPUTED_VALUE"""),1.61)</f>
        <v>1.61</v>
      </c>
      <c r="D871" s="7">
        <v>2.15313498E8</v>
      </c>
      <c r="E871" s="8">
        <v>3.4665473178000003E8</v>
      </c>
    </row>
    <row r="872">
      <c r="A872" s="7" t="str">
        <f>IFERROR(__xludf.DUMMYFUNCTION("""COMPUTED_VALUE"""),"Indonesia")</f>
        <v>Indonesia</v>
      </c>
      <c r="B872" s="7" t="str">
        <f>IFERROR(__xludf.DUMMYFUNCTION("""COMPUTED_VALUE"""),"Glover, Davis and Stehr")</f>
        <v>Glover, Davis and Stehr</v>
      </c>
      <c r="C872" s="8">
        <f>IFERROR(__xludf.DUMMYFUNCTION("""COMPUTED_VALUE"""),2.0)</f>
        <v>2</v>
      </c>
      <c r="D872" s="7">
        <v>2.75501339E8</v>
      </c>
      <c r="E872" s="8">
        <v>5.51002678E8</v>
      </c>
    </row>
    <row r="873">
      <c r="A873" s="7" t="str">
        <f>IFERROR(__xludf.DUMMYFUNCTION("""COMPUTED_VALUE"""),"Sweden")</f>
        <v>Sweden</v>
      </c>
      <c r="B873" s="7" t="str">
        <f>IFERROR(__xludf.DUMMYFUNCTION("""COMPUTED_VALUE"""),"Altenwerth Group")</f>
        <v>Altenwerth Group</v>
      </c>
      <c r="C873" s="8">
        <f>IFERROR(__xludf.DUMMYFUNCTION("""COMPUTED_VALUE"""),1.49)</f>
        <v>1.49</v>
      </c>
      <c r="D873" s="7">
        <v>1.0549347E7</v>
      </c>
      <c r="E873" s="8">
        <v>1.571852703E7</v>
      </c>
    </row>
    <row r="874">
      <c r="A874" s="7" t="str">
        <f>IFERROR(__xludf.DUMMYFUNCTION("""COMPUTED_VALUE"""),"Indonesia")</f>
        <v>Indonesia</v>
      </c>
      <c r="B874" s="7" t="str">
        <f>IFERROR(__xludf.DUMMYFUNCTION("""COMPUTED_VALUE"""),"Schuppe, Corkery and Cronin")</f>
        <v>Schuppe, Corkery and Cronin</v>
      </c>
      <c r="C874" s="8">
        <f>IFERROR(__xludf.DUMMYFUNCTION("""COMPUTED_VALUE"""),1.1)</f>
        <v>1.1</v>
      </c>
      <c r="D874" s="7">
        <v>2.75501339E8</v>
      </c>
      <c r="E874" s="8">
        <v>3.0305147290000004E8</v>
      </c>
    </row>
    <row r="875">
      <c r="A875" s="7" t="str">
        <f>IFERROR(__xludf.DUMMYFUNCTION("""COMPUTED_VALUE"""),"Pakistan")</f>
        <v>Pakistan</v>
      </c>
      <c r="B875" s="7" t="str">
        <f>IFERROR(__xludf.DUMMYFUNCTION("""COMPUTED_VALUE"""),"Bednar Group")</f>
        <v>Bednar Group</v>
      </c>
      <c r="C875" s="8">
        <f>IFERROR(__xludf.DUMMYFUNCTION("""COMPUTED_VALUE"""),1.97)</f>
        <v>1.97</v>
      </c>
      <c r="D875" s="7">
        <v>2.35824862E8</v>
      </c>
      <c r="E875" s="8">
        <v>4.6457497814E8</v>
      </c>
    </row>
    <row r="876">
      <c r="A876" s="7" t="str">
        <f>IFERROR(__xludf.DUMMYFUNCTION("""COMPUTED_VALUE"""),"Cuba")</f>
        <v>Cuba</v>
      </c>
      <c r="B876" s="7" t="str">
        <f>IFERROR(__xludf.DUMMYFUNCTION("""COMPUTED_VALUE"""),"Kohler-Rippin")</f>
        <v>Kohler-Rippin</v>
      </c>
      <c r="C876" s="8">
        <f>IFERROR(__xludf.DUMMYFUNCTION("""COMPUTED_VALUE"""),1.88)</f>
        <v>1.88</v>
      </c>
      <c r="D876" s="7">
        <v>1.1212191E7</v>
      </c>
      <c r="E876" s="8">
        <v>2.107891908E7</v>
      </c>
    </row>
    <row r="877">
      <c r="A877" s="7" t="str">
        <f>IFERROR(__xludf.DUMMYFUNCTION("""COMPUTED_VALUE"""),"Indonesia")</f>
        <v>Indonesia</v>
      </c>
      <c r="B877" s="7" t="str">
        <f>IFERROR(__xludf.DUMMYFUNCTION("""COMPUTED_VALUE"""),"Thompson Inc")</f>
        <v>Thompson Inc</v>
      </c>
      <c r="C877" s="8">
        <f>IFERROR(__xludf.DUMMYFUNCTION("""COMPUTED_VALUE"""),1.87)</f>
        <v>1.87</v>
      </c>
      <c r="D877" s="7">
        <v>2.75501339E8</v>
      </c>
      <c r="E877" s="8">
        <v>5.1518750393E8</v>
      </c>
    </row>
    <row r="878">
      <c r="A878" s="7" t="str">
        <f>IFERROR(__xludf.DUMMYFUNCTION("""COMPUTED_VALUE"""),"Norway")</f>
        <v>Norway</v>
      </c>
      <c r="B878" s="7" t="str">
        <f>IFERROR(__xludf.DUMMYFUNCTION("""COMPUTED_VALUE"""),"Sporer Inc")</f>
        <v>Sporer Inc</v>
      </c>
      <c r="C878" s="8">
        <f>IFERROR(__xludf.DUMMYFUNCTION("""COMPUTED_VALUE"""),1.3)</f>
        <v>1.3</v>
      </c>
      <c r="D878" s="7">
        <v>5434319.0</v>
      </c>
      <c r="E878" s="8">
        <v>7064614.7</v>
      </c>
    </row>
    <row r="879">
      <c r="A879" s="7" t="str">
        <f>IFERROR(__xludf.DUMMYFUNCTION("""COMPUTED_VALUE"""),"Portugal")</f>
        <v>Portugal</v>
      </c>
      <c r="B879" s="7" t="str">
        <f>IFERROR(__xludf.DUMMYFUNCTION("""COMPUTED_VALUE"""),"Muller-McLaughlin")</f>
        <v>Muller-McLaughlin</v>
      </c>
      <c r="C879" s="8">
        <f>IFERROR(__xludf.DUMMYFUNCTION("""COMPUTED_VALUE"""),1.75)</f>
        <v>1.75</v>
      </c>
      <c r="D879" s="7">
        <v>1.0270865E7</v>
      </c>
      <c r="E879" s="8">
        <v>1.797401375E7</v>
      </c>
    </row>
    <row r="880">
      <c r="A880" s="7" t="str">
        <f>IFERROR(__xludf.DUMMYFUNCTION("""COMPUTED_VALUE"""),"Russia")</f>
        <v>Russia</v>
      </c>
      <c r="B880" s="7" t="str">
        <f>IFERROR(__xludf.DUMMYFUNCTION("""COMPUTED_VALUE"""),"Kozey-Prosacco")</f>
        <v>Kozey-Prosacco</v>
      </c>
      <c r="C880" s="8">
        <f>IFERROR(__xludf.DUMMYFUNCTION("""COMPUTED_VALUE"""),1.04)</f>
        <v>1.04</v>
      </c>
      <c r="D880" s="7">
        <v>1.44713314E8</v>
      </c>
      <c r="E880" s="8">
        <v>1.5050184656E8</v>
      </c>
    </row>
    <row r="881">
      <c r="A881" s="7" t="str">
        <f>IFERROR(__xludf.DUMMYFUNCTION("""COMPUTED_VALUE"""),"Brazil")</f>
        <v>Brazil</v>
      </c>
      <c r="B881" s="7" t="str">
        <f>IFERROR(__xludf.DUMMYFUNCTION("""COMPUTED_VALUE"""),"Goldner-Stark")</f>
        <v>Goldner-Stark</v>
      </c>
      <c r="C881" s="8">
        <f>IFERROR(__xludf.DUMMYFUNCTION("""COMPUTED_VALUE"""),1.77)</f>
        <v>1.77</v>
      </c>
      <c r="D881" s="7">
        <v>2.15313498E8</v>
      </c>
      <c r="E881" s="8">
        <v>3.8110489146E8</v>
      </c>
    </row>
    <row r="882">
      <c r="A882" s="7" t="str">
        <f>IFERROR(__xludf.DUMMYFUNCTION("""COMPUTED_VALUE"""),"Indonesia")</f>
        <v>Indonesia</v>
      </c>
      <c r="B882" s="7" t="str">
        <f>IFERROR(__xludf.DUMMYFUNCTION("""COMPUTED_VALUE"""),"Bernhard, Bahringer and Medhurst")</f>
        <v>Bernhard, Bahringer and Medhurst</v>
      </c>
      <c r="C882" s="8">
        <f>IFERROR(__xludf.DUMMYFUNCTION("""COMPUTED_VALUE"""),2.21)</f>
        <v>2.21</v>
      </c>
      <c r="D882" s="7">
        <v>2.75501339E8</v>
      </c>
      <c r="E882" s="8">
        <v>6.088579591899999E8</v>
      </c>
    </row>
    <row r="883">
      <c r="A883" s="7" t="str">
        <f>IFERROR(__xludf.DUMMYFUNCTION("""COMPUTED_VALUE"""),"Indonesia")</f>
        <v>Indonesia</v>
      </c>
      <c r="B883" s="7" t="str">
        <f>IFERROR(__xludf.DUMMYFUNCTION("""COMPUTED_VALUE"""),"Toy-Corkery")</f>
        <v>Toy-Corkery</v>
      </c>
      <c r="C883" s="8">
        <f>IFERROR(__xludf.DUMMYFUNCTION("""COMPUTED_VALUE"""),1.47)</f>
        <v>1.47</v>
      </c>
      <c r="D883" s="7">
        <v>2.75501339E8</v>
      </c>
      <c r="E883" s="8">
        <v>4.0498696833E8</v>
      </c>
    </row>
    <row r="884">
      <c r="A884" s="7" t="str">
        <f>IFERROR(__xludf.DUMMYFUNCTION("""COMPUTED_VALUE"""),"Denmark")</f>
        <v>Denmark</v>
      </c>
      <c r="B884" s="7" t="str">
        <f>IFERROR(__xludf.DUMMYFUNCTION("""COMPUTED_VALUE"""),"Will Group")</f>
        <v>Will Group</v>
      </c>
      <c r="C884" s="8">
        <f>IFERROR(__xludf.DUMMYFUNCTION("""COMPUTED_VALUE"""),1.72)</f>
        <v>1.72</v>
      </c>
      <c r="D884" s="7">
        <v>5882261.0</v>
      </c>
      <c r="E884" s="8">
        <v>1.011748892E7</v>
      </c>
    </row>
    <row r="885">
      <c r="A885" s="7" t="str">
        <f>IFERROR(__xludf.DUMMYFUNCTION("""COMPUTED_VALUE"""),"Albania")</f>
        <v>Albania</v>
      </c>
      <c r="B885" s="7" t="str">
        <f>IFERROR(__xludf.DUMMYFUNCTION("""COMPUTED_VALUE"""),"Muller-Spencer")</f>
        <v>Muller-Spencer</v>
      </c>
      <c r="C885" s="8">
        <f>IFERROR(__xludf.DUMMYFUNCTION("""COMPUTED_VALUE"""),1.0)</f>
        <v>1</v>
      </c>
      <c r="D885" s="7">
        <v>2842321.0</v>
      </c>
      <c r="E885" s="8">
        <v>2842321.0</v>
      </c>
    </row>
    <row r="886">
      <c r="A886" s="7" t="str">
        <f>IFERROR(__xludf.DUMMYFUNCTION("""COMPUTED_VALUE"""),"Indonesia")</f>
        <v>Indonesia</v>
      </c>
      <c r="B886" s="7" t="str">
        <f>IFERROR(__xludf.DUMMYFUNCTION("""COMPUTED_VALUE"""),"Maggio and Sons")</f>
        <v>Maggio and Sons</v>
      </c>
      <c r="C886" s="8">
        <f>IFERROR(__xludf.DUMMYFUNCTION("""COMPUTED_VALUE"""),0.91)</f>
        <v>0.91</v>
      </c>
      <c r="D886" s="7">
        <v>2.75501339E8</v>
      </c>
      <c r="E886" s="8">
        <v>2.5070621849E8</v>
      </c>
    </row>
    <row r="887">
      <c r="A887" s="7" t="str">
        <f>IFERROR(__xludf.DUMMYFUNCTION("""COMPUTED_VALUE"""),"China")</f>
        <v>China</v>
      </c>
      <c r="B887" s="7" t="str">
        <f>IFERROR(__xludf.DUMMYFUNCTION("""COMPUTED_VALUE"""),"Franecki, Cruickshank and Bauch")</f>
        <v>Franecki, Cruickshank and Bauch</v>
      </c>
      <c r="C887" s="8">
        <f>IFERROR(__xludf.DUMMYFUNCTION("""COMPUTED_VALUE"""),1.25)</f>
        <v>1.25</v>
      </c>
      <c r="D887" s="7">
        <v>1.425887337E9</v>
      </c>
      <c r="E887" s="8">
        <v>1.78235917125E9</v>
      </c>
    </row>
    <row r="888">
      <c r="A888" s="7" t="str">
        <f>IFERROR(__xludf.DUMMYFUNCTION("""COMPUTED_VALUE"""),"Portugal")</f>
        <v>Portugal</v>
      </c>
      <c r="B888" s="7" t="str">
        <f>IFERROR(__xludf.DUMMYFUNCTION("""COMPUTED_VALUE"""),"Will, Leffler and Rosenbaum")</f>
        <v>Will, Leffler and Rosenbaum</v>
      </c>
      <c r="C888" s="8">
        <f>IFERROR(__xludf.DUMMYFUNCTION("""COMPUTED_VALUE"""),2.14)</f>
        <v>2.14</v>
      </c>
      <c r="D888" s="7">
        <v>1.0270865E7</v>
      </c>
      <c r="E888" s="8">
        <v>2.19796511E7</v>
      </c>
    </row>
    <row r="889">
      <c r="A889" s="7" t="str">
        <f>IFERROR(__xludf.DUMMYFUNCTION("""COMPUTED_VALUE"""),"Indonesia")</f>
        <v>Indonesia</v>
      </c>
      <c r="B889" s="7" t="str">
        <f>IFERROR(__xludf.DUMMYFUNCTION("""COMPUTED_VALUE"""),"Ankunding, Cremin and Nader")</f>
        <v>Ankunding, Cremin and Nader</v>
      </c>
      <c r="C889" s="8">
        <f>IFERROR(__xludf.DUMMYFUNCTION("""COMPUTED_VALUE"""),0.89)</f>
        <v>0.89</v>
      </c>
      <c r="D889" s="7">
        <v>2.75501339E8</v>
      </c>
      <c r="E889" s="8">
        <v>2.4519619171E8</v>
      </c>
    </row>
    <row r="890">
      <c r="A890" s="7" t="str">
        <f>IFERROR(__xludf.DUMMYFUNCTION("""COMPUTED_VALUE"""),"Philippines")</f>
        <v>Philippines</v>
      </c>
      <c r="B890" s="7" t="str">
        <f>IFERROR(__xludf.DUMMYFUNCTION("""COMPUTED_VALUE"""),"Orn, Rippin and Kerluke")</f>
        <v>Orn, Rippin and Kerluke</v>
      </c>
      <c r="C890" s="8">
        <f>IFERROR(__xludf.DUMMYFUNCTION("""COMPUTED_VALUE"""),1.67)</f>
        <v>1.67</v>
      </c>
      <c r="D890" s="7">
        <v>1.15559009E8</v>
      </c>
      <c r="E890" s="8">
        <v>1.9298354503E8</v>
      </c>
    </row>
    <row r="891">
      <c r="A891" s="7" t="str">
        <f>IFERROR(__xludf.DUMMYFUNCTION("""COMPUTED_VALUE"""),"Ukraine")</f>
        <v>Ukraine</v>
      </c>
      <c r="B891" s="7" t="str">
        <f>IFERROR(__xludf.DUMMYFUNCTION("""COMPUTED_VALUE"""),"Stamm-Barrows")</f>
        <v>Stamm-Barrows</v>
      </c>
      <c r="C891" s="8">
        <f>IFERROR(__xludf.DUMMYFUNCTION("""COMPUTED_VALUE"""),2.0)</f>
        <v>2</v>
      </c>
      <c r="D891" s="7">
        <v>3.9701739E7</v>
      </c>
      <c r="E891" s="8">
        <v>7.9403478E7</v>
      </c>
    </row>
    <row r="892">
      <c r="A892" s="7" t="str">
        <f>IFERROR(__xludf.DUMMYFUNCTION("""COMPUTED_VALUE"""),"Philippines")</f>
        <v>Philippines</v>
      </c>
      <c r="B892" s="7" t="str">
        <f>IFERROR(__xludf.DUMMYFUNCTION("""COMPUTED_VALUE"""),"Cormier and Sons")</f>
        <v>Cormier and Sons</v>
      </c>
      <c r="C892" s="8">
        <f>IFERROR(__xludf.DUMMYFUNCTION("""COMPUTED_VALUE"""),2.06)</f>
        <v>2.06</v>
      </c>
      <c r="D892" s="7">
        <v>1.15559009E8</v>
      </c>
      <c r="E892" s="8">
        <v>2.3805155854E8</v>
      </c>
    </row>
    <row r="893">
      <c r="A893" s="7" t="str">
        <f>IFERROR(__xludf.DUMMYFUNCTION("""COMPUTED_VALUE"""),"China")</f>
        <v>China</v>
      </c>
      <c r="B893" s="7" t="str">
        <f>IFERROR(__xludf.DUMMYFUNCTION("""COMPUTED_VALUE"""),"Wyman, McDermott and VonRueden")</f>
        <v>Wyman, McDermott and VonRueden</v>
      </c>
      <c r="C893" s="8">
        <f>IFERROR(__xludf.DUMMYFUNCTION("""COMPUTED_VALUE"""),1.07)</f>
        <v>1.07</v>
      </c>
      <c r="D893" s="7">
        <v>1.425887337E9</v>
      </c>
      <c r="E893" s="8">
        <v>1.5256994505900002E9</v>
      </c>
    </row>
    <row r="894">
      <c r="A894" s="7" t="str">
        <f>IFERROR(__xludf.DUMMYFUNCTION("""COMPUTED_VALUE"""),"Indonesia")</f>
        <v>Indonesia</v>
      </c>
      <c r="B894" s="7" t="str">
        <f>IFERROR(__xludf.DUMMYFUNCTION("""COMPUTED_VALUE"""),"Gusikowski-Batz")</f>
        <v>Gusikowski-Batz</v>
      </c>
      <c r="C894" s="8">
        <f>IFERROR(__xludf.DUMMYFUNCTION("""COMPUTED_VALUE"""),1.9)</f>
        <v>1.9</v>
      </c>
      <c r="D894" s="7">
        <v>2.75501339E8</v>
      </c>
      <c r="E894" s="8">
        <v>5.2345254409999996E8</v>
      </c>
    </row>
    <row r="895">
      <c r="A895" s="7" t="str">
        <f>IFERROR(__xludf.DUMMYFUNCTION("""COMPUTED_VALUE"""),"Mexico")</f>
        <v>Mexico</v>
      </c>
      <c r="B895" s="7" t="str">
        <f>IFERROR(__xludf.DUMMYFUNCTION("""COMPUTED_VALUE"""),"McClure, Parisian and Haag")</f>
        <v>McClure, Parisian and Haag</v>
      </c>
      <c r="C895" s="8">
        <f>IFERROR(__xludf.DUMMYFUNCTION("""COMPUTED_VALUE"""),1.36)</f>
        <v>1.36</v>
      </c>
      <c r="D895" s="7">
        <v>1.27504125E8</v>
      </c>
      <c r="E895" s="8">
        <v>1.7340561E8</v>
      </c>
    </row>
    <row r="896">
      <c r="A896" s="7" t="str">
        <f>IFERROR(__xludf.DUMMYFUNCTION("""COMPUTED_VALUE"""),"Gambia")</f>
        <v>Gambia</v>
      </c>
      <c r="B896" s="7" t="str">
        <f>IFERROR(__xludf.DUMMYFUNCTION("""COMPUTED_VALUE"""),"Block, Carroll and D'Amore")</f>
        <v>Block, Carroll and D'Amore</v>
      </c>
      <c r="C896" s="8">
        <f>IFERROR(__xludf.DUMMYFUNCTION("""COMPUTED_VALUE"""),1.94)</f>
        <v>1.94</v>
      </c>
      <c r="D896" s="7">
        <v>2705992.0</v>
      </c>
      <c r="E896" s="8">
        <v>5249624.4799999995</v>
      </c>
    </row>
    <row r="897">
      <c r="A897" s="7" t="str">
        <f>IFERROR(__xludf.DUMMYFUNCTION("""COMPUTED_VALUE"""),"Indonesia")</f>
        <v>Indonesia</v>
      </c>
      <c r="B897" s="7" t="str">
        <f>IFERROR(__xludf.DUMMYFUNCTION("""COMPUTED_VALUE"""),"Hintz, Durgan and Bechtelar")</f>
        <v>Hintz, Durgan and Bechtelar</v>
      </c>
      <c r="C897" s="8">
        <f>IFERROR(__xludf.DUMMYFUNCTION("""COMPUTED_VALUE"""),1.71)</f>
        <v>1.71</v>
      </c>
      <c r="D897" s="7">
        <v>2.75501339E8</v>
      </c>
      <c r="E897" s="8">
        <v>4.7110728969E8</v>
      </c>
    </row>
    <row r="898">
      <c r="A898" s="7" t="str">
        <f>IFERROR(__xludf.DUMMYFUNCTION("""COMPUTED_VALUE"""),"China")</f>
        <v>China</v>
      </c>
      <c r="B898" s="7" t="str">
        <f>IFERROR(__xludf.DUMMYFUNCTION("""COMPUTED_VALUE"""),"Abbott, Rippin and Koch")</f>
        <v>Abbott, Rippin and Koch</v>
      </c>
      <c r="C898" s="8">
        <f>IFERROR(__xludf.DUMMYFUNCTION("""COMPUTED_VALUE"""),1.63)</f>
        <v>1.63</v>
      </c>
      <c r="D898" s="7">
        <v>1.425887337E9</v>
      </c>
      <c r="E898" s="8">
        <v>2.32419635931E9</v>
      </c>
    </row>
    <row r="899">
      <c r="A899" s="7" t="str">
        <f>IFERROR(__xludf.DUMMYFUNCTION("""COMPUTED_VALUE"""),"Albania")</f>
        <v>Albania</v>
      </c>
      <c r="B899" s="7" t="str">
        <f>IFERROR(__xludf.DUMMYFUNCTION("""COMPUTED_VALUE"""),"Leffler-Bartell")</f>
        <v>Leffler-Bartell</v>
      </c>
      <c r="C899" s="8">
        <f>IFERROR(__xludf.DUMMYFUNCTION("""COMPUTED_VALUE"""),1.94)</f>
        <v>1.94</v>
      </c>
      <c r="D899" s="7">
        <v>2842321.0</v>
      </c>
      <c r="E899" s="8">
        <v>5514102.74</v>
      </c>
    </row>
    <row r="900">
      <c r="A900" s="7" t="str">
        <f>IFERROR(__xludf.DUMMYFUNCTION("""COMPUTED_VALUE"""),"China")</f>
        <v>China</v>
      </c>
      <c r="B900" s="7" t="str">
        <f>IFERROR(__xludf.DUMMYFUNCTION("""COMPUTED_VALUE"""),"Bogan-Marks")</f>
        <v>Bogan-Marks</v>
      </c>
      <c r="C900" s="8">
        <f>IFERROR(__xludf.DUMMYFUNCTION("""COMPUTED_VALUE"""),1.35)</f>
        <v>1.35</v>
      </c>
      <c r="D900" s="7">
        <v>1.425887337E9</v>
      </c>
      <c r="E900" s="8">
        <v>1.92494790495E9</v>
      </c>
    </row>
    <row r="901">
      <c r="A901" s="7" t="str">
        <f>IFERROR(__xludf.DUMMYFUNCTION("""COMPUTED_VALUE"""),"Lithuania")</f>
        <v>Lithuania</v>
      </c>
      <c r="B901" s="7" t="str">
        <f>IFERROR(__xludf.DUMMYFUNCTION("""COMPUTED_VALUE"""),"Kuhic, Mills and Kshlerin")</f>
        <v>Kuhic, Mills and Kshlerin</v>
      </c>
      <c r="C901" s="8">
        <f>IFERROR(__xludf.DUMMYFUNCTION("""COMPUTED_VALUE"""),1.96)</f>
        <v>1.96</v>
      </c>
      <c r="D901" s="7">
        <v>2750055.0</v>
      </c>
      <c r="E901" s="8">
        <v>5390107.8</v>
      </c>
    </row>
    <row r="902">
      <c r="A902" s="7" t="str">
        <f>IFERROR(__xludf.DUMMYFUNCTION("""COMPUTED_VALUE"""),"Indonesia")</f>
        <v>Indonesia</v>
      </c>
      <c r="B902" s="7" t="str">
        <f>IFERROR(__xludf.DUMMYFUNCTION("""COMPUTED_VALUE"""),"Larson, Rowe and Sporer")</f>
        <v>Larson, Rowe and Sporer</v>
      </c>
      <c r="C902" s="8">
        <f>IFERROR(__xludf.DUMMYFUNCTION("""COMPUTED_VALUE"""),1.6)</f>
        <v>1.6</v>
      </c>
      <c r="D902" s="7">
        <v>2.75501339E8</v>
      </c>
      <c r="E902" s="8">
        <v>4.4080214240000004E8</v>
      </c>
    </row>
    <row r="903">
      <c r="A903" s="7" t="str">
        <f>IFERROR(__xludf.DUMMYFUNCTION("""COMPUTED_VALUE"""),"Indonesia")</f>
        <v>Indonesia</v>
      </c>
      <c r="B903" s="7" t="str">
        <f>IFERROR(__xludf.DUMMYFUNCTION("""COMPUTED_VALUE"""),"Hackett-Gleason")</f>
        <v>Hackett-Gleason</v>
      </c>
      <c r="C903" s="8">
        <f>IFERROR(__xludf.DUMMYFUNCTION("""COMPUTED_VALUE"""),0.86)</f>
        <v>0.86</v>
      </c>
      <c r="D903" s="7">
        <v>2.75501339E8</v>
      </c>
      <c r="E903" s="8">
        <v>2.3693115154E8</v>
      </c>
    </row>
    <row r="904">
      <c r="A904" s="7" t="str">
        <f>IFERROR(__xludf.DUMMYFUNCTION("""COMPUTED_VALUE"""),"Australia")</f>
        <v>Australia</v>
      </c>
      <c r="B904" s="7" t="str">
        <f>IFERROR(__xludf.DUMMYFUNCTION("""COMPUTED_VALUE"""),"Becker-Hauck")</f>
        <v>Becker-Hauck</v>
      </c>
      <c r="C904" s="8">
        <f>IFERROR(__xludf.DUMMYFUNCTION("""COMPUTED_VALUE"""),1.91)</f>
        <v>1.91</v>
      </c>
      <c r="D904" s="7">
        <v>2.6177413E7</v>
      </c>
      <c r="E904" s="8">
        <v>4.999885883E7</v>
      </c>
    </row>
    <row r="905">
      <c r="A905" s="7" t="str">
        <f>IFERROR(__xludf.DUMMYFUNCTION("""COMPUTED_VALUE"""),"Yemen")</f>
        <v>Yemen</v>
      </c>
      <c r="B905" s="7" t="str">
        <f>IFERROR(__xludf.DUMMYFUNCTION("""COMPUTED_VALUE"""),"Jones-Weissnat")</f>
        <v>Jones-Weissnat</v>
      </c>
      <c r="C905" s="8">
        <f>IFERROR(__xludf.DUMMYFUNCTION("""COMPUTED_VALUE"""),2.02)</f>
        <v>2.02</v>
      </c>
      <c r="D905" s="7">
        <v>3.3696614E7</v>
      </c>
      <c r="E905" s="8">
        <v>6.806716028E7</v>
      </c>
    </row>
    <row r="906">
      <c r="A906" s="7" t="str">
        <f>IFERROR(__xludf.DUMMYFUNCTION("""COMPUTED_VALUE"""),"China")</f>
        <v>China</v>
      </c>
      <c r="B906" s="7" t="str">
        <f>IFERROR(__xludf.DUMMYFUNCTION("""COMPUTED_VALUE"""),"Hilpert-Brakus")</f>
        <v>Hilpert-Brakus</v>
      </c>
      <c r="C906" s="8">
        <f>IFERROR(__xludf.DUMMYFUNCTION("""COMPUTED_VALUE"""),1.77)</f>
        <v>1.77</v>
      </c>
      <c r="D906" s="7">
        <v>1.425887337E9</v>
      </c>
      <c r="E906" s="8">
        <v>2.5238205864900002E9</v>
      </c>
    </row>
    <row r="907">
      <c r="A907" s="7" t="str">
        <f>IFERROR(__xludf.DUMMYFUNCTION("""COMPUTED_VALUE"""),"Ukraine")</f>
        <v>Ukraine</v>
      </c>
      <c r="B907" s="7" t="str">
        <f>IFERROR(__xludf.DUMMYFUNCTION("""COMPUTED_VALUE"""),"Hoeger, Predovic and Hamill")</f>
        <v>Hoeger, Predovic and Hamill</v>
      </c>
      <c r="C907" s="8">
        <f>IFERROR(__xludf.DUMMYFUNCTION("""COMPUTED_VALUE"""),1.91)</f>
        <v>1.91</v>
      </c>
      <c r="D907" s="7">
        <v>3.9701739E7</v>
      </c>
      <c r="E907" s="8">
        <v>7.583032149E7</v>
      </c>
    </row>
    <row r="908">
      <c r="A908" s="7" t="str">
        <f>IFERROR(__xludf.DUMMYFUNCTION("""COMPUTED_VALUE"""),"Thailand")</f>
        <v>Thailand</v>
      </c>
      <c r="B908" s="7" t="str">
        <f>IFERROR(__xludf.DUMMYFUNCTION("""COMPUTED_VALUE"""),"Roob and Sons")</f>
        <v>Roob and Sons</v>
      </c>
      <c r="C908" s="8">
        <f>IFERROR(__xludf.DUMMYFUNCTION("""COMPUTED_VALUE"""),1.79)</f>
        <v>1.79</v>
      </c>
      <c r="D908" s="7">
        <v>7.169703E7</v>
      </c>
      <c r="E908" s="8">
        <v>1.283376837E8</v>
      </c>
    </row>
    <row r="909">
      <c r="A909" s="7" t="str">
        <f>IFERROR(__xludf.DUMMYFUNCTION("""COMPUTED_VALUE"""),"Czech Republic")</f>
        <v>Czech Republic</v>
      </c>
      <c r="B909" s="7" t="str">
        <f>IFERROR(__xludf.DUMMYFUNCTION("""COMPUTED_VALUE"""),"O'Reilly Inc")</f>
        <v>O'Reilly Inc</v>
      </c>
      <c r="C909" s="8">
        <f>IFERROR(__xludf.DUMMYFUNCTION("""COMPUTED_VALUE"""),1.73)</f>
        <v>1.73</v>
      </c>
      <c r="D909" s="7">
        <v>1.0493986E7</v>
      </c>
      <c r="E909" s="8">
        <v>1.815459578E7</v>
      </c>
    </row>
    <row r="910">
      <c r="A910" s="7" t="str">
        <f>IFERROR(__xludf.DUMMYFUNCTION("""COMPUTED_VALUE"""),"Thailand")</f>
        <v>Thailand</v>
      </c>
      <c r="B910" s="7" t="str">
        <f>IFERROR(__xludf.DUMMYFUNCTION("""COMPUTED_VALUE"""),"Sporer-Herman")</f>
        <v>Sporer-Herman</v>
      </c>
      <c r="C910" s="8">
        <f>IFERROR(__xludf.DUMMYFUNCTION("""COMPUTED_VALUE"""),1.44)</f>
        <v>1.44</v>
      </c>
      <c r="D910" s="7">
        <v>7.169703E7</v>
      </c>
      <c r="E910" s="8">
        <v>1.032437232E8</v>
      </c>
    </row>
    <row r="911">
      <c r="A911" s="7" t="str">
        <f>IFERROR(__xludf.DUMMYFUNCTION("""COMPUTED_VALUE"""),"China")</f>
        <v>China</v>
      </c>
      <c r="B911" s="7" t="str">
        <f>IFERROR(__xludf.DUMMYFUNCTION("""COMPUTED_VALUE"""),"Cole LLC")</f>
        <v>Cole LLC</v>
      </c>
      <c r="C911" s="8">
        <f>IFERROR(__xludf.DUMMYFUNCTION("""COMPUTED_VALUE"""),1.2)</f>
        <v>1.2</v>
      </c>
      <c r="D911" s="7">
        <v>1.425887337E9</v>
      </c>
      <c r="E911" s="8">
        <v>1.7110648043999999E9</v>
      </c>
    </row>
    <row r="912">
      <c r="A912" s="7" t="str">
        <f>IFERROR(__xludf.DUMMYFUNCTION("""COMPUTED_VALUE"""),"Burkina Faso")</f>
        <v>Burkina Faso</v>
      </c>
      <c r="B912" s="7" t="str">
        <f>IFERROR(__xludf.DUMMYFUNCTION("""COMPUTED_VALUE"""),"Swaniawski, Hammes and Sanford")</f>
        <v>Swaniawski, Hammes and Sanford</v>
      </c>
      <c r="C912" s="8">
        <f>IFERROR(__xludf.DUMMYFUNCTION("""COMPUTED_VALUE"""),1.12)</f>
        <v>1.12</v>
      </c>
      <c r="D912" s="7">
        <v>2.2673762E7</v>
      </c>
      <c r="E912" s="8">
        <v>2.539461344E7</v>
      </c>
    </row>
    <row r="913">
      <c r="A913" s="7" t="str">
        <f>IFERROR(__xludf.DUMMYFUNCTION("""COMPUTED_VALUE"""),"Greece")</f>
        <v>Greece</v>
      </c>
      <c r="B913" s="7" t="str">
        <f>IFERROR(__xludf.DUMMYFUNCTION("""COMPUTED_VALUE"""),"Leffler-VonRueden")</f>
        <v>Leffler-VonRueden</v>
      </c>
      <c r="C913" s="8">
        <f>IFERROR(__xludf.DUMMYFUNCTION("""COMPUTED_VALUE"""),1.86)</f>
        <v>1.86</v>
      </c>
      <c r="D913" s="7">
        <v>1.0384971E7</v>
      </c>
      <c r="E913" s="8">
        <v>1.9316046060000002E7</v>
      </c>
    </row>
    <row r="914">
      <c r="A914" s="7" t="str">
        <f>IFERROR(__xludf.DUMMYFUNCTION("""COMPUTED_VALUE"""),"United States")</f>
        <v>United States</v>
      </c>
      <c r="B914" s="7" t="str">
        <f>IFERROR(__xludf.DUMMYFUNCTION("""COMPUTED_VALUE"""),"Ullrich, Swaniawski and Kub")</f>
        <v>Ullrich, Swaniawski and Kub</v>
      </c>
      <c r="C914" s="8">
        <f>IFERROR(__xludf.DUMMYFUNCTION("""COMPUTED_VALUE"""),0.94)</f>
        <v>0.94</v>
      </c>
      <c r="D914" s="7">
        <v>3.38289857E8</v>
      </c>
      <c r="E914" s="8">
        <v>3.1799246558E8</v>
      </c>
    </row>
    <row r="915">
      <c r="A915" s="7" t="str">
        <f>IFERROR(__xludf.DUMMYFUNCTION("""COMPUTED_VALUE"""),"China")</f>
        <v>China</v>
      </c>
      <c r="B915" s="7" t="str">
        <f>IFERROR(__xludf.DUMMYFUNCTION("""COMPUTED_VALUE"""),"Harber, Bruen and Borer")</f>
        <v>Harber, Bruen and Borer</v>
      </c>
      <c r="C915" s="8">
        <f>IFERROR(__xludf.DUMMYFUNCTION("""COMPUTED_VALUE"""),2.04)</f>
        <v>2.04</v>
      </c>
      <c r="D915" s="7">
        <v>1.425887337E9</v>
      </c>
      <c r="E915" s="8">
        <v>2.90881016748E9</v>
      </c>
    </row>
    <row r="916">
      <c r="A916" s="7" t="str">
        <f>IFERROR(__xludf.DUMMYFUNCTION("""COMPUTED_VALUE"""),"Ukraine")</f>
        <v>Ukraine</v>
      </c>
      <c r="B916" s="7" t="str">
        <f>IFERROR(__xludf.DUMMYFUNCTION("""COMPUTED_VALUE"""),"Baumbach, Koepp and Kessler")</f>
        <v>Baumbach, Koepp and Kessler</v>
      </c>
      <c r="C916" s="8">
        <f>IFERROR(__xludf.DUMMYFUNCTION("""COMPUTED_VALUE"""),1.54)</f>
        <v>1.54</v>
      </c>
      <c r="D916" s="7">
        <v>3.9701739E7</v>
      </c>
      <c r="E916" s="8">
        <v>6.114067806E7</v>
      </c>
    </row>
    <row r="917">
      <c r="A917" s="7" t="str">
        <f>IFERROR(__xludf.DUMMYFUNCTION("""COMPUTED_VALUE"""),"Colombia")</f>
        <v>Colombia</v>
      </c>
      <c r="B917" s="7" t="str">
        <f>IFERROR(__xludf.DUMMYFUNCTION("""COMPUTED_VALUE"""),"Morar-Leannon")</f>
        <v>Morar-Leannon</v>
      </c>
      <c r="C917" s="8">
        <f>IFERROR(__xludf.DUMMYFUNCTION("""COMPUTED_VALUE"""),1.4)</f>
        <v>1.4</v>
      </c>
      <c r="D917" s="7">
        <v>5.1874024E7</v>
      </c>
      <c r="E917" s="8">
        <v>7.26236336E7</v>
      </c>
    </row>
    <row r="918">
      <c r="A918" s="7" t="str">
        <f>IFERROR(__xludf.DUMMYFUNCTION("""COMPUTED_VALUE"""),"Ukraine")</f>
        <v>Ukraine</v>
      </c>
      <c r="B918" s="7" t="str">
        <f>IFERROR(__xludf.DUMMYFUNCTION("""COMPUTED_VALUE"""),"Hane-Koss")</f>
        <v>Hane-Koss</v>
      </c>
      <c r="C918" s="8">
        <f>IFERROR(__xludf.DUMMYFUNCTION("""COMPUTED_VALUE"""),1.78)</f>
        <v>1.78</v>
      </c>
      <c r="D918" s="7">
        <v>3.9701739E7</v>
      </c>
      <c r="E918" s="8">
        <v>7.066909542E7</v>
      </c>
    </row>
    <row r="919">
      <c r="A919" s="7" t="str">
        <f>IFERROR(__xludf.DUMMYFUNCTION("""COMPUTED_VALUE"""),"Brazil")</f>
        <v>Brazil</v>
      </c>
      <c r="B919" s="7" t="str">
        <f>IFERROR(__xludf.DUMMYFUNCTION("""COMPUTED_VALUE"""),"Parisian-Cassin")</f>
        <v>Parisian-Cassin</v>
      </c>
      <c r="C919" s="8">
        <f>IFERROR(__xludf.DUMMYFUNCTION("""COMPUTED_VALUE"""),1.68)</f>
        <v>1.68</v>
      </c>
      <c r="D919" s="7">
        <v>2.15313498E8</v>
      </c>
      <c r="E919" s="8">
        <v>3.6172667664E8</v>
      </c>
    </row>
    <row r="920">
      <c r="A920" s="7" t="str">
        <f>IFERROR(__xludf.DUMMYFUNCTION("""COMPUTED_VALUE"""),"Peru")</f>
        <v>Peru</v>
      </c>
      <c r="B920" s="7" t="str">
        <f>IFERROR(__xludf.DUMMYFUNCTION("""COMPUTED_VALUE"""),"Howell-Schoen")</f>
        <v>Howell-Schoen</v>
      </c>
      <c r="C920" s="8">
        <f>IFERROR(__xludf.DUMMYFUNCTION("""COMPUTED_VALUE"""),1.72)</f>
        <v>1.72</v>
      </c>
      <c r="D920" s="7">
        <v>3.4049588E7</v>
      </c>
      <c r="E920" s="8">
        <v>5.856529136E7</v>
      </c>
    </row>
    <row r="921">
      <c r="A921" s="7" t="str">
        <f>IFERROR(__xludf.DUMMYFUNCTION("""COMPUTED_VALUE"""),"Nicaragua")</f>
        <v>Nicaragua</v>
      </c>
      <c r="B921" s="7" t="str">
        <f>IFERROR(__xludf.DUMMYFUNCTION("""COMPUTED_VALUE"""),"Doyle-Schinner")</f>
        <v>Doyle-Schinner</v>
      </c>
      <c r="C921" s="8">
        <f>IFERROR(__xludf.DUMMYFUNCTION("""COMPUTED_VALUE"""),2.11)</f>
        <v>2.11</v>
      </c>
      <c r="D921" s="7">
        <v>6948392.0</v>
      </c>
      <c r="E921" s="8">
        <v>1.466110712E7</v>
      </c>
    </row>
    <row r="922">
      <c r="A922" s="7" t="str">
        <f>IFERROR(__xludf.DUMMYFUNCTION("""COMPUTED_VALUE"""),"Indonesia")</f>
        <v>Indonesia</v>
      </c>
      <c r="B922" s="7" t="str">
        <f>IFERROR(__xludf.DUMMYFUNCTION("""COMPUTED_VALUE"""),"Schowalter-Pfeffer")</f>
        <v>Schowalter-Pfeffer</v>
      </c>
      <c r="C922" s="8">
        <f>IFERROR(__xludf.DUMMYFUNCTION("""COMPUTED_VALUE"""),0.85)</f>
        <v>0.85</v>
      </c>
      <c r="D922" s="7">
        <v>2.75501339E8</v>
      </c>
      <c r="E922" s="8">
        <v>2.3417613815E8</v>
      </c>
    </row>
    <row r="923">
      <c r="A923" s="7" t="str">
        <f>IFERROR(__xludf.DUMMYFUNCTION("""COMPUTED_VALUE"""),"Brazil")</f>
        <v>Brazil</v>
      </c>
      <c r="B923" s="7" t="str">
        <f>IFERROR(__xludf.DUMMYFUNCTION("""COMPUTED_VALUE"""),"Nolan and Sons")</f>
        <v>Nolan and Sons</v>
      </c>
      <c r="C923" s="8">
        <f>IFERROR(__xludf.DUMMYFUNCTION("""COMPUTED_VALUE"""),1.77)</f>
        <v>1.77</v>
      </c>
      <c r="D923" s="7">
        <v>2.15313498E8</v>
      </c>
      <c r="E923" s="8">
        <v>3.8110489146E8</v>
      </c>
    </row>
    <row r="924">
      <c r="A924" s="7" t="str">
        <f>IFERROR(__xludf.DUMMYFUNCTION("""COMPUTED_VALUE"""),"China")</f>
        <v>China</v>
      </c>
      <c r="B924" s="7" t="str">
        <f>IFERROR(__xludf.DUMMYFUNCTION("""COMPUTED_VALUE"""),"Kuphal and Sons")</f>
        <v>Kuphal and Sons</v>
      </c>
      <c r="C924" s="8">
        <f>IFERROR(__xludf.DUMMYFUNCTION("""COMPUTED_VALUE"""),2.16)</f>
        <v>2.16</v>
      </c>
      <c r="D924" s="7">
        <v>1.425887337E9</v>
      </c>
      <c r="E924" s="8">
        <v>3.07991664792E9</v>
      </c>
    </row>
    <row r="925">
      <c r="A925" s="7" t="str">
        <f>IFERROR(__xludf.DUMMYFUNCTION("""COMPUTED_VALUE"""),"Sweden")</f>
        <v>Sweden</v>
      </c>
      <c r="B925" s="7" t="str">
        <f>IFERROR(__xludf.DUMMYFUNCTION("""COMPUTED_VALUE"""),"Bernhard-Senger")</f>
        <v>Bernhard-Senger</v>
      </c>
      <c r="C925" s="8">
        <f>IFERROR(__xludf.DUMMYFUNCTION("""COMPUTED_VALUE"""),1.91)</f>
        <v>1.91</v>
      </c>
      <c r="D925" s="7">
        <v>1.0549347E7</v>
      </c>
      <c r="E925" s="8">
        <v>2.014925277E7</v>
      </c>
    </row>
    <row r="926">
      <c r="A926" s="7" t="str">
        <f>IFERROR(__xludf.DUMMYFUNCTION("""COMPUTED_VALUE"""),"Brazil")</f>
        <v>Brazil</v>
      </c>
      <c r="B926" s="7" t="str">
        <f>IFERROR(__xludf.DUMMYFUNCTION("""COMPUTED_VALUE"""),"Nolan, Senger and Will")</f>
        <v>Nolan, Senger and Will</v>
      </c>
      <c r="C926" s="8">
        <f>IFERROR(__xludf.DUMMYFUNCTION("""COMPUTED_VALUE"""),1.68)</f>
        <v>1.68</v>
      </c>
      <c r="D926" s="7">
        <v>2.15313498E8</v>
      </c>
      <c r="E926" s="8">
        <v>3.6172667664E8</v>
      </c>
    </row>
    <row r="927">
      <c r="A927" s="7" t="str">
        <f>IFERROR(__xludf.DUMMYFUNCTION("""COMPUTED_VALUE"""),"Mexico")</f>
        <v>Mexico</v>
      </c>
      <c r="B927" s="7" t="str">
        <f>IFERROR(__xludf.DUMMYFUNCTION("""COMPUTED_VALUE"""),"Schultz, Homenick and Bogisich")</f>
        <v>Schultz, Homenick and Bogisich</v>
      </c>
      <c r="C927" s="8">
        <f>IFERROR(__xludf.DUMMYFUNCTION("""COMPUTED_VALUE"""),1.92)</f>
        <v>1.92</v>
      </c>
      <c r="D927" s="7">
        <v>1.27504125E8</v>
      </c>
      <c r="E927" s="8">
        <v>2.4480792E8</v>
      </c>
    </row>
    <row r="928">
      <c r="A928" s="7" t="str">
        <f>IFERROR(__xludf.DUMMYFUNCTION("""COMPUTED_VALUE"""),"Japan")</f>
        <v>Japan</v>
      </c>
      <c r="B928" s="7" t="str">
        <f>IFERROR(__xludf.DUMMYFUNCTION("""COMPUTED_VALUE"""),"Ferry, Douglas and Rau")</f>
        <v>Ferry, Douglas and Rau</v>
      </c>
      <c r="C928" s="8">
        <f>IFERROR(__xludf.DUMMYFUNCTION("""COMPUTED_VALUE"""),1.5)</f>
        <v>1.5</v>
      </c>
      <c r="D928" s="7">
        <v>1.23951692E8</v>
      </c>
      <c r="E928" s="8">
        <v>1.85927538E8</v>
      </c>
    </row>
    <row r="929">
      <c r="A929" s="7" t="str">
        <f>IFERROR(__xludf.DUMMYFUNCTION("""COMPUTED_VALUE"""),"Portugal")</f>
        <v>Portugal</v>
      </c>
      <c r="B929" s="7" t="str">
        <f>IFERROR(__xludf.DUMMYFUNCTION("""COMPUTED_VALUE"""),"Frami, Kozey and Stokes")</f>
        <v>Frami, Kozey and Stokes</v>
      </c>
      <c r="C929" s="8">
        <f>IFERROR(__xludf.DUMMYFUNCTION("""COMPUTED_VALUE"""),1.36)</f>
        <v>1.36</v>
      </c>
      <c r="D929" s="7">
        <v>1.0270865E7</v>
      </c>
      <c r="E929" s="8">
        <v>1.39683764E7</v>
      </c>
    </row>
    <row r="930">
      <c r="A930" s="7" t="str">
        <f>IFERROR(__xludf.DUMMYFUNCTION("""COMPUTED_VALUE"""),"Indonesia")</f>
        <v>Indonesia</v>
      </c>
      <c r="B930" s="7" t="str">
        <f>IFERROR(__xludf.DUMMYFUNCTION("""COMPUTED_VALUE"""),"Schaden, Casper and Kessler")</f>
        <v>Schaden, Casper and Kessler</v>
      </c>
      <c r="C930" s="8">
        <f>IFERROR(__xludf.DUMMYFUNCTION("""COMPUTED_VALUE"""),1.06)</f>
        <v>1.06</v>
      </c>
      <c r="D930" s="7">
        <v>2.75501339E8</v>
      </c>
      <c r="E930" s="8">
        <v>2.9203141934000003E8</v>
      </c>
    </row>
    <row r="931">
      <c r="A931" s="7" t="str">
        <f>IFERROR(__xludf.DUMMYFUNCTION("""COMPUTED_VALUE"""),"Cameroon")</f>
        <v>Cameroon</v>
      </c>
      <c r="B931" s="7" t="str">
        <f>IFERROR(__xludf.DUMMYFUNCTION("""COMPUTED_VALUE"""),"Hermann, Schaefer and Corkery")</f>
        <v>Hermann, Schaefer and Corkery</v>
      </c>
      <c r="C931" s="8">
        <f>IFERROR(__xludf.DUMMYFUNCTION("""COMPUTED_VALUE"""),1.43)</f>
        <v>1.43</v>
      </c>
      <c r="D931" s="7">
        <v>2.7914536E7</v>
      </c>
      <c r="E931" s="8">
        <v>3.991778648E7</v>
      </c>
    </row>
    <row r="932">
      <c r="A932" s="7" t="str">
        <f>IFERROR(__xludf.DUMMYFUNCTION("""COMPUTED_VALUE"""),"Pakistan")</f>
        <v>Pakistan</v>
      </c>
      <c r="B932" s="7" t="str">
        <f>IFERROR(__xludf.DUMMYFUNCTION("""COMPUTED_VALUE"""),"Cassin-Bauch")</f>
        <v>Cassin-Bauch</v>
      </c>
      <c r="C932" s="8">
        <f>IFERROR(__xludf.DUMMYFUNCTION("""COMPUTED_VALUE"""),1.7)</f>
        <v>1.7</v>
      </c>
      <c r="D932" s="7">
        <v>2.35824862E8</v>
      </c>
      <c r="E932" s="8">
        <v>4.009022654E8</v>
      </c>
    </row>
    <row r="933">
      <c r="A933" s="7" t="str">
        <f>IFERROR(__xludf.DUMMYFUNCTION("""COMPUTED_VALUE"""),"China")</f>
        <v>China</v>
      </c>
      <c r="B933" s="7" t="str">
        <f>IFERROR(__xludf.DUMMYFUNCTION("""COMPUTED_VALUE"""),"Bechtelar Group")</f>
        <v>Bechtelar Group</v>
      </c>
      <c r="C933" s="8">
        <f>IFERROR(__xludf.DUMMYFUNCTION("""COMPUTED_VALUE"""),1.38)</f>
        <v>1.38</v>
      </c>
      <c r="D933" s="7">
        <v>1.425887337E9</v>
      </c>
      <c r="E933" s="8">
        <v>1.96772452506E9</v>
      </c>
    </row>
    <row r="934">
      <c r="A934" s="7" t="str">
        <f>IFERROR(__xludf.DUMMYFUNCTION("""COMPUTED_VALUE"""),"Ecuador")</f>
        <v>Ecuador</v>
      </c>
      <c r="B934" s="7" t="str">
        <f>IFERROR(__xludf.DUMMYFUNCTION("""COMPUTED_VALUE"""),"Lesch Inc")</f>
        <v>Lesch Inc</v>
      </c>
      <c r="C934" s="8">
        <f>IFERROR(__xludf.DUMMYFUNCTION("""COMPUTED_VALUE"""),1.52)</f>
        <v>1.52</v>
      </c>
      <c r="D934" s="7">
        <v>1.8001E7</v>
      </c>
      <c r="E934" s="8">
        <v>2.736152E7</v>
      </c>
    </row>
    <row r="935">
      <c r="A935" s="7" t="str">
        <f>IFERROR(__xludf.DUMMYFUNCTION("""COMPUTED_VALUE"""),"Poland")</f>
        <v>Poland</v>
      </c>
      <c r="B935" s="7" t="str">
        <f>IFERROR(__xludf.DUMMYFUNCTION("""COMPUTED_VALUE"""),"Gerhold Group")</f>
        <v>Gerhold Group</v>
      </c>
      <c r="C935" s="8">
        <f>IFERROR(__xludf.DUMMYFUNCTION("""COMPUTED_VALUE"""),2.24)</f>
        <v>2.24</v>
      </c>
      <c r="D935" s="7">
        <v>3.9857145E7</v>
      </c>
      <c r="E935" s="8">
        <v>8.928000480000001E7</v>
      </c>
    </row>
    <row r="936">
      <c r="A936" s="7" t="str">
        <f>IFERROR(__xludf.DUMMYFUNCTION("""COMPUTED_VALUE"""),"Sweden")</f>
        <v>Sweden</v>
      </c>
      <c r="B936" s="7" t="str">
        <f>IFERROR(__xludf.DUMMYFUNCTION("""COMPUTED_VALUE"""),"Gibson, Luettgen and Olson")</f>
        <v>Gibson, Luettgen and Olson</v>
      </c>
      <c r="C936" s="8">
        <f>IFERROR(__xludf.DUMMYFUNCTION("""COMPUTED_VALUE"""),2.15)</f>
        <v>2.15</v>
      </c>
      <c r="D936" s="7">
        <v>1.0549347E7</v>
      </c>
      <c r="E936" s="8">
        <v>2.268109605E7</v>
      </c>
    </row>
    <row r="937">
      <c r="A937" s="7" t="str">
        <f>IFERROR(__xludf.DUMMYFUNCTION("""COMPUTED_VALUE"""),"Yemen")</f>
        <v>Yemen</v>
      </c>
      <c r="B937" s="7" t="str">
        <f>IFERROR(__xludf.DUMMYFUNCTION("""COMPUTED_VALUE"""),"Hermiston, Buckridge and Denesik")</f>
        <v>Hermiston, Buckridge and Denesik</v>
      </c>
      <c r="C937" s="8">
        <f>IFERROR(__xludf.DUMMYFUNCTION("""COMPUTED_VALUE"""),1.05)</f>
        <v>1.05</v>
      </c>
      <c r="D937" s="7">
        <v>3.3696614E7</v>
      </c>
      <c r="E937" s="8">
        <v>3.53814447E7</v>
      </c>
    </row>
    <row r="938">
      <c r="A938" s="7" t="str">
        <f>IFERROR(__xludf.DUMMYFUNCTION("""COMPUTED_VALUE"""),"Tunisia")</f>
        <v>Tunisia</v>
      </c>
      <c r="B938" s="7" t="str">
        <f>IFERROR(__xludf.DUMMYFUNCTION("""COMPUTED_VALUE"""),"Nolan, Trantow and Olson")</f>
        <v>Nolan, Trantow and Olson</v>
      </c>
      <c r="C938" s="8">
        <f>IFERROR(__xludf.DUMMYFUNCTION("""COMPUTED_VALUE"""),1.11)</f>
        <v>1.11</v>
      </c>
      <c r="D938" s="7">
        <v>1.2356117E7</v>
      </c>
      <c r="E938" s="8">
        <v>1.3715289870000001E7</v>
      </c>
    </row>
    <row r="939">
      <c r="A939" s="7" t="str">
        <f>IFERROR(__xludf.DUMMYFUNCTION("""COMPUTED_VALUE"""),"China")</f>
        <v>China</v>
      </c>
      <c r="B939" s="7" t="str">
        <f>IFERROR(__xludf.DUMMYFUNCTION("""COMPUTED_VALUE"""),"Witting, Pfeffer and Funk")</f>
        <v>Witting, Pfeffer and Funk</v>
      </c>
      <c r="C939" s="8">
        <f>IFERROR(__xludf.DUMMYFUNCTION("""COMPUTED_VALUE"""),1.17)</f>
        <v>1.17</v>
      </c>
      <c r="D939" s="7">
        <v>1.425887337E9</v>
      </c>
      <c r="E939" s="8">
        <v>1.66828818429E9</v>
      </c>
    </row>
    <row r="940">
      <c r="A940" s="7" t="str">
        <f>IFERROR(__xludf.DUMMYFUNCTION("""COMPUTED_VALUE"""),"Indonesia")</f>
        <v>Indonesia</v>
      </c>
      <c r="B940" s="7" t="str">
        <f>IFERROR(__xludf.DUMMYFUNCTION("""COMPUTED_VALUE"""),"Dicki Group")</f>
        <v>Dicki Group</v>
      </c>
      <c r="C940" s="8">
        <f>IFERROR(__xludf.DUMMYFUNCTION("""COMPUTED_VALUE"""),1.74)</f>
        <v>1.74</v>
      </c>
      <c r="D940" s="7">
        <v>2.75501339E8</v>
      </c>
      <c r="E940" s="8">
        <v>4.7937232986E8</v>
      </c>
    </row>
    <row r="941">
      <c r="A941" s="7" t="str">
        <f>IFERROR(__xludf.DUMMYFUNCTION("""COMPUTED_VALUE"""),"Luxembourg")</f>
        <v>Luxembourg</v>
      </c>
      <c r="B941" s="7" t="str">
        <f>IFERROR(__xludf.DUMMYFUNCTION("""COMPUTED_VALUE"""),"Friesen LLC")</f>
        <v>Friesen LLC</v>
      </c>
      <c r="C941" s="8">
        <f>IFERROR(__xludf.DUMMYFUNCTION("""COMPUTED_VALUE"""),1.45)</f>
        <v>1.45</v>
      </c>
      <c r="D941" s="7">
        <v>647599.0</v>
      </c>
      <c r="E941" s="8">
        <v>939018.5499999999</v>
      </c>
    </row>
    <row r="942">
      <c r="A942" s="7" t="str">
        <f>IFERROR(__xludf.DUMMYFUNCTION("""COMPUTED_VALUE"""),"France")</f>
        <v>France</v>
      </c>
      <c r="B942" s="7" t="str">
        <f>IFERROR(__xludf.DUMMYFUNCTION("""COMPUTED_VALUE"""),"Goyette LLC")</f>
        <v>Goyette LLC</v>
      </c>
      <c r="C942" s="8">
        <f>IFERROR(__xludf.DUMMYFUNCTION("""COMPUTED_VALUE"""),2.19)</f>
        <v>2.19</v>
      </c>
      <c r="D942" s="7">
        <v>6.4626628E7</v>
      </c>
      <c r="E942" s="8">
        <v>1.4153231532E8</v>
      </c>
    </row>
    <row r="943">
      <c r="A943" s="7" t="str">
        <f>IFERROR(__xludf.DUMMYFUNCTION("""COMPUTED_VALUE"""),"Vietnam")</f>
        <v>Vietnam</v>
      </c>
      <c r="B943" s="7" t="str">
        <f>IFERROR(__xludf.DUMMYFUNCTION("""COMPUTED_VALUE"""),"Schimmel-Friesen")</f>
        <v>Schimmel-Friesen</v>
      </c>
      <c r="C943" s="8">
        <f>IFERROR(__xludf.DUMMYFUNCTION("""COMPUTED_VALUE"""),2.19)</f>
        <v>2.19</v>
      </c>
      <c r="D943" s="7">
        <v>9.8186856E7</v>
      </c>
      <c r="E943" s="8">
        <v>2.1502921464E8</v>
      </c>
    </row>
    <row r="944">
      <c r="A944" s="7" t="str">
        <f>IFERROR(__xludf.DUMMYFUNCTION("""COMPUTED_VALUE"""),"China")</f>
        <v>China</v>
      </c>
      <c r="B944" s="7" t="str">
        <f>IFERROR(__xludf.DUMMYFUNCTION("""COMPUTED_VALUE"""),"Walter, Herzog and Stoltenberg")</f>
        <v>Walter, Herzog and Stoltenberg</v>
      </c>
      <c r="C944" s="8">
        <f>IFERROR(__xludf.DUMMYFUNCTION("""COMPUTED_VALUE"""),1.02)</f>
        <v>1.02</v>
      </c>
      <c r="D944" s="7">
        <v>1.425887337E9</v>
      </c>
      <c r="E944" s="8">
        <v>1.45440508374E9</v>
      </c>
    </row>
    <row r="945">
      <c r="A945" s="7" t="str">
        <f>IFERROR(__xludf.DUMMYFUNCTION("""COMPUTED_VALUE"""),"Dominican Republic")</f>
        <v>Dominican Republic</v>
      </c>
      <c r="B945" s="7" t="str">
        <f>IFERROR(__xludf.DUMMYFUNCTION("""COMPUTED_VALUE"""),"Simonis-Klein")</f>
        <v>Simonis-Klein</v>
      </c>
      <c r="C945" s="8">
        <f>IFERROR(__xludf.DUMMYFUNCTION("""COMPUTED_VALUE"""),0.94)</f>
        <v>0.94</v>
      </c>
      <c r="D945" s="7">
        <v>1.1228821E7</v>
      </c>
      <c r="E945" s="8">
        <v>1.055509174E7</v>
      </c>
    </row>
    <row r="946">
      <c r="A946" s="7" t="str">
        <f>IFERROR(__xludf.DUMMYFUNCTION("""COMPUTED_VALUE"""),"France")</f>
        <v>France</v>
      </c>
      <c r="B946" s="7" t="str">
        <f>IFERROR(__xludf.DUMMYFUNCTION("""COMPUTED_VALUE"""),"Kessler Group")</f>
        <v>Kessler Group</v>
      </c>
      <c r="C946" s="8">
        <f>IFERROR(__xludf.DUMMYFUNCTION("""COMPUTED_VALUE"""),1.8)</f>
        <v>1.8</v>
      </c>
      <c r="D946" s="7">
        <v>6.4626628E7</v>
      </c>
      <c r="E946" s="8">
        <v>1.163279304E8</v>
      </c>
    </row>
    <row r="947">
      <c r="A947" s="7" t="str">
        <f>IFERROR(__xludf.DUMMYFUNCTION("""COMPUTED_VALUE"""),"China")</f>
        <v>China</v>
      </c>
      <c r="B947" s="7" t="str">
        <f>IFERROR(__xludf.DUMMYFUNCTION("""COMPUTED_VALUE"""),"Schimmel LLC")</f>
        <v>Schimmel LLC</v>
      </c>
      <c r="C947" s="8">
        <f>IFERROR(__xludf.DUMMYFUNCTION("""COMPUTED_VALUE"""),1.65)</f>
        <v>1.65</v>
      </c>
      <c r="D947" s="7">
        <v>1.425887337E9</v>
      </c>
      <c r="E947" s="8">
        <v>2.3527141060499997E9</v>
      </c>
    </row>
    <row r="948">
      <c r="A948" s="7" t="str">
        <f>IFERROR(__xludf.DUMMYFUNCTION("""COMPUTED_VALUE"""),"Poland")</f>
        <v>Poland</v>
      </c>
      <c r="B948" s="7" t="str">
        <f>IFERROR(__xludf.DUMMYFUNCTION("""COMPUTED_VALUE"""),"Beer Group")</f>
        <v>Beer Group</v>
      </c>
      <c r="C948" s="8">
        <f>IFERROR(__xludf.DUMMYFUNCTION("""COMPUTED_VALUE"""),1.1)</f>
        <v>1.1</v>
      </c>
      <c r="D948" s="7">
        <v>3.9857145E7</v>
      </c>
      <c r="E948" s="8">
        <v>4.38428595E7</v>
      </c>
    </row>
    <row r="949">
      <c r="A949" s="7" t="str">
        <f>IFERROR(__xludf.DUMMYFUNCTION("""COMPUTED_VALUE"""),"Russia")</f>
        <v>Russia</v>
      </c>
      <c r="B949" s="7" t="str">
        <f>IFERROR(__xludf.DUMMYFUNCTION("""COMPUTED_VALUE"""),"Waelchi, Stoltenberg and Beier")</f>
        <v>Waelchi, Stoltenberg and Beier</v>
      </c>
      <c r="C949" s="8">
        <f>IFERROR(__xludf.DUMMYFUNCTION("""COMPUTED_VALUE"""),0.86)</f>
        <v>0.86</v>
      </c>
      <c r="D949" s="7">
        <v>1.44713314E8</v>
      </c>
      <c r="E949" s="8">
        <v>1.2445345003999999E8</v>
      </c>
    </row>
    <row r="950">
      <c r="A950" s="7" t="str">
        <f>IFERROR(__xludf.DUMMYFUNCTION("""COMPUTED_VALUE"""),"Portugal")</f>
        <v>Portugal</v>
      </c>
      <c r="B950" s="7" t="str">
        <f>IFERROR(__xludf.DUMMYFUNCTION("""COMPUTED_VALUE"""),"Rogahn-Ortiz")</f>
        <v>Rogahn-Ortiz</v>
      </c>
      <c r="C950" s="8">
        <f>IFERROR(__xludf.DUMMYFUNCTION("""COMPUTED_VALUE"""),1.03)</f>
        <v>1.03</v>
      </c>
      <c r="D950" s="7">
        <v>1.0270865E7</v>
      </c>
      <c r="E950" s="8">
        <v>1.0578990950000001E7</v>
      </c>
    </row>
    <row r="951">
      <c r="A951" s="7" t="str">
        <f>IFERROR(__xludf.DUMMYFUNCTION("""COMPUTED_VALUE"""),"Sweden")</f>
        <v>Sweden</v>
      </c>
      <c r="B951" s="7" t="str">
        <f>IFERROR(__xludf.DUMMYFUNCTION("""COMPUTED_VALUE"""),"Runte-Crona")</f>
        <v>Runte-Crona</v>
      </c>
      <c r="C951" s="8">
        <f>IFERROR(__xludf.DUMMYFUNCTION("""COMPUTED_VALUE"""),0.87)</f>
        <v>0.87</v>
      </c>
      <c r="D951" s="7">
        <v>1.0549347E7</v>
      </c>
      <c r="E951" s="8">
        <v>9177931.89</v>
      </c>
    </row>
    <row r="952">
      <c r="A952" s="7" t="str">
        <f>IFERROR(__xludf.DUMMYFUNCTION("""COMPUTED_VALUE"""),"China")</f>
        <v>China</v>
      </c>
      <c r="B952" s="7" t="str">
        <f>IFERROR(__xludf.DUMMYFUNCTION("""COMPUTED_VALUE"""),"Auer-Grady")</f>
        <v>Auer-Grady</v>
      </c>
      <c r="C952" s="8">
        <f>IFERROR(__xludf.DUMMYFUNCTION("""COMPUTED_VALUE"""),1.74)</f>
        <v>1.74</v>
      </c>
      <c r="D952" s="7">
        <v>1.425887337E9</v>
      </c>
      <c r="E952" s="8">
        <v>2.48104396638E9</v>
      </c>
    </row>
    <row r="953">
      <c r="A953" s="7" t="str">
        <f>IFERROR(__xludf.DUMMYFUNCTION("""COMPUTED_VALUE"""),"Russia")</f>
        <v>Russia</v>
      </c>
      <c r="B953" s="7" t="str">
        <f>IFERROR(__xludf.DUMMYFUNCTION("""COMPUTED_VALUE"""),"Kuphal Inc")</f>
        <v>Kuphal Inc</v>
      </c>
      <c r="C953" s="8">
        <f>IFERROR(__xludf.DUMMYFUNCTION("""COMPUTED_VALUE"""),0.89)</f>
        <v>0.89</v>
      </c>
      <c r="D953" s="7">
        <v>1.44713314E8</v>
      </c>
      <c r="E953" s="8">
        <v>1.2879484946000001E8</v>
      </c>
    </row>
    <row r="954">
      <c r="A954" s="7" t="str">
        <f>IFERROR(__xludf.DUMMYFUNCTION("""COMPUTED_VALUE"""),"United States")</f>
        <v>United States</v>
      </c>
      <c r="B954" s="7" t="str">
        <f>IFERROR(__xludf.DUMMYFUNCTION("""COMPUTED_VALUE"""),"Wolf-Shanahan")</f>
        <v>Wolf-Shanahan</v>
      </c>
      <c r="C954" s="8">
        <f>IFERROR(__xludf.DUMMYFUNCTION("""COMPUTED_VALUE"""),1.84)</f>
        <v>1.84</v>
      </c>
      <c r="D954" s="7">
        <v>3.38289857E8</v>
      </c>
      <c r="E954" s="8">
        <v>6.2245333688E8</v>
      </c>
    </row>
    <row r="955">
      <c r="A955" s="7" t="str">
        <f>IFERROR(__xludf.DUMMYFUNCTION("""COMPUTED_VALUE"""),"Bangladesh")</f>
        <v>Bangladesh</v>
      </c>
      <c r="B955" s="7" t="str">
        <f>IFERROR(__xludf.DUMMYFUNCTION("""COMPUTED_VALUE"""),"Nikolaus-Fay")</f>
        <v>Nikolaus-Fay</v>
      </c>
      <c r="C955" s="8">
        <f>IFERROR(__xludf.DUMMYFUNCTION("""COMPUTED_VALUE"""),1.84)</f>
        <v>1.84</v>
      </c>
      <c r="D955" s="7">
        <v>1.71186372E8</v>
      </c>
      <c r="E955" s="8">
        <v>3.1498292448E8</v>
      </c>
    </row>
    <row r="956">
      <c r="A956" s="7" t="str">
        <f>IFERROR(__xludf.DUMMYFUNCTION("""COMPUTED_VALUE"""),"Czech Republic")</f>
        <v>Czech Republic</v>
      </c>
      <c r="B956" s="7" t="str">
        <f>IFERROR(__xludf.DUMMYFUNCTION("""COMPUTED_VALUE"""),"Blanda-Upton")</f>
        <v>Blanda-Upton</v>
      </c>
      <c r="C956" s="8">
        <f>IFERROR(__xludf.DUMMYFUNCTION("""COMPUTED_VALUE"""),2.23)</f>
        <v>2.23</v>
      </c>
      <c r="D956" s="7">
        <v>1.0493986E7</v>
      </c>
      <c r="E956" s="8">
        <v>2.340158878E7</v>
      </c>
    </row>
    <row r="957">
      <c r="A957" s="7" t="str">
        <f>IFERROR(__xludf.DUMMYFUNCTION("""COMPUTED_VALUE"""),"Peru")</f>
        <v>Peru</v>
      </c>
      <c r="B957" s="7" t="str">
        <f>IFERROR(__xludf.DUMMYFUNCTION("""COMPUTED_VALUE"""),"Fadel, Jenkins and Bogisich")</f>
        <v>Fadel, Jenkins and Bogisich</v>
      </c>
      <c r="C957" s="8">
        <f>IFERROR(__xludf.DUMMYFUNCTION("""COMPUTED_VALUE"""),2.01)</f>
        <v>2.01</v>
      </c>
      <c r="D957" s="7">
        <v>3.4049588E7</v>
      </c>
      <c r="E957" s="8">
        <v>6.843967188E7</v>
      </c>
    </row>
    <row r="958">
      <c r="A958" s="7" t="str">
        <f>IFERROR(__xludf.DUMMYFUNCTION("""COMPUTED_VALUE"""),"Philippines")</f>
        <v>Philippines</v>
      </c>
      <c r="B958" s="7" t="str">
        <f>IFERROR(__xludf.DUMMYFUNCTION("""COMPUTED_VALUE"""),"Okuneva-Gottlieb")</f>
        <v>Okuneva-Gottlieb</v>
      </c>
      <c r="C958" s="8">
        <f>IFERROR(__xludf.DUMMYFUNCTION("""COMPUTED_VALUE"""),1.34)</f>
        <v>1.34</v>
      </c>
      <c r="D958" s="7">
        <v>1.15559009E8</v>
      </c>
      <c r="E958" s="8">
        <v>1.5484907206E8</v>
      </c>
    </row>
    <row r="959">
      <c r="A959" s="7" t="str">
        <f>IFERROR(__xludf.DUMMYFUNCTION("""COMPUTED_VALUE"""),"Russia")</f>
        <v>Russia</v>
      </c>
      <c r="B959" s="7" t="str">
        <f>IFERROR(__xludf.DUMMYFUNCTION("""COMPUTED_VALUE"""),"Pacocha Group")</f>
        <v>Pacocha Group</v>
      </c>
      <c r="C959" s="8">
        <f>IFERROR(__xludf.DUMMYFUNCTION("""COMPUTED_VALUE"""),1.4)</f>
        <v>1.4</v>
      </c>
      <c r="D959" s="7">
        <v>1.44713314E8</v>
      </c>
      <c r="E959" s="8">
        <v>2.025986396E8</v>
      </c>
    </row>
    <row r="960">
      <c r="A960" s="7" t="str">
        <f>IFERROR(__xludf.DUMMYFUNCTION("""COMPUTED_VALUE"""),"Indonesia")</f>
        <v>Indonesia</v>
      </c>
      <c r="B960" s="7" t="str">
        <f>IFERROR(__xludf.DUMMYFUNCTION("""COMPUTED_VALUE"""),"Howell, Prohaska and Rowe")</f>
        <v>Howell, Prohaska and Rowe</v>
      </c>
      <c r="C960" s="8">
        <f>IFERROR(__xludf.DUMMYFUNCTION("""COMPUTED_VALUE"""),1.01)</f>
        <v>1.01</v>
      </c>
      <c r="D960" s="7">
        <v>2.75501339E8</v>
      </c>
      <c r="E960" s="8">
        <v>2.7825635239E8</v>
      </c>
    </row>
    <row r="961">
      <c r="A961" s="7" t="str">
        <f>IFERROR(__xludf.DUMMYFUNCTION("""COMPUTED_VALUE"""),"Philippines")</f>
        <v>Philippines</v>
      </c>
      <c r="B961" s="7" t="str">
        <f>IFERROR(__xludf.DUMMYFUNCTION("""COMPUTED_VALUE"""),"Turcotte, Kris and Little")</f>
        <v>Turcotte, Kris and Little</v>
      </c>
      <c r="C961" s="8">
        <f>IFERROR(__xludf.DUMMYFUNCTION("""COMPUTED_VALUE"""),2.14)</f>
        <v>2.14</v>
      </c>
      <c r="D961" s="7">
        <v>1.15559009E8</v>
      </c>
      <c r="E961" s="8">
        <v>2.4729627926000002E8</v>
      </c>
    </row>
    <row r="962">
      <c r="A962" s="7" t="str">
        <f>IFERROR(__xludf.DUMMYFUNCTION("""COMPUTED_VALUE"""),"Russia")</f>
        <v>Russia</v>
      </c>
      <c r="B962" s="7" t="str">
        <f>IFERROR(__xludf.DUMMYFUNCTION("""COMPUTED_VALUE"""),"Schinner LLC")</f>
        <v>Schinner LLC</v>
      </c>
      <c r="C962" s="8">
        <f>IFERROR(__xludf.DUMMYFUNCTION("""COMPUTED_VALUE"""),2.21)</f>
        <v>2.21</v>
      </c>
      <c r="D962" s="7">
        <v>1.44713314E8</v>
      </c>
      <c r="E962" s="8">
        <v>3.1981642394E8</v>
      </c>
    </row>
    <row r="963">
      <c r="A963" s="7" t="str">
        <f>IFERROR(__xludf.DUMMYFUNCTION("""COMPUTED_VALUE"""),"United States")</f>
        <v>United States</v>
      </c>
      <c r="B963" s="7" t="str">
        <f>IFERROR(__xludf.DUMMYFUNCTION("""COMPUTED_VALUE"""),"Kling, Conn and Gusikowski")</f>
        <v>Kling, Conn and Gusikowski</v>
      </c>
      <c r="C963" s="8">
        <f>IFERROR(__xludf.DUMMYFUNCTION("""COMPUTED_VALUE"""),1.53)</f>
        <v>1.53</v>
      </c>
      <c r="D963" s="7">
        <v>3.38289857E8</v>
      </c>
      <c r="E963" s="8">
        <v>5.1758348121000004E8</v>
      </c>
    </row>
    <row r="964">
      <c r="A964" s="7" t="str">
        <f>IFERROR(__xludf.DUMMYFUNCTION("""COMPUTED_VALUE"""),"Portugal")</f>
        <v>Portugal</v>
      </c>
      <c r="B964" s="7" t="str">
        <f>IFERROR(__xludf.DUMMYFUNCTION("""COMPUTED_VALUE"""),"Robel Group")</f>
        <v>Robel Group</v>
      </c>
      <c r="C964" s="8">
        <f>IFERROR(__xludf.DUMMYFUNCTION("""COMPUTED_VALUE"""),2.18)</f>
        <v>2.18</v>
      </c>
      <c r="D964" s="7">
        <v>1.0270865E7</v>
      </c>
      <c r="E964" s="8">
        <v>2.2390485700000003E7</v>
      </c>
    </row>
    <row r="965">
      <c r="A965" s="7" t="str">
        <f>IFERROR(__xludf.DUMMYFUNCTION("""COMPUTED_VALUE"""),"France")</f>
        <v>France</v>
      </c>
      <c r="B965" s="7" t="str">
        <f>IFERROR(__xludf.DUMMYFUNCTION("""COMPUTED_VALUE"""),"Jacobs, Hilll and O'Hara")</f>
        <v>Jacobs, Hilll and O'Hara</v>
      </c>
      <c r="C965" s="8">
        <f>IFERROR(__xludf.DUMMYFUNCTION("""COMPUTED_VALUE"""),1.98)</f>
        <v>1.98</v>
      </c>
      <c r="D965" s="7">
        <v>6.4626628E7</v>
      </c>
      <c r="E965" s="8">
        <v>1.2796072344E8</v>
      </c>
    </row>
    <row r="966">
      <c r="A966" s="7" t="str">
        <f>IFERROR(__xludf.DUMMYFUNCTION("""COMPUTED_VALUE"""),"Ukraine")</f>
        <v>Ukraine</v>
      </c>
      <c r="B966" s="7" t="str">
        <f>IFERROR(__xludf.DUMMYFUNCTION("""COMPUTED_VALUE"""),"Bernier and Sons")</f>
        <v>Bernier and Sons</v>
      </c>
      <c r="C966" s="8">
        <f>IFERROR(__xludf.DUMMYFUNCTION("""COMPUTED_VALUE"""),0.86)</f>
        <v>0.86</v>
      </c>
      <c r="D966" s="7">
        <v>3.9701739E7</v>
      </c>
      <c r="E966" s="8">
        <v>3.414349554E7</v>
      </c>
    </row>
    <row r="967">
      <c r="A967" s="7" t="str">
        <f>IFERROR(__xludf.DUMMYFUNCTION("""COMPUTED_VALUE"""),"Nicaragua")</f>
        <v>Nicaragua</v>
      </c>
      <c r="B967" s="7" t="str">
        <f>IFERROR(__xludf.DUMMYFUNCTION("""COMPUTED_VALUE"""),"Reilly, Baumbach and Carter")</f>
        <v>Reilly, Baumbach and Carter</v>
      </c>
      <c r="C967" s="8">
        <f>IFERROR(__xludf.DUMMYFUNCTION("""COMPUTED_VALUE"""),1.38)</f>
        <v>1.38</v>
      </c>
      <c r="D967" s="7">
        <v>6948392.0</v>
      </c>
      <c r="E967" s="8">
        <v>9588780.959999999</v>
      </c>
    </row>
    <row r="968">
      <c r="A968" s="7" t="str">
        <f>IFERROR(__xludf.DUMMYFUNCTION("""COMPUTED_VALUE"""),"Norway")</f>
        <v>Norway</v>
      </c>
      <c r="B968" s="7" t="str">
        <f>IFERROR(__xludf.DUMMYFUNCTION("""COMPUTED_VALUE"""),"Schuster, Cole and Adams")</f>
        <v>Schuster, Cole and Adams</v>
      </c>
      <c r="C968" s="8">
        <f>IFERROR(__xludf.DUMMYFUNCTION("""COMPUTED_VALUE"""),2.09)</f>
        <v>2.09</v>
      </c>
      <c r="D968" s="7">
        <v>5434319.0</v>
      </c>
      <c r="E968" s="8">
        <v>1.1357726709999999E7</v>
      </c>
    </row>
    <row r="969">
      <c r="A969" s="7" t="str">
        <f>IFERROR(__xludf.DUMMYFUNCTION("""COMPUTED_VALUE"""),"Indonesia")</f>
        <v>Indonesia</v>
      </c>
      <c r="B969" s="7" t="str">
        <f>IFERROR(__xludf.DUMMYFUNCTION("""COMPUTED_VALUE"""),"Langworth-Hackett")</f>
        <v>Langworth-Hackett</v>
      </c>
      <c r="C969" s="8">
        <f>IFERROR(__xludf.DUMMYFUNCTION("""COMPUTED_VALUE"""),1.34)</f>
        <v>1.34</v>
      </c>
      <c r="D969" s="7">
        <v>2.75501339E8</v>
      </c>
      <c r="E969" s="8">
        <v>3.6917179426000005E8</v>
      </c>
    </row>
    <row r="970">
      <c r="A970" s="7" t="str">
        <f>IFERROR(__xludf.DUMMYFUNCTION("""COMPUTED_VALUE"""),"Ukraine")</f>
        <v>Ukraine</v>
      </c>
      <c r="B970" s="7" t="str">
        <f>IFERROR(__xludf.DUMMYFUNCTION("""COMPUTED_VALUE"""),"Schaden-Bartoletti")</f>
        <v>Schaden-Bartoletti</v>
      </c>
      <c r="C970" s="8">
        <f>IFERROR(__xludf.DUMMYFUNCTION("""COMPUTED_VALUE"""),2.18)</f>
        <v>2.18</v>
      </c>
      <c r="D970" s="7">
        <v>3.9701739E7</v>
      </c>
      <c r="E970" s="8">
        <v>8.654979102000001E7</v>
      </c>
    </row>
    <row r="971">
      <c r="A971" s="7" t="str">
        <f>IFERROR(__xludf.DUMMYFUNCTION("""COMPUTED_VALUE"""),"Croatia")</f>
        <v>Croatia</v>
      </c>
      <c r="B971" s="7" t="str">
        <f>IFERROR(__xludf.DUMMYFUNCTION("""COMPUTED_VALUE"""),"Upton and Sons")</f>
        <v>Upton and Sons</v>
      </c>
      <c r="C971" s="8">
        <f>IFERROR(__xludf.DUMMYFUNCTION("""COMPUTED_VALUE"""),2.0)</f>
        <v>2</v>
      </c>
      <c r="D971" s="7">
        <v>4030358.0</v>
      </c>
      <c r="E971" s="8">
        <v>8060716.0</v>
      </c>
    </row>
    <row r="972">
      <c r="A972" s="7" t="str">
        <f>IFERROR(__xludf.DUMMYFUNCTION("""COMPUTED_VALUE"""),"Russia")</f>
        <v>Russia</v>
      </c>
      <c r="B972" s="7" t="str">
        <f>IFERROR(__xludf.DUMMYFUNCTION("""COMPUTED_VALUE"""),"Berge-Reinger")</f>
        <v>Berge-Reinger</v>
      </c>
      <c r="C972" s="8">
        <f>IFERROR(__xludf.DUMMYFUNCTION("""COMPUTED_VALUE"""),0.89)</f>
        <v>0.89</v>
      </c>
      <c r="D972" s="7">
        <v>1.44713314E8</v>
      </c>
      <c r="E972" s="8">
        <v>1.2879484946000001E8</v>
      </c>
    </row>
    <row r="973">
      <c r="A973" s="7" t="str">
        <f>IFERROR(__xludf.DUMMYFUNCTION("""COMPUTED_VALUE"""),"Portugal")</f>
        <v>Portugal</v>
      </c>
      <c r="B973" s="7" t="str">
        <f>IFERROR(__xludf.DUMMYFUNCTION("""COMPUTED_VALUE"""),"Bernhard-Yost")</f>
        <v>Bernhard-Yost</v>
      </c>
      <c r="C973" s="8">
        <f>IFERROR(__xludf.DUMMYFUNCTION("""COMPUTED_VALUE"""),2.23)</f>
        <v>2.23</v>
      </c>
      <c r="D973" s="7">
        <v>1.0270865E7</v>
      </c>
      <c r="E973" s="8">
        <v>2.290402895E7</v>
      </c>
    </row>
    <row r="974">
      <c r="A974" s="7" t="str">
        <f>IFERROR(__xludf.DUMMYFUNCTION("""COMPUTED_VALUE"""),"Indonesia")</f>
        <v>Indonesia</v>
      </c>
      <c r="B974" s="7" t="str">
        <f>IFERROR(__xludf.DUMMYFUNCTION("""COMPUTED_VALUE"""),"Lowe, Heidenreich and Hilpert")</f>
        <v>Lowe, Heidenreich and Hilpert</v>
      </c>
      <c r="C974" s="8">
        <f>IFERROR(__xludf.DUMMYFUNCTION("""COMPUTED_VALUE"""),1.94)</f>
        <v>1.94</v>
      </c>
      <c r="D974" s="7">
        <v>2.75501339E8</v>
      </c>
      <c r="E974" s="8">
        <v>5.3447259765999997E8</v>
      </c>
    </row>
    <row r="975">
      <c r="A975" s="7" t="str">
        <f>IFERROR(__xludf.DUMMYFUNCTION("""COMPUTED_VALUE"""),"Russia")</f>
        <v>Russia</v>
      </c>
      <c r="B975" s="7" t="str">
        <f>IFERROR(__xludf.DUMMYFUNCTION("""COMPUTED_VALUE"""),"Cassin and Sons")</f>
        <v>Cassin and Sons</v>
      </c>
      <c r="C975" s="8">
        <f>IFERROR(__xludf.DUMMYFUNCTION("""COMPUTED_VALUE"""),1.16)</f>
        <v>1.16</v>
      </c>
      <c r="D975" s="7">
        <v>1.44713314E8</v>
      </c>
      <c r="E975" s="8">
        <v>1.6786744423999998E8</v>
      </c>
    </row>
    <row r="976">
      <c r="A976" s="7" t="str">
        <f>IFERROR(__xludf.DUMMYFUNCTION("""COMPUTED_VALUE"""),"Indonesia")</f>
        <v>Indonesia</v>
      </c>
      <c r="B976" s="7" t="str">
        <f>IFERROR(__xludf.DUMMYFUNCTION("""COMPUTED_VALUE"""),"Bailey and Sons")</f>
        <v>Bailey and Sons</v>
      </c>
      <c r="C976" s="8">
        <f>IFERROR(__xludf.DUMMYFUNCTION("""COMPUTED_VALUE"""),2.1)</f>
        <v>2.1</v>
      </c>
      <c r="D976" s="7">
        <v>2.75501339E8</v>
      </c>
      <c r="E976" s="8">
        <v>5.785528119E8</v>
      </c>
    </row>
    <row r="977">
      <c r="A977" s="7" t="str">
        <f>IFERROR(__xludf.DUMMYFUNCTION("""COMPUTED_VALUE"""),"Japan")</f>
        <v>Japan</v>
      </c>
      <c r="B977" s="7" t="str">
        <f>IFERROR(__xludf.DUMMYFUNCTION("""COMPUTED_VALUE"""),"Lynch and Sons")</f>
        <v>Lynch and Sons</v>
      </c>
      <c r="C977" s="8">
        <f>IFERROR(__xludf.DUMMYFUNCTION("""COMPUTED_VALUE"""),1.84)</f>
        <v>1.84</v>
      </c>
      <c r="D977" s="7">
        <v>1.23951692E8</v>
      </c>
      <c r="E977" s="8">
        <v>2.2807111328E8</v>
      </c>
    </row>
    <row r="978">
      <c r="A978" s="7" t="str">
        <f>IFERROR(__xludf.DUMMYFUNCTION("""COMPUTED_VALUE"""),"Ukraine")</f>
        <v>Ukraine</v>
      </c>
      <c r="B978" s="7" t="str">
        <f>IFERROR(__xludf.DUMMYFUNCTION("""COMPUTED_VALUE"""),"Hartmann Inc")</f>
        <v>Hartmann Inc</v>
      </c>
      <c r="C978" s="8">
        <f>IFERROR(__xludf.DUMMYFUNCTION("""COMPUTED_VALUE"""),1.72)</f>
        <v>1.72</v>
      </c>
      <c r="D978" s="7">
        <v>3.9701739E7</v>
      </c>
      <c r="E978" s="8">
        <v>6.828699108E7</v>
      </c>
    </row>
    <row r="979">
      <c r="A979" s="7" t="str">
        <f>IFERROR(__xludf.DUMMYFUNCTION("""COMPUTED_VALUE"""),"Madagascar")</f>
        <v>Madagascar</v>
      </c>
      <c r="B979" s="7" t="str">
        <f>IFERROR(__xludf.DUMMYFUNCTION("""COMPUTED_VALUE"""),"Dickinson-Bins")</f>
        <v>Dickinson-Bins</v>
      </c>
      <c r="C979" s="8">
        <f>IFERROR(__xludf.DUMMYFUNCTION("""COMPUTED_VALUE"""),0.94)</f>
        <v>0.94</v>
      </c>
      <c r="D979" s="7">
        <v>2.9611714E7</v>
      </c>
      <c r="E979" s="8">
        <v>2.783501116E7</v>
      </c>
    </row>
    <row r="980">
      <c r="A980" s="7" t="str">
        <f>IFERROR(__xludf.DUMMYFUNCTION("""COMPUTED_VALUE"""),"Norway")</f>
        <v>Norway</v>
      </c>
      <c r="B980" s="7" t="str">
        <f>IFERROR(__xludf.DUMMYFUNCTION("""COMPUTED_VALUE"""),"Dietrich, Sanford and Sporer")</f>
        <v>Dietrich, Sanford and Sporer</v>
      </c>
      <c r="C980" s="8">
        <f>IFERROR(__xludf.DUMMYFUNCTION("""COMPUTED_VALUE"""),1.29)</f>
        <v>1.29</v>
      </c>
      <c r="D980" s="7">
        <v>5434319.0</v>
      </c>
      <c r="E980" s="8">
        <v>7010271.51</v>
      </c>
    </row>
    <row r="981">
      <c r="A981" s="7" t="str">
        <f>IFERROR(__xludf.DUMMYFUNCTION("""COMPUTED_VALUE"""),"Brazil")</f>
        <v>Brazil</v>
      </c>
      <c r="B981" s="7" t="str">
        <f>IFERROR(__xludf.DUMMYFUNCTION("""COMPUTED_VALUE"""),"Heller-Boyer")</f>
        <v>Heller-Boyer</v>
      </c>
      <c r="C981" s="8">
        <f>IFERROR(__xludf.DUMMYFUNCTION("""COMPUTED_VALUE"""),1.27)</f>
        <v>1.27</v>
      </c>
      <c r="D981" s="7">
        <v>2.15313498E8</v>
      </c>
      <c r="E981" s="8">
        <v>2.7344814246E8</v>
      </c>
    </row>
    <row r="982">
      <c r="A982" s="7" t="str">
        <f>IFERROR(__xludf.DUMMYFUNCTION("""COMPUTED_VALUE"""),"Indonesia")</f>
        <v>Indonesia</v>
      </c>
      <c r="B982" s="7" t="str">
        <f>IFERROR(__xludf.DUMMYFUNCTION("""COMPUTED_VALUE"""),"White-Hills")</f>
        <v>White-Hills</v>
      </c>
      <c r="C982" s="8">
        <f>IFERROR(__xludf.DUMMYFUNCTION("""COMPUTED_VALUE"""),0.88)</f>
        <v>0.88</v>
      </c>
      <c r="D982" s="7">
        <v>2.75501339E8</v>
      </c>
      <c r="E982" s="8">
        <v>2.4244117832E8</v>
      </c>
    </row>
    <row r="983">
      <c r="A983" s="7" t="str">
        <f>IFERROR(__xludf.DUMMYFUNCTION("""COMPUTED_VALUE"""),"Czech Republic")</f>
        <v>Czech Republic</v>
      </c>
      <c r="B983" s="7" t="str">
        <f>IFERROR(__xludf.DUMMYFUNCTION("""COMPUTED_VALUE"""),"Jaskolski, Langosh and Wunsch")</f>
        <v>Jaskolski, Langosh and Wunsch</v>
      </c>
      <c r="C983" s="8">
        <f>IFERROR(__xludf.DUMMYFUNCTION("""COMPUTED_VALUE"""),1.0)</f>
        <v>1</v>
      </c>
      <c r="D983" s="7">
        <v>1.0493986E7</v>
      </c>
      <c r="E983" s="8">
        <v>1.0493986E7</v>
      </c>
    </row>
    <row r="984">
      <c r="A984" s="7" t="str">
        <f>IFERROR(__xludf.DUMMYFUNCTION("""COMPUTED_VALUE"""),"China")</f>
        <v>China</v>
      </c>
      <c r="B984" s="7" t="str">
        <f>IFERROR(__xludf.DUMMYFUNCTION("""COMPUTED_VALUE"""),"Huels-Runolfsson")</f>
        <v>Huels-Runolfsson</v>
      </c>
      <c r="C984" s="8">
        <f>IFERROR(__xludf.DUMMYFUNCTION("""COMPUTED_VALUE"""),0.88)</f>
        <v>0.88</v>
      </c>
      <c r="D984" s="7">
        <v>1.425887337E9</v>
      </c>
      <c r="E984" s="8">
        <v>1.25478085656E9</v>
      </c>
    </row>
    <row r="985">
      <c r="A985" s="7" t="str">
        <f>IFERROR(__xludf.DUMMYFUNCTION("""COMPUTED_VALUE"""),"Azerbaijan")</f>
        <v>Azerbaijan</v>
      </c>
      <c r="B985" s="7" t="str">
        <f>IFERROR(__xludf.DUMMYFUNCTION("""COMPUTED_VALUE"""),"Mayer-Stroman")</f>
        <v>Mayer-Stroman</v>
      </c>
      <c r="C985" s="8">
        <f>IFERROR(__xludf.DUMMYFUNCTION("""COMPUTED_VALUE"""),1.25)</f>
        <v>1.25</v>
      </c>
      <c r="D985" s="7">
        <v>1.0358074E7</v>
      </c>
      <c r="E985" s="8">
        <v>1.29475925E7</v>
      </c>
    </row>
    <row r="986">
      <c r="A986" s="7" t="str">
        <f>IFERROR(__xludf.DUMMYFUNCTION("""COMPUTED_VALUE"""),"China")</f>
        <v>China</v>
      </c>
      <c r="B986" s="7" t="str">
        <f>IFERROR(__xludf.DUMMYFUNCTION("""COMPUTED_VALUE"""),"Orn, Mohr and Mills")</f>
        <v>Orn, Mohr and Mills</v>
      </c>
      <c r="C986" s="8">
        <f>IFERROR(__xludf.DUMMYFUNCTION("""COMPUTED_VALUE"""),1.97)</f>
        <v>1.97</v>
      </c>
      <c r="D986" s="7">
        <v>1.425887337E9</v>
      </c>
      <c r="E986" s="8">
        <v>2.80899805389E9</v>
      </c>
    </row>
    <row r="987">
      <c r="A987" s="7" t="str">
        <f>IFERROR(__xludf.DUMMYFUNCTION("""COMPUTED_VALUE"""),"Jamaica")</f>
        <v>Jamaica</v>
      </c>
      <c r="B987" s="7" t="str">
        <f>IFERROR(__xludf.DUMMYFUNCTION("""COMPUTED_VALUE"""),"Lowe Group")</f>
        <v>Lowe Group</v>
      </c>
      <c r="C987" s="8">
        <f>IFERROR(__xludf.DUMMYFUNCTION("""COMPUTED_VALUE"""),1.82)</f>
        <v>1.82</v>
      </c>
      <c r="D987" s="7">
        <v>2827377.0</v>
      </c>
      <c r="E987" s="8">
        <v>5145826.140000001</v>
      </c>
    </row>
    <row r="988">
      <c r="A988" s="7" t="str">
        <f>IFERROR(__xludf.DUMMYFUNCTION("""COMPUTED_VALUE"""),"China")</f>
        <v>China</v>
      </c>
      <c r="B988" s="7" t="str">
        <f>IFERROR(__xludf.DUMMYFUNCTION("""COMPUTED_VALUE"""),"Shields, Casper and Hahn")</f>
        <v>Shields, Casper and Hahn</v>
      </c>
      <c r="C988" s="8">
        <f>IFERROR(__xludf.DUMMYFUNCTION("""COMPUTED_VALUE"""),1.8)</f>
        <v>1.8</v>
      </c>
      <c r="D988" s="7">
        <v>1.425887337E9</v>
      </c>
      <c r="E988" s="8">
        <v>2.5665972066E9</v>
      </c>
    </row>
    <row r="989">
      <c r="A989" s="7" t="str">
        <f>IFERROR(__xludf.DUMMYFUNCTION("""COMPUTED_VALUE"""),"Peru")</f>
        <v>Peru</v>
      </c>
      <c r="B989" s="7" t="str">
        <f>IFERROR(__xludf.DUMMYFUNCTION("""COMPUTED_VALUE"""),"Morar-Robel")</f>
        <v>Morar-Robel</v>
      </c>
      <c r="C989" s="8">
        <f>IFERROR(__xludf.DUMMYFUNCTION("""COMPUTED_VALUE"""),1.34)</f>
        <v>1.34</v>
      </c>
      <c r="D989" s="7">
        <v>3.4049588E7</v>
      </c>
      <c r="E989" s="8">
        <v>4.562644792E7</v>
      </c>
    </row>
    <row r="990">
      <c r="A990" s="7" t="str">
        <f>IFERROR(__xludf.DUMMYFUNCTION("""COMPUTED_VALUE"""),"Albania")</f>
        <v>Albania</v>
      </c>
      <c r="B990" s="7" t="str">
        <f>IFERROR(__xludf.DUMMYFUNCTION("""COMPUTED_VALUE"""),"Ernser Group")</f>
        <v>Ernser Group</v>
      </c>
      <c r="C990" s="8">
        <f>IFERROR(__xludf.DUMMYFUNCTION("""COMPUTED_VALUE"""),1.67)</f>
        <v>1.67</v>
      </c>
      <c r="D990" s="7">
        <v>2842321.0</v>
      </c>
      <c r="E990" s="8">
        <v>4746676.069999999</v>
      </c>
    </row>
    <row r="991">
      <c r="A991" s="7" t="str">
        <f>IFERROR(__xludf.DUMMYFUNCTION("""COMPUTED_VALUE"""),"Ukraine")</f>
        <v>Ukraine</v>
      </c>
      <c r="B991" s="7" t="str">
        <f>IFERROR(__xludf.DUMMYFUNCTION("""COMPUTED_VALUE"""),"Mills, Wolff and Douglas")</f>
        <v>Mills, Wolff and Douglas</v>
      </c>
      <c r="C991" s="8">
        <f>IFERROR(__xludf.DUMMYFUNCTION("""COMPUTED_VALUE"""),1.54)</f>
        <v>1.54</v>
      </c>
      <c r="D991" s="7">
        <v>3.9701739E7</v>
      </c>
      <c r="E991" s="8">
        <v>6.114067806E7</v>
      </c>
    </row>
    <row r="992">
      <c r="A992" s="7" t="str">
        <f>IFERROR(__xludf.DUMMYFUNCTION("""COMPUTED_VALUE"""),"Peru")</f>
        <v>Peru</v>
      </c>
      <c r="B992" s="7" t="str">
        <f>IFERROR(__xludf.DUMMYFUNCTION("""COMPUTED_VALUE"""),"Huels-Farrell")</f>
        <v>Huels-Farrell</v>
      </c>
      <c r="C992" s="8">
        <f>IFERROR(__xludf.DUMMYFUNCTION("""COMPUTED_VALUE"""),2.06)</f>
        <v>2.06</v>
      </c>
      <c r="D992" s="7">
        <v>3.4049588E7</v>
      </c>
      <c r="E992" s="8">
        <v>7.014215128E7</v>
      </c>
    </row>
  </sheetData>
  <customSheetViews>
    <customSheetView guid="{82CDBB5A-75D7-47BD-93C9-E639C9140686}" filter="1" showAutoFilter="1">
      <autoFilter ref="$A$1:$E$992"/>
    </customSheetView>
  </customSheetViews>
  <drawing r:id="rId1"/>
</worksheet>
</file>