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  <sheet state="visible" name="¡Grupos!" sheetId="2" r:id="rId5"/>
  </sheets>
  <definedNames/>
  <calcPr/>
</workbook>
</file>

<file path=xl/sharedStrings.xml><?xml version="1.0" encoding="utf-8"?>
<sst xmlns="http://schemas.openxmlformats.org/spreadsheetml/2006/main" count="71" uniqueCount="32">
  <si>
    <t>Registros</t>
  </si>
  <si>
    <t>Grupo</t>
  </si>
  <si>
    <t>Conteo (max 4 por grupo)</t>
  </si>
  <si>
    <t xml:space="preserve">Grupo 1 </t>
  </si>
  <si>
    <t>Grupo 2</t>
  </si>
  <si>
    <t>Grupo 3</t>
  </si>
  <si>
    <t>Grupo 4</t>
  </si>
  <si>
    <t>Grupo 7</t>
  </si>
  <si>
    <t>Grupo 8</t>
  </si>
  <si>
    <t>Grupo 9</t>
  </si>
  <si>
    <t>Grupo 10</t>
  </si>
  <si>
    <t>Grupo 12</t>
  </si>
  <si>
    <t>Grupo 13</t>
  </si>
  <si>
    <t>Grupo 14</t>
  </si>
  <si>
    <t>Grupo 16</t>
  </si>
  <si>
    <t>Grupo 17</t>
  </si>
  <si>
    <t>Grupo 19</t>
  </si>
  <si>
    <t>Grupo 21</t>
  </si>
  <si>
    <t>Grupo 22</t>
  </si>
  <si>
    <t>LISTOS LOS EQUIPOS PARA EL BACKEND</t>
  </si>
  <si>
    <r>
      <rPr/>
      <t xml:space="preserve">Consultas a mi e-mail </t>
    </r>
    <r>
      <rPr>
        <color rgb="FF1155CC"/>
        <u/>
      </rPr>
      <t xml:space="preserve">santiago.acosta@bue.edu.ar </t>
    </r>
  </si>
  <si>
    <t>Total registros</t>
  </si>
  <si>
    <t>Estudiantes</t>
  </si>
  <si>
    <t>Grupo 01</t>
  </si>
  <si>
    <t>Grupo 02</t>
  </si>
  <si>
    <t>Grupo 03</t>
  </si>
  <si>
    <t>Grupo 04</t>
  </si>
  <si>
    <t xml:space="preserve">Nombre </t>
  </si>
  <si>
    <t>Apellido</t>
  </si>
  <si>
    <t>Grupo 07</t>
  </si>
  <si>
    <t>Grupo 08</t>
  </si>
  <si>
    <t>Grupo 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</si>
</sst>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sz val="14.0"/>
      <color theme="1"/>
      <name val="Arial"/>
    </font>
    <font/>
    <font>
      <u/>
      <color rgb="FF0000FF"/>
    </font>
    <font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8.0"/>
      <color theme="1"/>
      <name val="Arial"/>
    </font>
    <font>
      <b/>
      <sz val="9.0"/>
      <color rgb="FF434343"/>
      <name val="Arial"/>
    </font>
    <font>
      <color rgb="FF434343"/>
      <name val="Arial"/>
    </font>
    <font>
      <sz val="9.0"/>
      <color rgb="FF434343"/>
      <name val="Arial"/>
    </font>
    <font>
      <b/>
      <sz val="8.0"/>
      <color rgb="FF43434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24">
    <border/>
    <border>
      <right style="thin">
        <color rgb="FF000000"/>
      </right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000000"/>
      </bottom>
    </border>
    <border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bottom style="thin">
        <color rgb="FFFFFFFF"/>
      </bottom>
    </border>
    <border>
      <right style="thin">
        <color rgb="FFFFFFFF"/>
      </right>
      <bottom style="thin">
        <color rgb="FFEFEFEF"/>
      </bottom>
    </border>
    <border>
      <left style="thin">
        <color rgb="FFFFFFFF"/>
      </left>
      <right style="thin">
        <color rgb="FFEFEFEF"/>
      </right>
      <bottom style="thin">
        <color rgb="FFFFFFFF"/>
      </bottom>
    </border>
    <border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0" fillId="0" fontId="2" numFmtId="0" xfId="0" applyFont="1"/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2" fillId="2" fontId="4" numFmtId="0" xfId="0" applyAlignment="1" applyBorder="1" applyFill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left"/>
    </xf>
    <xf borderId="0" fillId="0" fontId="2" numFmtId="1" xfId="0" applyFont="1" applyNumberFormat="1"/>
    <xf borderId="10" fillId="0" fontId="7" numFmtId="0" xfId="0" applyAlignment="1" applyBorder="1" applyFont="1">
      <alignment vertical="bottom"/>
    </xf>
    <xf borderId="11" fillId="0" fontId="7" numFmtId="0" xfId="0" applyAlignment="1" applyBorder="1" applyFont="1">
      <alignment vertical="bottom"/>
    </xf>
    <xf borderId="12" fillId="0" fontId="7" numFmtId="0" xfId="0" applyAlignment="1" applyBorder="1" applyFont="1">
      <alignment vertical="bottom"/>
    </xf>
    <xf borderId="13" fillId="0" fontId="7" numFmtId="0" xfId="0" applyAlignment="1" applyBorder="1" applyFont="1">
      <alignment vertical="bottom"/>
    </xf>
    <xf borderId="13" fillId="0" fontId="7" numFmtId="0" xfId="0" applyAlignment="1" applyBorder="1" applyFont="1">
      <alignment vertical="bottom"/>
    </xf>
    <xf borderId="14" fillId="0" fontId="7" numFmtId="0" xfId="0" applyAlignment="1" applyBorder="1" applyFont="1">
      <alignment vertical="bottom"/>
    </xf>
    <xf borderId="15" fillId="0" fontId="7" numFmtId="0" xfId="0" applyAlignment="1" applyBorder="1" applyFont="1">
      <alignment vertical="bottom"/>
    </xf>
    <xf borderId="1" fillId="0" fontId="8" numFmtId="0" xfId="0" applyAlignment="1" applyBorder="1" applyFont="1">
      <alignment horizontal="center" readingOrder="0" vertical="bottom"/>
    </xf>
    <xf borderId="16" fillId="0" fontId="9" numFmtId="0" xfId="0" applyAlignment="1" applyBorder="1" applyFont="1">
      <alignment horizontal="center" vertical="bottom"/>
    </xf>
    <xf borderId="13" fillId="0" fontId="7" numFmtId="0" xfId="0" applyAlignment="1" applyBorder="1" applyFont="1">
      <alignment readingOrder="0" vertical="bottom"/>
    </xf>
    <xf borderId="17" fillId="3" fontId="8" numFmtId="0" xfId="0" applyAlignment="1" applyBorder="1" applyFill="1" applyFont="1">
      <alignment horizontal="center" vertical="bottom"/>
    </xf>
    <xf borderId="17" fillId="0" fontId="5" numFmtId="0" xfId="0" applyBorder="1" applyFont="1"/>
    <xf borderId="13" fillId="0" fontId="5" numFmtId="0" xfId="0" applyBorder="1" applyFont="1"/>
    <xf borderId="17" fillId="4" fontId="8" numFmtId="0" xfId="0" applyAlignment="1" applyBorder="1" applyFill="1" applyFont="1">
      <alignment horizontal="center" vertical="bottom"/>
    </xf>
    <xf borderId="18" fillId="3" fontId="7" numFmtId="0" xfId="0" applyAlignment="1" applyBorder="1" applyFont="1">
      <alignment vertical="bottom"/>
    </xf>
    <xf borderId="18" fillId="3" fontId="9" numFmtId="0" xfId="0" applyAlignment="1" applyBorder="1" applyFont="1">
      <alignment vertical="bottom"/>
    </xf>
    <xf borderId="18" fillId="4" fontId="7" numFmtId="0" xfId="0" applyAlignment="1" applyBorder="1" applyFont="1">
      <alignment vertical="bottom"/>
    </xf>
    <xf borderId="18" fillId="4" fontId="9" numFmtId="0" xfId="0" applyAlignment="1" applyBorder="1" applyFont="1">
      <alignment vertical="bottom"/>
    </xf>
    <xf borderId="19" fillId="0" fontId="7" numFmtId="0" xfId="0" applyAlignment="1" applyBorder="1" applyFont="1">
      <alignment vertical="bottom"/>
    </xf>
    <xf borderId="20" fillId="0" fontId="10" numFmtId="0" xfId="0" applyAlignment="1" applyBorder="1" applyFont="1">
      <alignment horizontal="center" vertical="bottom"/>
    </xf>
    <xf borderId="20" fillId="0" fontId="7" numFmtId="0" xfId="0" applyAlignment="1" applyBorder="1" applyFont="1">
      <alignment vertical="bottom"/>
    </xf>
    <xf borderId="21" fillId="0" fontId="7" numFmtId="0" xfId="0" applyAlignment="1" applyBorder="1" applyFont="1">
      <alignment vertical="bottom"/>
    </xf>
    <xf borderId="20" fillId="5" fontId="10" numFmtId="0" xfId="0" applyAlignment="1" applyBorder="1" applyFill="1" applyFont="1">
      <alignment horizontal="center" vertical="bottom"/>
    </xf>
    <xf borderId="20" fillId="5" fontId="7" numFmtId="0" xfId="0" applyAlignment="1" applyBorder="1" applyFont="1">
      <alignment vertical="bottom"/>
    </xf>
    <xf borderId="20" fillId="4" fontId="10" numFmtId="0" xfId="0" applyAlignment="1" applyBorder="1" applyFont="1">
      <alignment horizontal="center" vertical="bottom"/>
    </xf>
    <xf borderId="20" fillId="4" fontId="7" numFmtId="0" xfId="0" applyAlignment="1" applyBorder="1" applyFont="1">
      <alignment vertical="bottom"/>
    </xf>
    <xf borderId="20" fillId="5" fontId="10" numFmtId="0" xfId="0" applyAlignment="1" applyBorder="1" applyFont="1">
      <alignment horizontal="center" vertical="bottom"/>
    </xf>
    <xf borderId="20" fillId="5" fontId="7" numFmtId="0" xfId="0" applyAlignment="1" applyBorder="1" applyFont="1">
      <alignment vertical="bottom"/>
    </xf>
    <xf borderId="21" fillId="0" fontId="7" numFmtId="0" xfId="0" applyAlignment="1" applyBorder="1" applyFont="1">
      <alignment vertical="bottom"/>
    </xf>
    <xf borderId="20" fillId="0" fontId="7" numFmtId="0" xfId="0" applyAlignment="1" applyBorder="1" applyFont="1">
      <alignment vertical="bottom"/>
    </xf>
    <xf borderId="20" fillId="0" fontId="10" numFmtId="0" xfId="0" applyAlignment="1" applyBorder="1" applyFont="1">
      <alignment horizontal="center" vertical="bottom"/>
    </xf>
    <xf borderId="20" fillId="6" fontId="7" numFmtId="0" xfId="0" applyAlignment="1" applyBorder="1" applyFill="1" applyFont="1">
      <alignment vertical="bottom"/>
    </xf>
    <xf borderId="20" fillId="4" fontId="10" numFmtId="0" xfId="0" applyAlignment="1" applyBorder="1" applyFont="1">
      <alignment horizontal="center" vertical="bottom"/>
    </xf>
    <xf borderId="20" fillId="4" fontId="7" numFmtId="0" xfId="0" applyAlignment="1" applyBorder="1" applyFont="1">
      <alignment vertical="bottom"/>
    </xf>
    <xf borderId="20" fillId="6" fontId="7" numFmtId="0" xfId="0" applyAlignment="1" applyBorder="1" applyFont="1">
      <alignment vertical="bottom"/>
    </xf>
    <xf borderId="17" fillId="7" fontId="8" numFmtId="0" xfId="0" applyAlignment="1" applyBorder="1" applyFill="1" applyFont="1">
      <alignment horizontal="center" vertical="bottom"/>
    </xf>
    <xf borderId="17" fillId="3" fontId="11" numFmtId="0" xfId="0" applyAlignment="1" applyBorder="1" applyFont="1">
      <alignment horizontal="center" vertical="bottom"/>
    </xf>
    <xf borderId="17" fillId="4" fontId="11" numFmtId="0" xfId="0" applyAlignment="1" applyBorder="1" applyFont="1">
      <alignment horizontal="center" vertical="bottom"/>
    </xf>
    <xf borderId="18" fillId="7" fontId="7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8" fillId="3" fontId="12" numFmtId="0" xfId="0" applyAlignment="1" applyBorder="1" applyFont="1">
      <alignment vertical="bottom"/>
    </xf>
    <xf borderId="18" fillId="3" fontId="13" numFmtId="0" xfId="0" applyAlignment="1" applyBorder="1" applyFont="1">
      <alignment vertical="bottom"/>
    </xf>
    <xf borderId="18" fillId="4" fontId="12" numFmtId="0" xfId="0" applyAlignment="1" applyBorder="1" applyFont="1">
      <alignment vertical="bottom"/>
    </xf>
    <xf borderId="18" fillId="4" fontId="13" numFmtId="0" xfId="0" applyAlignment="1" applyBorder="1" applyFont="1">
      <alignment vertical="bottom"/>
    </xf>
    <xf borderId="20" fillId="7" fontId="10" numFmtId="0" xfId="0" applyAlignment="1" applyBorder="1" applyFont="1">
      <alignment horizontal="center" vertical="bottom"/>
    </xf>
    <xf borderId="20" fillId="7" fontId="7" numFmtId="0" xfId="0" applyAlignment="1" applyBorder="1" applyFont="1">
      <alignment vertical="bottom"/>
    </xf>
    <xf borderId="20" fillId="0" fontId="14" numFmtId="0" xfId="0" applyAlignment="1" applyBorder="1" applyFont="1">
      <alignment horizontal="center" vertical="bottom"/>
    </xf>
    <xf borderId="20" fillId="6" fontId="12" numFmtId="0" xfId="0" applyAlignment="1" applyBorder="1" applyFont="1">
      <alignment vertical="bottom"/>
    </xf>
    <xf borderId="20" fillId="4" fontId="14" numFmtId="0" xfId="0" applyAlignment="1" applyBorder="1" applyFont="1">
      <alignment horizontal="center" vertical="bottom"/>
    </xf>
    <xf borderId="20" fillId="4" fontId="12" numFmtId="0" xfId="0" applyAlignment="1" applyBorder="1" applyFont="1">
      <alignment vertical="bottom"/>
    </xf>
    <xf borderId="20" fillId="7" fontId="10" numFmtId="0" xfId="0" applyAlignment="1" applyBorder="1" applyFont="1">
      <alignment horizontal="center" vertical="bottom"/>
    </xf>
    <xf borderId="20" fillId="7" fontId="7" numFmtId="0" xfId="0" applyAlignment="1" applyBorder="1" applyFont="1">
      <alignment vertical="bottom"/>
    </xf>
    <xf borderId="20" fillId="0" fontId="14" numFmtId="0" xfId="0" applyAlignment="1" applyBorder="1" applyFont="1">
      <alignment horizontal="center" vertical="bottom"/>
    </xf>
    <xf borderId="20" fillId="6" fontId="12" numFmtId="0" xfId="0" applyAlignment="1" applyBorder="1" applyFont="1">
      <alignment vertical="bottom"/>
    </xf>
    <xf borderId="20" fillId="0" fontId="12" numFmtId="0" xfId="0" applyAlignment="1" applyBorder="1" applyFont="1">
      <alignment horizontal="center" vertical="bottom"/>
    </xf>
    <xf borderId="20" fillId="0" fontId="12" numFmtId="0" xfId="0" applyAlignment="1" applyBorder="1" applyFont="1">
      <alignment vertical="bottom"/>
    </xf>
    <xf borderId="20" fillId="0" fontId="12" numFmtId="0" xfId="0" applyAlignment="1" applyBorder="1" applyFont="1">
      <alignment vertical="bottom"/>
    </xf>
    <xf borderId="20" fillId="5" fontId="14" numFmtId="0" xfId="0" applyAlignment="1" applyBorder="1" applyFont="1">
      <alignment horizontal="center" vertical="bottom"/>
    </xf>
    <xf borderId="20" fillId="5" fontId="12" numFmtId="0" xfId="0" applyAlignment="1" applyBorder="1" applyFont="1">
      <alignment vertical="bottom"/>
    </xf>
    <xf borderId="22" fillId="0" fontId="7" numFmtId="0" xfId="0" applyAlignment="1" applyBorder="1" applyFont="1">
      <alignment vertical="bottom"/>
    </xf>
    <xf borderId="23" fillId="0" fontId="7" numFmtId="0" xfId="0" applyAlignment="1" applyBorder="1" applyFont="1">
      <alignment readingOrder="0" vertical="bottom"/>
    </xf>
    <xf borderId="23" fillId="0" fontId="7" numFmtId="0" xfId="0" applyAlignment="1" applyBorder="1" applyFont="1">
      <alignment vertical="bottom"/>
    </xf>
    <xf borderId="17" fillId="3" fontId="11" numFmtId="0" xfId="0" applyAlignment="1" applyBorder="1" applyFont="1">
      <alignment horizontal="center" readingOrder="0" vertical="bottom"/>
    </xf>
    <xf borderId="17" fillId="3" fontId="8" numFmtId="0" xfId="0" applyAlignment="1" applyBorder="1" applyFont="1">
      <alignment horizontal="center" readingOrder="0" vertical="bottom"/>
    </xf>
    <xf borderId="17" fillId="4" fontId="8" numFmtId="0" xfId="0" applyAlignment="1" applyBorder="1" applyFont="1">
      <alignment horizontal="center" readingOrder="0" vertical="bottom"/>
    </xf>
    <xf borderId="13" fillId="4" fontId="7" numFmtId="0" xfId="0" applyAlignment="1" applyBorder="1" applyFont="1">
      <alignment vertical="bottom"/>
    </xf>
    <xf borderId="20" fillId="6" fontId="12" numFmtId="0" xfId="0" applyAlignment="1" applyBorder="1" applyFont="1">
      <alignment horizontal="center" vertical="bottom"/>
    </xf>
    <xf borderId="21" fillId="4" fontId="7" numFmtId="0" xfId="0" applyAlignment="1" applyBorder="1" applyFont="1">
      <alignment vertical="bottom"/>
    </xf>
    <xf borderId="17" fillId="4" fontId="11" numFmtId="0" xfId="0" applyAlignment="1" applyBorder="1" applyFont="1">
      <alignment horizontal="center" readingOrder="0" vertical="bottom"/>
    </xf>
    <xf borderId="20" fillId="4" fontId="12" numFmtId="0" xfId="0" applyAlignment="1" applyBorder="1" applyFont="1">
      <alignment horizontal="center" vertical="bottom"/>
    </xf>
    <xf borderId="20" fillId="4" fontId="14" numFmtId="0" xfId="0" applyAlignment="1" applyBorder="1" applyFont="1">
      <alignment horizontal="center" vertical="bottom"/>
    </xf>
    <xf borderId="20" fillId="4" fontId="12" numFmtId="0" xfId="0" applyAlignment="1" applyBorder="1" applyFont="1">
      <alignment vertical="bottom"/>
    </xf>
    <xf borderId="21" fillId="4" fontId="7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antiago.acosta@bue.edu.a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hidden="1" min="3" max="5" width="12.63"/>
  </cols>
  <sheetData>
    <row r="1">
      <c r="A1" s="1" t="s">
        <v>0</v>
      </c>
      <c r="B1" s="2"/>
      <c r="C1" s="3" t="s">
        <v>1</v>
      </c>
      <c r="F1" s="1" t="s">
        <v>2</v>
      </c>
    </row>
    <row r="2">
      <c r="A2" s="4" t="str">
        <f>IFERROR(__xludf.DUMMYFUNCTION("FILTER(IMPORTRANGE(""https://docs.google.com/spreadsheets/d/15dlsGjl2XGTDjUKVQ6z-FlGoR1-qw3Xobs58tqv9ZHk/edit#gid=1760108466"", ""rtas!C2:G""),IMPORTRANGE(""https://docs.google.com/spreadsheets/d/15dlsGjl2XGTDjUKVQ6z-FlGoR1-qw3Xobs58tqv9ZHk/edit#gid=17601"&amp;"08466"", ""rtas!F2:F"") =24138)"),"Javier")</f>
        <v>Javier</v>
      </c>
      <c r="B2" s="2" t="str">
        <f>IFERROR(__xludf.DUMMYFUNCTION("""COMPUTED_VALUE"""),"Furlani")</f>
        <v>Furlani</v>
      </c>
      <c r="C2" s="4">
        <f>IFERROR(__xludf.DUMMYFUNCTION("""COMPUTED_VALUE"""),2.2550135E7)</f>
        <v>22550135</v>
      </c>
      <c r="D2" s="4">
        <f>IFERROR(__xludf.DUMMYFUNCTION("""COMPUTED_VALUE"""),24138.0)</f>
        <v>24138</v>
      </c>
      <c r="E2" s="4"/>
      <c r="F2" s="5" t="s">
        <v>3</v>
      </c>
      <c r="G2" s="5" t="s">
        <v>4</v>
      </c>
      <c r="H2" s="5" t="s">
        <v>5</v>
      </c>
      <c r="I2" s="5" t="s">
        <v>6</v>
      </c>
      <c r="J2" s="5"/>
    </row>
    <row r="3">
      <c r="A3" s="4" t="str">
        <f>IFERROR(__xludf.DUMMYFUNCTION("""COMPUTED_VALUE"""),"Jesus")</f>
        <v>Jesus</v>
      </c>
      <c r="B3" s="2" t="str">
        <f>IFERROR(__xludf.DUMMYFUNCTION("""COMPUTED_VALUE"""),"Omaña")</f>
        <v>Omaña</v>
      </c>
      <c r="C3" s="4">
        <f>IFERROR(__xludf.DUMMYFUNCTION("""COMPUTED_VALUE"""),9.6060163E7)</f>
        <v>96060163</v>
      </c>
      <c r="D3" s="4">
        <f>IFERROR(__xludf.DUMMYFUNCTION("""COMPUTED_VALUE"""),24138.0)</f>
        <v>24138</v>
      </c>
      <c r="E3" s="4">
        <f>IFERROR(__xludf.DUMMYFUNCTION("""COMPUTED_VALUE"""),10.0)</f>
        <v>10</v>
      </c>
      <c r="F3" s="6">
        <f>COUNTIF($E$2:$E1000, "=01")</f>
        <v>4</v>
      </c>
      <c r="G3" s="6">
        <f>COUNTIF($E$2:$E1000, "=02")</f>
        <v>4</v>
      </c>
      <c r="H3" s="6">
        <f>COUNTIF($E$2:$E1000, "=03")</f>
        <v>4</v>
      </c>
      <c r="I3" s="6">
        <f>COUNTIF($E$2:$E1000, "=04")</f>
        <v>4</v>
      </c>
      <c r="J3" s="6"/>
    </row>
    <row r="4">
      <c r="A4" s="4" t="str">
        <f>IFERROR(__xludf.DUMMYFUNCTION("""COMPUTED_VALUE"""),"Larry")</f>
        <v>Larry</v>
      </c>
      <c r="B4" s="2" t="str">
        <f>IFERROR(__xludf.DUMMYFUNCTION("""COMPUTED_VALUE"""),"González ")</f>
        <v>González </v>
      </c>
      <c r="C4" s="4">
        <f>IFERROR(__xludf.DUMMYFUNCTION("""COMPUTED_VALUE"""),9.5985143E7)</f>
        <v>95985143</v>
      </c>
      <c r="D4" s="4">
        <f>IFERROR(__xludf.DUMMYFUNCTION("""COMPUTED_VALUE"""),24138.0)</f>
        <v>24138</v>
      </c>
      <c r="E4" s="4">
        <f>IFERROR(__xludf.DUMMYFUNCTION("""COMPUTED_VALUE"""),10.0)</f>
        <v>10</v>
      </c>
      <c r="F4" s="5" t="s">
        <v>7</v>
      </c>
      <c r="G4" s="5" t="s">
        <v>8</v>
      </c>
      <c r="H4" s="5" t="s">
        <v>9</v>
      </c>
      <c r="I4" s="5" t="s">
        <v>10</v>
      </c>
    </row>
    <row r="5">
      <c r="A5" s="4" t="str">
        <f>IFERROR(__xludf.DUMMYFUNCTION("""COMPUTED_VALUE"""),"Antonela Paula Beatríz ")</f>
        <v>Antonela Paula Beatríz </v>
      </c>
      <c r="B5" s="2" t="str">
        <f>IFERROR(__xludf.DUMMYFUNCTION("""COMPUTED_VALUE"""),"Testa")</f>
        <v>Testa</v>
      </c>
      <c r="C5" s="4">
        <f>IFERROR(__xludf.DUMMYFUNCTION("""COMPUTED_VALUE"""),3.6907343E7)</f>
        <v>36907343</v>
      </c>
      <c r="D5" s="4">
        <f>IFERROR(__xludf.DUMMYFUNCTION("""COMPUTED_VALUE"""),24138.0)</f>
        <v>24138</v>
      </c>
      <c r="E5" s="4">
        <f>IFERROR(__xludf.DUMMYFUNCTION("""COMPUTED_VALUE"""),12.0)</f>
        <v>12</v>
      </c>
      <c r="F5" s="6">
        <f>COUNTIF($E$2:$E1000, "=07")</f>
        <v>4</v>
      </c>
      <c r="G5" s="6">
        <f>COUNTIF($E$2:$E1000, "=08")</f>
        <v>4</v>
      </c>
      <c r="H5" s="6">
        <f>COUNTIF($E$2:$E1000, "=09")</f>
        <v>4</v>
      </c>
      <c r="I5" s="6">
        <f>COUNTIF($E$2:$E1000, "=10")</f>
        <v>4</v>
      </c>
    </row>
    <row r="6">
      <c r="A6" s="4" t="str">
        <f>IFERROR(__xludf.DUMMYFUNCTION("""COMPUTED_VALUE"""),"Matias ")</f>
        <v>Matias </v>
      </c>
      <c r="B6" s="2" t="str">
        <f>IFERROR(__xludf.DUMMYFUNCTION("""COMPUTED_VALUE"""),"Santillan ")</f>
        <v>Santillan </v>
      </c>
      <c r="C6" s="4">
        <f>IFERROR(__xludf.DUMMYFUNCTION("""COMPUTED_VALUE"""),4.2621723E7)</f>
        <v>42621723</v>
      </c>
      <c r="D6" s="4">
        <f>IFERROR(__xludf.DUMMYFUNCTION("""COMPUTED_VALUE"""),24138.0)</f>
        <v>24138</v>
      </c>
      <c r="E6" s="4">
        <f>IFERROR(__xludf.DUMMYFUNCTION("""COMPUTED_VALUE"""),12.0)</f>
        <v>12</v>
      </c>
      <c r="F6" s="5" t="s">
        <v>11</v>
      </c>
      <c r="G6" s="5" t="s">
        <v>12</v>
      </c>
      <c r="H6" s="5" t="s">
        <v>13</v>
      </c>
      <c r="I6" s="5" t="s">
        <v>14</v>
      </c>
      <c r="J6" s="5"/>
    </row>
    <row r="7">
      <c r="A7" s="4" t="str">
        <f>IFERROR(__xludf.DUMMYFUNCTION("""COMPUTED_VALUE"""),"Lucas")</f>
        <v>Lucas</v>
      </c>
      <c r="B7" s="2" t="str">
        <f>IFERROR(__xludf.DUMMYFUNCTION("""COMPUTED_VALUE"""),"Rivero")</f>
        <v>Rivero</v>
      </c>
      <c r="C7" s="4">
        <f>IFERROR(__xludf.DUMMYFUNCTION("""COMPUTED_VALUE"""),3.78871407E8)</f>
        <v>378871407</v>
      </c>
      <c r="D7" s="4">
        <f>IFERROR(__xludf.DUMMYFUNCTION("""COMPUTED_VALUE"""),24138.0)</f>
        <v>24138</v>
      </c>
      <c r="E7" s="4">
        <f>IFERROR(__xludf.DUMMYFUNCTION("""COMPUTED_VALUE"""),12.0)</f>
        <v>12</v>
      </c>
      <c r="F7" s="6">
        <f>COUNTIF($E$2:$E1000, "=12")</f>
        <v>4</v>
      </c>
      <c r="G7" s="6">
        <f>COUNTIF($E$2:$E1000, "=13")</f>
        <v>4</v>
      </c>
      <c r="H7" s="6">
        <f>COUNTIF($E$2:$E1000, "=14")</f>
        <v>4</v>
      </c>
      <c r="I7" s="6">
        <f>COUNTIF($E$2:$E1000, "=16")</f>
        <v>4</v>
      </c>
      <c r="J7" s="6"/>
    </row>
    <row r="8">
      <c r="A8" s="4" t="str">
        <f>IFERROR(__xludf.DUMMYFUNCTION("""COMPUTED_VALUE"""),"Franco")</f>
        <v>Franco</v>
      </c>
      <c r="B8" s="2" t="str">
        <f>IFERROR(__xludf.DUMMYFUNCTION("""COMPUTED_VALUE"""),"Ulzurrun")</f>
        <v>Ulzurrun</v>
      </c>
      <c r="C8" s="4">
        <f>IFERROR(__xludf.DUMMYFUNCTION("""COMPUTED_VALUE"""),3.8998622E7)</f>
        <v>38998622</v>
      </c>
      <c r="D8" s="4">
        <f>IFERROR(__xludf.DUMMYFUNCTION("""COMPUTED_VALUE"""),24138.0)</f>
        <v>24138</v>
      </c>
      <c r="E8" s="4">
        <f>IFERROR(__xludf.DUMMYFUNCTION("""COMPUTED_VALUE"""),12.0)</f>
        <v>12</v>
      </c>
      <c r="F8" s="5" t="s">
        <v>15</v>
      </c>
      <c r="G8" s="5" t="s">
        <v>16</v>
      </c>
      <c r="H8" s="7" t="s">
        <v>17</v>
      </c>
      <c r="I8" s="7" t="s">
        <v>18</v>
      </c>
      <c r="J8" s="5"/>
    </row>
    <row r="9">
      <c r="A9" s="4" t="str">
        <f>IFERROR(__xludf.DUMMYFUNCTION("""COMPUTED_VALUE"""),"María Emilia ")</f>
        <v>María Emilia </v>
      </c>
      <c r="B9" s="2" t="str">
        <f>IFERROR(__xludf.DUMMYFUNCTION("""COMPUTED_VALUE"""),"Saenz")</f>
        <v>Saenz</v>
      </c>
      <c r="C9" s="4">
        <f>IFERROR(__xludf.DUMMYFUNCTION("""COMPUTED_VALUE"""),3.9850123E7)</f>
        <v>39850123</v>
      </c>
      <c r="D9" s="4">
        <f>IFERROR(__xludf.DUMMYFUNCTION("""COMPUTED_VALUE"""),24138.0)</f>
        <v>24138</v>
      </c>
      <c r="E9" s="4">
        <f>IFERROR(__xludf.DUMMYFUNCTION("""COMPUTED_VALUE"""),13.0)</f>
        <v>13</v>
      </c>
      <c r="F9" s="6">
        <f>COUNTIF($E$2:$E1000, "=17")</f>
        <v>4</v>
      </c>
      <c r="G9" s="6">
        <f>COUNTIF($E$2:$E1000, "=19")</f>
        <v>4</v>
      </c>
      <c r="H9" s="6">
        <f>COUNTIF($E$2:$E1000, "=21")</f>
        <v>4</v>
      </c>
      <c r="I9" s="6">
        <f>COUNTIF($E$2:$E1000, "=22")</f>
        <v>4</v>
      </c>
      <c r="J9" s="6"/>
    </row>
    <row r="10">
      <c r="A10" s="4" t="str">
        <f>IFERROR(__xludf.DUMMYFUNCTION("""COMPUTED_VALUE"""),"Cesar")</f>
        <v>Cesar</v>
      </c>
      <c r="B10" s="2" t="str">
        <f>IFERROR(__xludf.DUMMYFUNCTION("""COMPUTED_VALUE"""),"Robledo")</f>
        <v>Robledo</v>
      </c>
      <c r="C10" s="4">
        <f>IFERROR(__xludf.DUMMYFUNCTION("""COMPUTED_VALUE"""),3.2000697E7)</f>
        <v>32000697</v>
      </c>
      <c r="D10" s="4">
        <f>IFERROR(__xludf.DUMMYFUNCTION("""COMPUTED_VALUE"""),24138.0)</f>
        <v>24138</v>
      </c>
      <c r="E10" s="4">
        <f>IFERROR(__xludf.DUMMYFUNCTION("""COMPUTED_VALUE"""),13.0)</f>
        <v>13</v>
      </c>
      <c r="H10" s="7"/>
      <c r="I10" s="7"/>
      <c r="J10" s="7"/>
    </row>
    <row r="11">
      <c r="A11" s="4" t="str">
        <f>IFERROR(__xludf.DUMMYFUNCTION("""COMPUTED_VALUE"""),"Lucas")</f>
        <v>Lucas</v>
      </c>
      <c r="B11" s="2" t="str">
        <f>IFERROR(__xludf.DUMMYFUNCTION("""COMPUTED_VALUE"""),"Amarillo ")</f>
        <v>Amarillo </v>
      </c>
      <c r="C11" s="4">
        <f>IFERROR(__xludf.DUMMYFUNCTION("""COMPUTED_VALUE"""),2.9768803E7)</f>
        <v>29768803</v>
      </c>
      <c r="D11" s="4">
        <f>IFERROR(__xludf.DUMMYFUNCTION("""COMPUTED_VALUE"""),24138.0)</f>
        <v>24138</v>
      </c>
      <c r="E11" s="4">
        <f>IFERROR(__xludf.DUMMYFUNCTION("""COMPUTED_VALUE"""),13.0)</f>
        <v>13</v>
      </c>
      <c r="H11" s="6"/>
      <c r="I11" s="6"/>
      <c r="J11" s="6"/>
    </row>
    <row r="12">
      <c r="A12" s="4" t="str">
        <f>IFERROR(__xludf.DUMMYFUNCTION("""COMPUTED_VALUE"""),"damian")</f>
        <v>damian</v>
      </c>
      <c r="B12" s="2" t="str">
        <f>IFERROR(__xludf.DUMMYFUNCTION("""COMPUTED_VALUE"""),"coronel burgos")</f>
        <v>coronel burgos</v>
      </c>
      <c r="C12" s="4">
        <f>IFERROR(__xludf.DUMMYFUNCTION("""COMPUTED_VALUE"""),3.7191634E7)</f>
        <v>37191634</v>
      </c>
      <c r="D12" s="4">
        <f>IFERROR(__xludf.DUMMYFUNCTION("""COMPUTED_VALUE"""),24138.0)</f>
        <v>24138</v>
      </c>
      <c r="E12" s="4">
        <f>IFERROR(__xludf.DUMMYFUNCTION("""COMPUTED_VALUE"""),13.0)</f>
        <v>13</v>
      </c>
      <c r="F12" s="7"/>
      <c r="G12" s="7"/>
      <c r="H12" s="7"/>
      <c r="I12" s="7"/>
      <c r="J12" s="7"/>
    </row>
    <row r="13">
      <c r="A13" s="4" t="str">
        <f>IFERROR(__xludf.DUMMYFUNCTION("""COMPUTED_VALUE"""),"Lucas ")</f>
        <v>Lucas </v>
      </c>
      <c r="B13" s="2" t="str">
        <f>IFERROR(__xludf.DUMMYFUNCTION("""COMPUTED_VALUE"""),"Diez Peña ")</f>
        <v>Diez Peña </v>
      </c>
      <c r="C13" s="4">
        <f>IFERROR(__xludf.DUMMYFUNCTION("""COMPUTED_VALUE"""),3.4798539E7)</f>
        <v>34798539</v>
      </c>
      <c r="D13" s="4">
        <f>IFERROR(__xludf.DUMMYFUNCTION("""COMPUTED_VALUE"""),24138.0)</f>
        <v>24138</v>
      </c>
      <c r="E13" s="4">
        <f>IFERROR(__xludf.DUMMYFUNCTION("""COMPUTED_VALUE"""),14.0)</f>
        <v>14</v>
      </c>
      <c r="F13" s="6"/>
      <c r="G13" s="6"/>
      <c r="H13" s="6"/>
      <c r="I13" s="6"/>
      <c r="J13" s="6"/>
    </row>
    <row r="14">
      <c r="A14" s="4" t="str">
        <f>IFERROR(__xludf.DUMMYFUNCTION("""COMPUTED_VALUE"""),"Constanza")</f>
        <v>Constanza</v>
      </c>
      <c r="B14" s="2" t="str">
        <f>IFERROR(__xludf.DUMMYFUNCTION("""COMPUTED_VALUE"""),"Ferreyra")</f>
        <v>Ferreyra</v>
      </c>
      <c r="C14" s="4">
        <f>IFERROR(__xludf.DUMMYFUNCTION("""COMPUTED_VALUE"""),4.0246197E7)</f>
        <v>40246197</v>
      </c>
      <c r="D14" s="4">
        <f>IFERROR(__xludf.DUMMYFUNCTION("""COMPUTED_VALUE"""),24138.0)</f>
        <v>24138</v>
      </c>
      <c r="E14" s="4">
        <f>IFERROR(__xludf.DUMMYFUNCTION("""COMPUTED_VALUE"""),14.0)</f>
        <v>14</v>
      </c>
    </row>
    <row r="15">
      <c r="A15" s="4" t="str">
        <f>IFERROR(__xludf.DUMMYFUNCTION("""COMPUTED_VALUE"""),"Jose Alfredo")</f>
        <v>Jose Alfredo</v>
      </c>
      <c r="B15" s="2" t="str">
        <f>IFERROR(__xludf.DUMMYFUNCTION("""COMPUTED_VALUE"""),"Perez Angola")</f>
        <v>Perez Angola</v>
      </c>
      <c r="C15" s="4">
        <f>IFERROR(__xludf.DUMMYFUNCTION("""COMPUTED_VALUE"""),9.561546E7)</f>
        <v>95615460</v>
      </c>
      <c r="D15" s="4">
        <f>IFERROR(__xludf.DUMMYFUNCTION("""COMPUTED_VALUE"""),24138.0)</f>
        <v>24138</v>
      </c>
      <c r="E15" s="4">
        <f>IFERROR(__xludf.DUMMYFUNCTION("""COMPUTED_VALUE"""),14.0)</f>
        <v>14</v>
      </c>
      <c r="F15" s="8" t="s">
        <v>19</v>
      </c>
      <c r="G15" s="9"/>
      <c r="H15" s="9"/>
      <c r="I15" s="9"/>
      <c r="J15" s="10"/>
    </row>
    <row r="16">
      <c r="A16" s="4" t="str">
        <f>IFERROR(__xludf.DUMMYFUNCTION("""COMPUTED_VALUE"""),"Gabriel Andres")</f>
        <v>Gabriel Andres</v>
      </c>
      <c r="B16" s="2" t="str">
        <f>IFERROR(__xludf.DUMMYFUNCTION("""COMPUTED_VALUE"""),"Sobrino")</f>
        <v>Sobrino</v>
      </c>
      <c r="C16" s="4">
        <f>IFERROR(__xludf.DUMMYFUNCTION("""COMPUTED_VALUE"""),4.0136828E7)</f>
        <v>40136828</v>
      </c>
      <c r="D16" s="4">
        <f>IFERROR(__xludf.DUMMYFUNCTION("""COMPUTED_VALUE"""),24138.0)</f>
        <v>24138</v>
      </c>
      <c r="E16" s="4">
        <f>IFERROR(__xludf.DUMMYFUNCTION("""COMPUTED_VALUE"""),14.0)</f>
        <v>14</v>
      </c>
      <c r="F16" s="11"/>
      <c r="G16" s="12"/>
      <c r="H16" s="12"/>
      <c r="I16" s="12"/>
      <c r="J16" s="13"/>
    </row>
    <row r="17">
      <c r="A17" s="4" t="str">
        <f>IFERROR(__xludf.DUMMYFUNCTION("""COMPUTED_VALUE"""),"Gonzalo")</f>
        <v>Gonzalo</v>
      </c>
      <c r="B17" s="2" t="str">
        <f>IFERROR(__xludf.DUMMYFUNCTION("""COMPUTED_VALUE"""),"Darrigrand")</f>
        <v>Darrigrand</v>
      </c>
      <c r="C17" s="4">
        <f>IFERROR(__xludf.DUMMYFUNCTION("""COMPUTED_VALUE"""),2.6088923E7)</f>
        <v>26088923</v>
      </c>
      <c r="D17" s="4">
        <f>IFERROR(__xludf.DUMMYFUNCTION("""COMPUTED_VALUE"""),24138.0)</f>
        <v>24138</v>
      </c>
      <c r="E17" s="4">
        <f>IFERROR(__xludf.DUMMYFUNCTION("""COMPUTED_VALUE"""),16.0)</f>
        <v>16</v>
      </c>
    </row>
    <row r="18">
      <c r="A18" s="4" t="str">
        <f>IFERROR(__xludf.DUMMYFUNCTION("""COMPUTED_VALUE"""),"Matias")</f>
        <v>Matias</v>
      </c>
      <c r="B18" s="2" t="str">
        <f>IFERROR(__xludf.DUMMYFUNCTION("""COMPUTED_VALUE"""),"Bobbio")</f>
        <v>Bobbio</v>
      </c>
      <c r="C18" s="4">
        <f>IFERROR(__xludf.DUMMYFUNCTION("""COMPUTED_VALUE"""),3.0051432E7)</f>
        <v>30051432</v>
      </c>
      <c r="D18" s="4">
        <f>IFERROR(__xludf.DUMMYFUNCTION("""COMPUTED_VALUE"""),24138.0)</f>
        <v>24138</v>
      </c>
      <c r="E18" s="4">
        <f>IFERROR(__xludf.DUMMYFUNCTION("""COMPUTED_VALUE"""),16.0)</f>
        <v>16</v>
      </c>
      <c r="F18" s="14" t="s">
        <v>20</v>
      </c>
      <c r="G18" s="15"/>
      <c r="H18" s="15"/>
      <c r="I18" s="15"/>
      <c r="J18" s="15"/>
    </row>
    <row r="19">
      <c r="A19" s="4" t="str">
        <f>IFERROR(__xludf.DUMMYFUNCTION("""COMPUTED_VALUE"""),"Daniela Paola")</f>
        <v>Daniela Paola</v>
      </c>
      <c r="B19" s="2" t="str">
        <f>IFERROR(__xludf.DUMMYFUNCTION("""COMPUTED_VALUE"""),"Roldan Viani")</f>
        <v>Roldan Viani</v>
      </c>
      <c r="C19" s="4">
        <f>IFERROR(__xludf.DUMMYFUNCTION("""COMPUTED_VALUE"""),2.4946172E7)</f>
        <v>24946172</v>
      </c>
      <c r="D19" s="4">
        <f>IFERROR(__xludf.DUMMYFUNCTION("""COMPUTED_VALUE"""),24138.0)</f>
        <v>24138</v>
      </c>
      <c r="E19" s="4">
        <f>IFERROR(__xludf.DUMMYFUNCTION("""COMPUTED_VALUE"""),16.0)</f>
        <v>16</v>
      </c>
    </row>
    <row r="20">
      <c r="A20" s="4" t="str">
        <f>IFERROR(__xludf.DUMMYFUNCTION("""COMPUTED_VALUE"""),"Andres ")</f>
        <v>Andres </v>
      </c>
      <c r="B20" s="2" t="str">
        <f>IFERROR(__xludf.DUMMYFUNCTION("""COMPUTED_VALUE"""),"Liporace")</f>
        <v>Liporace</v>
      </c>
      <c r="C20" s="4">
        <f>IFERROR(__xludf.DUMMYFUNCTION("""COMPUTED_VALUE"""),3.8426027E7)</f>
        <v>38426027</v>
      </c>
      <c r="D20" s="4">
        <f>IFERROR(__xludf.DUMMYFUNCTION("""COMPUTED_VALUE"""),24138.0)</f>
        <v>24138</v>
      </c>
      <c r="E20" s="4">
        <f>IFERROR(__xludf.DUMMYFUNCTION("""COMPUTED_VALUE"""),16.0)</f>
        <v>16</v>
      </c>
      <c r="F20" s="16" t="s">
        <v>21</v>
      </c>
      <c r="G20" s="17">
        <f>COUNTA(A2:A1000)</f>
        <v>66</v>
      </c>
    </row>
    <row r="21">
      <c r="A21" s="4" t="str">
        <f>IFERROR(__xludf.DUMMYFUNCTION("""COMPUTED_VALUE"""),"Pablo")</f>
        <v>Pablo</v>
      </c>
      <c r="B21" s="2" t="str">
        <f>IFERROR(__xludf.DUMMYFUNCTION("""COMPUTED_VALUE"""),"Velasco")</f>
        <v>Velasco</v>
      </c>
      <c r="C21" s="4">
        <f>IFERROR(__xludf.DUMMYFUNCTION("""COMPUTED_VALUE"""),3.5184235E7)</f>
        <v>35184235</v>
      </c>
      <c r="D21" s="4">
        <f>IFERROR(__xludf.DUMMYFUNCTION("""COMPUTED_VALUE"""),24138.0)</f>
        <v>24138</v>
      </c>
      <c r="E21" s="4">
        <f>IFERROR(__xludf.DUMMYFUNCTION("""COMPUTED_VALUE"""),17.0)</f>
        <v>17</v>
      </c>
    </row>
    <row r="22">
      <c r="A22" s="4" t="str">
        <f>IFERROR(__xludf.DUMMYFUNCTION("""COMPUTED_VALUE"""),"Franco")</f>
        <v>Franco</v>
      </c>
      <c r="B22" s="2" t="str">
        <f>IFERROR(__xludf.DUMMYFUNCTION("""COMPUTED_VALUE"""),"Rasia")</f>
        <v>Rasia</v>
      </c>
      <c r="C22" s="4">
        <f>IFERROR(__xludf.DUMMYFUNCTION("""COMPUTED_VALUE"""),3.3524922E7)</f>
        <v>33524922</v>
      </c>
      <c r="D22" s="4">
        <f>IFERROR(__xludf.DUMMYFUNCTION("""COMPUTED_VALUE"""),24138.0)</f>
        <v>24138</v>
      </c>
      <c r="E22" s="4">
        <f>IFERROR(__xludf.DUMMYFUNCTION("""COMPUTED_VALUE"""),17.0)</f>
        <v>17</v>
      </c>
    </row>
    <row r="23">
      <c r="A23" s="4" t="str">
        <f>IFERROR(__xludf.DUMMYFUNCTION("""COMPUTED_VALUE"""),"Karina")</f>
        <v>Karina</v>
      </c>
      <c r="B23" s="2" t="str">
        <f>IFERROR(__xludf.DUMMYFUNCTION("""COMPUTED_VALUE"""),"Crognale")</f>
        <v>Crognale</v>
      </c>
      <c r="C23" s="4">
        <f>IFERROR(__xludf.DUMMYFUNCTION("""COMPUTED_VALUE"""),3.6689243E7)</f>
        <v>36689243</v>
      </c>
      <c r="D23" s="4">
        <f>IFERROR(__xludf.DUMMYFUNCTION("""COMPUTED_VALUE"""),24138.0)</f>
        <v>24138</v>
      </c>
      <c r="E23" s="4">
        <f>IFERROR(__xludf.DUMMYFUNCTION("""COMPUTED_VALUE"""),17.0)</f>
        <v>17</v>
      </c>
    </row>
    <row r="24">
      <c r="A24" s="4" t="str">
        <f>IFERROR(__xludf.DUMMYFUNCTION("""COMPUTED_VALUE"""),"German Lautaro ")</f>
        <v>German Lautaro </v>
      </c>
      <c r="B24" s="2" t="str">
        <f>IFERROR(__xludf.DUMMYFUNCTION("""COMPUTED_VALUE"""),"Sanchez")</f>
        <v>Sanchez</v>
      </c>
      <c r="C24" s="4">
        <f>IFERROR(__xludf.DUMMYFUNCTION("""COMPUTED_VALUE"""),3.8757714E7)</f>
        <v>38757714</v>
      </c>
      <c r="D24" s="4">
        <f>IFERROR(__xludf.DUMMYFUNCTION("""COMPUTED_VALUE"""),24138.0)</f>
        <v>24138</v>
      </c>
      <c r="E24" s="4">
        <f>IFERROR(__xludf.DUMMYFUNCTION("""COMPUTED_VALUE"""),17.0)</f>
        <v>17</v>
      </c>
    </row>
    <row r="25">
      <c r="A25" s="4" t="str">
        <f>IFERROR(__xludf.DUMMYFUNCTION("""COMPUTED_VALUE"""),"Lucio")</f>
        <v>Lucio</v>
      </c>
      <c r="B25" s="2" t="str">
        <f>IFERROR(__xludf.DUMMYFUNCTION("""COMPUTED_VALUE"""),"Alconchel")</f>
        <v>Alconchel</v>
      </c>
      <c r="C25" s="4">
        <f>IFERROR(__xludf.DUMMYFUNCTION("""COMPUTED_VALUE"""),4.2272418E7)</f>
        <v>42272418</v>
      </c>
      <c r="D25" s="4">
        <f>IFERROR(__xludf.DUMMYFUNCTION("""COMPUTED_VALUE"""),24138.0)</f>
        <v>24138</v>
      </c>
      <c r="E25" s="4">
        <f>IFERROR(__xludf.DUMMYFUNCTION("""COMPUTED_VALUE"""),19.0)</f>
        <v>19</v>
      </c>
    </row>
    <row r="26">
      <c r="A26" s="4" t="str">
        <f>IFERROR(__xludf.DUMMYFUNCTION("""COMPUTED_VALUE"""),"Eduardo")</f>
        <v>Eduardo</v>
      </c>
      <c r="B26" s="2" t="str">
        <f>IFERROR(__xludf.DUMMYFUNCTION("""COMPUTED_VALUE"""),"Pereyra")</f>
        <v>Pereyra</v>
      </c>
      <c r="C26" s="4">
        <f>IFERROR(__xludf.DUMMYFUNCTION("""COMPUTED_VALUE"""),2.2132041E7)</f>
        <v>22132041</v>
      </c>
      <c r="D26" s="4">
        <f>IFERROR(__xludf.DUMMYFUNCTION("""COMPUTED_VALUE"""),24138.0)</f>
        <v>24138</v>
      </c>
      <c r="E26" s="4">
        <f>IFERROR(__xludf.DUMMYFUNCTION("""COMPUTED_VALUE"""),19.0)</f>
        <v>19</v>
      </c>
    </row>
    <row r="27">
      <c r="A27" s="4" t="str">
        <f>IFERROR(__xludf.DUMMYFUNCTION("""COMPUTED_VALUE"""),"Lucas Miguel")</f>
        <v>Lucas Miguel</v>
      </c>
      <c r="B27" s="2" t="str">
        <f>IFERROR(__xludf.DUMMYFUNCTION("""COMPUTED_VALUE"""),"Díaz")</f>
        <v>Díaz</v>
      </c>
      <c r="C27" s="4">
        <f>IFERROR(__xludf.DUMMYFUNCTION("""COMPUTED_VALUE"""),4.2310573E7)</f>
        <v>42310573</v>
      </c>
      <c r="D27" s="4">
        <f>IFERROR(__xludf.DUMMYFUNCTION("""COMPUTED_VALUE"""),24138.0)</f>
        <v>24138</v>
      </c>
      <c r="E27" s="4">
        <f>IFERROR(__xludf.DUMMYFUNCTION("""COMPUTED_VALUE"""),19.0)</f>
        <v>19</v>
      </c>
    </row>
    <row r="28">
      <c r="A28" s="4" t="str">
        <f>IFERROR(__xludf.DUMMYFUNCTION("""COMPUTED_VALUE"""),"Facundo")</f>
        <v>Facundo</v>
      </c>
      <c r="B28" s="2" t="str">
        <f>IFERROR(__xludf.DUMMYFUNCTION("""COMPUTED_VALUE"""),"Conforti")</f>
        <v>Conforti</v>
      </c>
      <c r="C28" s="4">
        <f>IFERROR(__xludf.DUMMYFUNCTION("""COMPUTED_VALUE"""),4.2535351E7)</f>
        <v>42535351</v>
      </c>
      <c r="D28" s="4">
        <f>IFERROR(__xludf.DUMMYFUNCTION("""COMPUTED_VALUE"""),24138.0)</f>
        <v>24138</v>
      </c>
      <c r="E28" s="4">
        <f>IFERROR(__xludf.DUMMYFUNCTION("""COMPUTED_VALUE"""),19.0)</f>
        <v>19</v>
      </c>
    </row>
    <row r="29">
      <c r="A29" s="4" t="str">
        <f>IFERROR(__xludf.DUMMYFUNCTION("""COMPUTED_VALUE"""),"Luis Alberto")</f>
        <v>Luis Alberto</v>
      </c>
      <c r="B29" s="2" t="str">
        <f>IFERROR(__xludf.DUMMYFUNCTION("""COMPUTED_VALUE"""),"Amaison")</f>
        <v>Amaison</v>
      </c>
      <c r="C29" s="4">
        <f>IFERROR(__xludf.DUMMYFUNCTION("""COMPUTED_VALUE"""),3.3862661E7)</f>
        <v>33862661</v>
      </c>
      <c r="D29" s="4">
        <f>IFERROR(__xludf.DUMMYFUNCTION("""COMPUTED_VALUE"""),24138.0)</f>
        <v>24138</v>
      </c>
      <c r="E29" s="4">
        <f>IFERROR(__xludf.DUMMYFUNCTION("""COMPUTED_VALUE"""),21.0)</f>
        <v>21</v>
      </c>
    </row>
    <row r="30">
      <c r="A30" s="4" t="str">
        <f>IFERROR(__xludf.DUMMYFUNCTION("""COMPUTED_VALUE"""),"Guillermo Dario")</f>
        <v>Guillermo Dario</v>
      </c>
      <c r="B30" s="2" t="str">
        <f>IFERROR(__xludf.DUMMYFUNCTION("""COMPUTED_VALUE"""),"Arias")</f>
        <v>Arias</v>
      </c>
      <c r="C30" s="4">
        <f>IFERROR(__xludf.DUMMYFUNCTION("""COMPUTED_VALUE"""),3.948409E7)</f>
        <v>39484090</v>
      </c>
      <c r="D30" s="4">
        <f>IFERROR(__xludf.DUMMYFUNCTION("""COMPUTED_VALUE"""),24138.0)</f>
        <v>24138</v>
      </c>
      <c r="E30" s="4">
        <f>IFERROR(__xludf.DUMMYFUNCTION("""COMPUTED_VALUE"""),21.0)</f>
        <v>21</v>
      </c>
    </row>
    <row r="31">
      <c r="A31" s="4" t="str">
        <f>IFERROR(__xludf.DUMMYFUNCTION("""COMPUTED_VALUE"""),"Emilse")</f>
        <v>Emilse</v>
      </c>
      <c r="B31" s="2" t="str">
        <f>IFERROR(__xludf.DUMMYFUNCTION("""COMPUTED_VALUE"""),"Ferreyra")</f>
        <v>Ferreyra</v>
      </c>
      <c r="C31" s="4">
        <f>IFERROR(__xludf.DUMMYFUNCTION("""COMPUTED_VALUE"""),3.6140632E7)</f>
        <v>36140632</v>
      </c>
      <c r="D31" s="4">
        <f>IFERROR(__xludf.DUMMYFUNCTION("""COMPUTED_VALUE"""),24138.0)</f>
        <v>24138</v>
      </c>
      <c r="E31" s="4">
        <f>IFERROR(__xludf.DUMMYFUNCTION("""COMPUTED_VALUE"""),21.0)</f>
        <v>21</v>
      </c>
    </row>
    <row r="32">
      <c r="A32" s="4" t="str">
        <f>IFERROR(__xludf.DUMMYFUNCTION("""COMPUTED_VALUE"""),"Eduardo")</f>
        <v>Eduardo</v>
      </c>
      <c r="B32" s="2" t="str">
        <f>IFERROR(__xludf.DUMMYFUNCTION("""COMPUTED_VALUE"""),"Moreno")</f>
        <v>Moreno</v>
      </c>
      <c r="C32" s="4">
        <f>IFERROR(__xludf.DUMMYFUNCTION("""COMPUTED_VALUE"""),3.2714282E7)</f>
        <v>32714282</v>
      </c>
      <c r="D32" s="4">
        <f>IFERROR(__xludf.DUMMYFUNCTION("""COMPUTED_VALUE"""),24138.0)</f>
        <v>24138</v>
      </c>
      <c r="E32" s="4">
        <f>IFERROR(__xludf.DUMMYFUNCTION("""COMPUTED_VALUE"""),21.0)</f>
        <v>21</v>
      </c>
    </row>
    <row r="33">
      <c r="A33" s="4" t="str">
        <f>IFERROR(__xludf.DUMMYFUNCTION("""COMPUTED_VALUE"""),"fernando")</f>
        <v>fernando</v>
      </c>
      <c r="B33" s="2" t="str">
        <f>IFERROR(__xludf.DUMMYFUNCTION("""COMPUTED_VALUE"""),"pequeño magan")</f>
        <v>pequeño magan</v>
      </c>
      <c r="C33" s="4">
        <f>IFERROR(__xludf.DUMMYFUNCTION("""COMPUTED_VALUE"""),3.1937976E7)</f>
        <v>31937976</v>
      </c>
      <c r="D33" s="4">
        <f>IFERROR(__xludf.DUMMYFUNCTION("""COMPUTED_VALUE"""),24138.0)</f>
        <v>24138</v>
      </c>
      <c r="E33" s="4">
        <f>IFERROR(__xludf.DUMMYFUNCTION("""COMPUTED_VALUE"""),22.0)</f>
        <v>22</v>
      </c>
    </row>
    <row r="34">
      <c r="A34" s="4" t="str">
        <f>IFERROR(__xludf.DUMMYFUNCTION("""COMPUTED_VALUE"""),"Matías ")</f>
        <v>Matías </v>
      </c>
      <c r="B34" s="2" t="str">
        <f>IFERROR(__xludf.DUMMYFUNCTION("""COMPUTED_VALUE"""),"Magliano ")</f>
        <v>Magliano </v>
      </c>
      <c r="C34" s="4">
        <f>IFERROR(__xludf.DUMMYFUNCTION("""COMPUTED_VALUE"""),2.971464E7)</f>
        <v>29714640</v>
      </c>
      <c r="D34" s="4">
        <f>IFERROR(__xludf.DUMMYFUNCTION("""COMPUTED_VALUE"""),24138.0)</f>
        <v>24138</v>
      </c>
      <c r="E34" s="4">
        <f>IFERROR(__xludf.DUMMYFUNCTION("""COMPUTED_VALUE"""),22.0)</f>
        <v>22</v>
      </c>
    </row>
    <row r="35">
      <c r="A35" s="4" t="str">
        <f>IFERROR(__xludf.DUMMYFUNCTION("""COMPUTED_VALUE"""),"Daniel Gustavo")</f>
        <v>Daniel Gustavo</v>
      </c>
      <c r="B35" s="2" t="str">
        <f>IFERROR(__xludf.DUMMYFUNCTION("""COMPUTED_VALUE"""),"Cuello")</f>
        <v>Cuello</v>
      </c>
      <c r="C35" s="4">
        <f>IFERROR(__xludf.DUMMYFUNCTION("""COMPUTED_VALUE"""),3.6141171E7)</f>
        <v>36141171</v>
      </c>
      <c r="D35" s="4">
        <f>IFERROR(__xludf.DUMMYFUNCTION("""COMPUTED_VALUE"""),24138.0)</f>
        <v>24138</v>
      </c>
      <c r="E35" s="4">
        <f>IFERROR(__xludf.DUMMYFUNCTION("""COMPUTED_VALUE"""),22.0)</f>
        <v>22</v>
      </c>
    </row>
    <row r="36">
      <c r="A36" s="4" t="str">
        <f>IFERROR(__xludf.DUMMYFUNCTION("""COMPUTED_VALUE"""),"Axel")</f>
        <v>Axel</v>
      </c>
      <c r="B36" s="2" t="str">
        <f>IFERROR(__xludf.DUMMYFUNCTION("""COMPUTED_VALUE"""),"cuevas")</f>
        <v>cuevas</v>
      </c>
      <c r="C36" s="4">
        <f>IFERROR(__xludf.DUMMYFUNCTION("""COMPUTED_VALUE"""),4.2369342E7)</f>
        <v>42369342</v>
      </c>
      <c r="D36" s="4">
        <f>IFERROR(__xludf.DUMMYFUNCTION("""COMPUTED_VALUE"""),24138.0)</f>
        <v>24138</v>
      </c>
      <c r="E36" s="4">
        <f>IFERROR(__xludf.DUMMYFUNCTION("""COMPUTED_VALUE"""),22.0)</f>
        <v>22</v>
      </c>
    </row>
    <row r="37">
      <c r="A37" s="4" t="str">
        <f>IFERROR(__xludf.DUMMYFUNCTION("""COMPUTED_VALUE"""),"Tomas")</f>
        <v>Tomas</v>
      </c>
      <c r="B37" s="2" t="str">
        <f>IFERROR(__xludf.DUMMYFUNCTION("""COMPUTED_VALUE"""),"Ferrari")</f>
        <v>Ferrari</v>
      </c>
      <c r="C37" s="4">
        <f>IFERROR(__xludf.DUMMYFUNCTION("""COMPUTED_VALUE"""),3.8258853E7)</f>
        <v>38258853</v>
      </c>
      <c r="D37" s="4">
        <f>IFERROR(__xludf.DUMMYFUNCTION("""COMPUTED_VALUE"""),24138.0)</f>
        <v>24138</v>
      </c>
      <c r="E37" s="4" t="str">
        <f>IFERROR(__xludf.DUMMYFUNCTION("""COMPUTED_VALUE"""),"01")</f>
        <v>01</v>
      </c>
    </row>
    <row r="38">
      <c r="A38" s="4" t="str">
        <f>IFERROR(__xludf.DUMMYFUNCTION("""COMPUTED_VALUE"""),"Facundo ")</f>
        <v>Facundo </v>
      </c>
      <c r="B38" s="2" t="str">
        <f>IFERROR(__xludf.DUMMYFUNCTION("""COMPUTED_VALUE"""),"Tognola ")</f>
        <v>Tognola </v>
      </c>
      <c r="C38" s="4">
        <f>IFERROR(__xludf.DUMMYFUNCTION("""COMPUTED_VALUE"""),3.6446185E7)</f>
        <v>36446185</v>
      </c>
      <c r="D38" s="4">
        <f>IFERROR(__xludf.DUMMYFUNCTION("""COMPUTED_VALUE"""),24138.0)</f>
        <v>24138</v>
      </c>
      <c r="E38" s="4" t="str">
        <f>IFERROR(__xludf.DUMMYFUNCTION("""COMPUTED_VALUE"""),"01")</f>
        <v>01</v>
      </c>
    </row>
    <row r="39">
      <c r="A39" s="4" t="str">
        <f>IFERROR(__xludf.DUMMYFUNCTION("""COMPUTED_VALUE"""),"Sebastian Gonzalo")</f>
        <v>Sebastian Gonzalo</v>
      </c>
      <c r="B39" s="2" t="str">
        <f>IFERROR(__xludf.DUMMYFUNCTION("""COMPUTED_VALUE"""),"Gil")</f>
        <v>Gil</v>
      </c>
      <c r="C39" s="4">
        <f>IFERROR(__xludf.DUMMYFUNCTION("""COMPUTED_VALUE"""),3.0256009E7)</f>
        <v>30256009</v>
      </c>
      <c r="D39" s="4">
        <f>IFERROR(__xludf.DUMMYFUNCTION("""COMPUTED_VALUE"""),24138.0)</f>
        <v>24138</v>
      </c>
      <c r="E39" s="4" t="str">
        <f>IFERROR(__xludf.DUMMYFUNCTION("""COMPUTED_VALUE"""),"01")</f>
        <v>01</v>
      </c>
    </row>
    <row r="40">
      <c r="A40" s="4" t="str">
        <f>IFERROR(__xludf.DUMMYFUNCTION("""COMPUTED_VALUE"""),"Gonzalo ")</f>
        <v>Gonzalo </v>
      </c>
      <c r="B40" s="2" t="str">
        <f>IFERROR(__xludf.DUMMYFUNCTION("""COMPUTED_VALUE"""),"Bazzani ")</f>
        <v>Bazzani </v>
      </c>
      <c r="C40" s="4">
        <f>IFERROR(__xludf.DUMMYFUNCTION("""COMPUTED_VALUE"""),3.48017E7)</f>
        <v>34801700</v>
      </c>
      <c r="D40" s="4">
        <f>IFERROR(__xludf.DUMMYFUNCTION("""COMPUTED_VALUE"""),24138.0)</f>
        <v>24138</v>
      </c>
      <c r="E40" s="4" t="str">
        <f>IFERROR(__xludf.DUMMYFUNCTION("""COMPUTED_VALUE"""),"02")</f>
        <v>02</v>
      </c>
    </row>
    <row r="41">
      <c r="A41" s="4" t="str">
        <f>IFERROR(__xludf.DUMMYFUNCTION("""COMPUTED_VALUE"""),"Luis Alejandro")</f>
        <v>Luis Alejandro</v>
      </c>
      <c r="B41" s="2" t="str">
        <f>IFERROR(__xludf.DUMMYFUNCTION("""COMPUTED_VALUE"""),"Toloza")</f>
        <v>Toloza</v>
      </c>
      <c r="C41" s="4">
        <f>IFERROR(__xludf.DUMMYFUNCTION("""COMPUTED_VALUE"""),3.8278617E7)</f>
        <v>38278617</v>
      </c>
      <c r="D41" s="4">
        <f>IFERROR(__xludf.DUMMYFUNCTION("""COMPUTED_VALUE"""),24138.0)</f>
        <v>24138</v>
      </c>
      <c r="E41" s="4" t="str">
        <f>IFERROR(__xludf.DUMMYFUNCTION("""COMPUTED_VALUE"""),"02")</f>
        <v>02</v>
      </c>
    </row>
    <row r="42">
      <c r="A42" s="4" t="str">
        <f>IFERROR(__xludf.DUMMYFUNCTION("""COMPUTED_VALUE"""),"Leandro")</f>
        <v>Leandro</v>
      </c>
      <c r="B42" s="2" t="str">
        <f>IFERROR(__xludf.DUMMYFUNCTION("""COMPUTED_VALUE"""),"Cacerez")</f>
        <v>Cacerez</v>
      </c>
      <c r="C42" s="4">
        <f>IFERROR(__xludf.DUMMYFUNCTION("""COMPUTED_VALUE"""),3.812012E7)</f>
        <v>38120120</v>
      </c>
      <c r="D42" s="4">
        <f>IFERROR(__xludf.DUMMYFUNCTION("""COMPUTED_VALUE"""),24138.0)</f>
        <v>24138</v>
      </c>
      <c r="E42" s="4" t="str">
        <f>IFERROR(__xludf.DUMMYFUNCTION("""COMPUTED_VALUE"""),"02")</f>
        <v>02</v>
      </c>
    </row>
    <row r="43">
      <c r="A43" s="4" t="str">
        <f>IFERROR(__xludf.DUMMYFUNCTION("""COMPUTED_VALUE"""),"Diego Alejandro")</f>
        <v>Diego Alejandro</v>
      </c>
      <c r="B43" s="2" t="str">
        <f>IFERROR(__xludf.DUMMYFUNCTION("""COMPUTED_VALUE"""),"Diaz")</f>
        <v>Diaz</v>
      </c>
      <c r="C43" s="4">
        <f>IFERROR(__xludf.DUMMYFUNCTION("""COMPUTED_VALUE"""),2.8170981E7)</f>
        <v>28170981</v>
      </c>
      <c r="D43" s="4">
        <f>IFERROR(__xludf.DUMMYFUNCTION("""COMPUTED_VALUE"""),24138.0)</f>
        <v>24138</v>
      </c>
      <c r="E43" s="4" t="str">
        <f>IFERROR(__xludf.DUMMYFUNCTION("""COMPUTED_VALUE"""),"02")</f>
        <v>02</v>
      </c>
    </row>
    <row r="44">
      <c r="A44" s="4" t="str">
        <f>IFERROR(__xludf.DUMMYFUNCTION("""COMPUTED_VALUE"""),"SILVIA ELIANA")</f>
        <v>SILVIA ELIANA</v>
      </c>
      <c r="B44" s="2" t="str">
        <f>IFERROR(__xludf.DUMMYFUNCTION("""COMPUTED_VALUE"""),"RUIZ")</f>
        <v>RUIZ</v>
      </c>
      <c r="C44" s="4">
        <f>IFERROR(__xludf.DUMMYFUNCTION("""COMPUTED_VALUE"""),1.7594998E7)</f>
        <v>17594998</v>
      </c>
      <c r="D44" s="4">
        <f>IFERROR(__xludf.DUMMYFUNCTION("""COMPUTED_VALUE"""),24138.0)</f>
        <v>24138</v>
      </c>
      <c r="E44" s="4" t="str">
        <f>IFERROR(__xludf.DUMMYFUNCTION("""COMPUTED_VALUE"""),"03")</f>
        <v>03</v>
      </c>
    </row>
    <row r="45">
      <c r="A45" s="4" t="str">
        <f>IFERROR(__xludf.DUMMYFUNCTION("""COMPUTED_VALUE"""),"Mario Marcelo")</f>
        <v>Mario Marcelo</v>
      </c>
      <c r="B45" s="2" t="str">
        <f>IFERROR(__xludf.DUMMYFUNCTION("""COMPUTED_VALUE"""),"Celis")</f>
        <v>Celis</v>
      </c>
      <c r="C45" s="4">
        <f>IFERROR(__xludf.DUMMYFUNCTION("""COMPUTED_VALUE"""),2.6455752E7)</f>
        <v>26455752</v>
      </c>
      <c r="D45" s="4">
        <f>IFERROR(__xludf.DUMMYFUNCTION("""COMPUTED_VALUE"""),24138.0)</f>
        <v>24138</v>
      </c>
      <c r="E45" s="4" t="str">
        <f>IFERROR(__xludf.DUMMYFUNCTION("""COMPUTED_VALUE"""),"03")</f>
        <v>03</v>
      </c>
    </row>
    <row r="46">
      <c r="A46" s="4" t="str">
        <f>IFERROR(__xludf.DUMMYFUNCTION("""COMPUTED_VALUE"""),"Lucas")</f>
        <v>Lucas</v>
      </c>
      <c r="B46" s="2" t="str">
        <f>IFERROR(__xludf.DUMMYFUNCTION("""COMPUTED_VALUE"""),"Ibarra")</f>
        <v>Ibarra</v>
      </c>
      <c r="C46" s="4">
        <f>IFERROR(__xludf.DUMMYFUNCTION("""COMPUTED_VALUE"""),3.9059529E7)</f>
        <v>39059529</v>
      </c>
      <c r="D46" s="4">
        <f>IFERROR(__xludf.DUMMYFUNCTION("""COMPUTED_VALUE"""),24138.0)</f>
        <v>24138</v>
      </c>
      <c r="E46" s="4" t="str">
        <f>IFERROR(__xludf.DUMMYFUNCTION("""COMPUTED_VALUE"""),"03")</f>
        <v>03</v>
      </c>
    </row>
    <row r="47">
      <c r="A47" s="4" t="str">
        <f>IFERROR(__xludf.DUMMYFUNCTION("""COMPUTED_VALUE"""),"Camila Milena")</f>
        <v>Camila Milena</v>
      </c>
      <c r="B47" s="2" t="str">
        <f>IFERROR(__xludf.DUMMYFUNCTION("""COMPUTED_VALUE"""),"Ikkert")</f>
        <v>Ikkert</v>
      </c>
      <c r="C47" s="4">
        <f>IFERROR(__xludf.DUMMYFUNCTION("""COMPUTED_VALUE"""),4.0554564E7)</f>
        <v>40554564</v>
      </c>
      <c r="D47" s="4">
        <f>IFERROR(__xludf.DUMMYFUNCTION("""COMPUTED_VALUE"""),24138.0)</f>
        <v>24138</v>
      </c>
      <c r="E47" s="4" t="str">
        <f>IFERROR(__xludf.DUMMYFUNCTION("""COMPUTED_VALUE"""),"03")</f>
        <v>03</v>
      </c>
    </row>
    <row r="48">
      <c r="A48" s="4" t="str">
        <f>IFERROR(__xludf.DUMMYFUNCTION("""COMPUTED_VALUE"""),"Orlando ")</f>
        <v>Orlando </v>
      </c>
      <c r="B48" s="2" t="str">
        <f>IFERROR(__xludf.DUMMYFUNCTION("""COMPUTED_VALUE"""),"Sposto ")</f>
        <v>Sposto </v>
      </c>
      <c r="C48" s="4">
        <f>IFERROR(__xludf.DUMMYFUNCTION("""COMPUTED_VALUE"""),1.7269255E7)</f>
        <v>17269255</v>
      </c>
      <c r="D48" s="4">
        <f>IFERROR(__xludf.DUMMYFUNCTION("""COMPUTED_VALUE"""),24138.0)</f>
        <v>24138</v>
      </c>
      <c r="E48" s="4" t="str">
        <f>IFERROR(__xludf.DUMMYFUNCTION("""COMPUTED_VALUE"""),"04")</f>
        <v>04</v>
      </c>
    </row>
    <row r="49">
      <c r="A49" s="4" t="str">
        <f>IFERROR(__xludf.DUMMYFUNCTION("""COMPUTED_VALUE"""),"Miguel victorio ")</f>
        <v>Miguel victorio </v>
      </c>
      <c r="B49" s="2" t="str">
        <f>IFERROR(__xludf.DUMMYFUNCTION("""COMPUTED_VALUE"""),"Cabrera")</f>
        <v>Cabrera</v>
      </c>
      <c r="C49" s="4">
        <f>IFERROR(__xludf.DUMMYFUNCTION("""COMPUTED_VALUE"""),3.0741748E7)</f>
        <v>30741748</v>
      </c>
      <c r="D49" s="4">
        <f>IFERROR(__xludf.DUMMYFUNCTION("""COMPUTED_VALUE"""),24138.0)</f>
        <v>24138</v>
      </c>
      <c r="E49" s="4" t="str">
        <f>IFERROR(__xludf.DUMMYFUNCTION("""COMPUTED_VALUE"""),"04")</f>
        <v>04</v>
      </c>
    </row>
    <row r="50">
      <c r="A50" s="4" t="str">
        <f>IFERROR(__xludf.DUMMYFUNCTION("""COMPUTED_VALUE"""),"Axel Matías")</f>
        <v>Axel Matías</v>
      </c>
      <c r="B50" s="2" t="str">
        <f>IFERROR(__xludf.DUMMYFUNCTION("""COMPUTED_VALUE"""),"Aguirre")</f>
        <v>Aguirre</v>
      </c>
      <c r="C50" s="4">
        <f>IFERROR(__xludf.DUMMYFUNCTION("""COMPUTED_VALUE"""),4.2102652E7)</f>
        <v>42102652</v>
      </c>
      <c r="D50" s="4">
        <f>IFERROR(__xludf.DUMMYFUNCTION("""COMPUTED_VALUE"""),24138.0)</f>
        <v>24138</v>
      </c>
      <c r="E50" s="4" t="str">
        <f>IFERROR(__xludf.DUMMYFUNCTION("""COMPUTED_VALUE"""),"04")</f>
        <v>04</v>
      </c>
    </row>
    <row r="51">
      <c r="A51" s="4" t="str">
        <f>IFERROR(__xludf.DUMMYFUNCTION("""COMPUTED_VALUE"""),"Neria")</f>
        <v>Neria</v>
      </c>
      <c r="B51" s="2" t="str">
        <f>IFERROR(__xludf.DUMMYFUNCTION("""COMPUTED_VALUE"""),"Orellana")</f>
        <v>Orellana</v>
      </c>
      <c r="C51" s="4">
        <f>IFERROR(__xludf.DUMMYFUNCTION("""COMPUTED_VALUE"""),9.6004349E7)</f>
        <v>96004349</v>
      </c>
      <c r="D51" s="4">
        <f>IFERROR(__xludf.DUMMYFUNCTION("""COMPUTED_VALUE"""),24138.0)</f>
        <v>24138</v>
      </c>
      <c r="E51" s="4" t="str">
        <f>IFERROR(__xludf.DUMMYFUNCTION("""COMPUTED_VALUE"""),"04")</f>
        <v>04</v>
      </c>
    </row>
    <row r="52">
      <c r="A52" s="4" t="str">
        <f>IFERROR(__xludf.DUMMYFUNCTION("""COMPUTED_VALUE"""),"Manuel Alejandro")</f>
        <v>Manuel Alejandro</v>
      </c>
      <c r="B52" s="2" t="str">
        <f>IFERROR(__xludf.DUMMYFUNCTION("""COMPUTED_VALUE"""),"Carabajal Orte")</f>
        <v>Carabajal Orte</v>
      </c>
      <c r="C52" s="4">
        <f>IFERROR(__xludf.DUMMYFUNCTION("""COMPUTED_VALUE"""),2.8900383E7)</f>
        <v>28900383</v>
      </c>
      <c r="D52" s="4">
        <f>IFERROR(__xludf.DUMMYFUNCTION("""COMPUTED_VALUE"""),24138.0)</f>
        <v>24138</v>
      </c>
      <c r="E52" s="4" t="str">
        <f>IFERROR(__xludf.DUMMYFUNCTION("""COMPUTED_VALUE"""),"07")</f>
        <v>07</v>
      </c>
    </row>
    <row r="53">
      <c r="A53" s="4" t="str">
        <f>IFERROR(__xludf.DUMMYFUNCTION("""COMPUTED_VALUE"""),"Juan Matias")</f>
        <v>Juan Matias</v>
      </c>
      <c r="B53" s="2" t="str">
        <f>IFERROR(__xludf.DUMMYFUNCTION("""COMPUTED_VALUE"""),"Rossello")</f>
        <v>Rossello</v>
      </c>
      <c r="C53" s="4">
        <f>IFERROR(__xludf.DUMMYFUNCTION("""COMPUTED_VALUE"""),3.2975644E7)</f>
        <v>32975644</v>
      </c>
      <c r="D53" s="4">
        <f>IFERROR(__xludf.DUMMYFUNCTION("""COMPUTED_VALUE"""),24138.0)</f>
        <v>24138</v>
      </c>
      <c r="E53" s="4" t="str">
        <f>IFERROR(__xludf.DUMMYFUNCTION("""COMPUTED_VALUE"""),"07")</f>
        <v>07</v>
      </c>
    </row>
    <row r="54">
      <c r="A54" s="4" t="str">
        <f>IFERROR(__xludf.DUMMYFUNCTION("""COMPUTED_VALUE"""),"Sergio")</f>
        <v>Sergio</v>
      </c>
      <c r="B54" s="2" t="str">
        <f>IFERROR(__xludf.DUMMYFUNCTION("""COMPUTED_VALUE"""),"Benitez")</f>
        <v>Benitez</v>
      </c>
      <c r="C54" s="4">
        <f>IFERROR(__xludf.DUMMYFUNCTION("""COMPUTED_VALUE"""),3.4868815E7)</f>
        <v>34868815</v>
      </c>
      <c r="D54" s="4">
        <f>IFERROR(__xludf.DUMMYFUNCTION("""COMPUTED_VALUE"""),24138.0)</f>
        <v>24138</v>
      </c>
      <c r="E54" s="4" t="str">
        <f>IFERROR(__xludf.DUMMYFUNCTION("""COMPUTED_VALUE"""),"07")</f>
        <v>07</v>
      </c>
    </row>
    <row r="55">
      <c r="A55" s="4" t="str">
        <f>IFERROR(__xludf.DUMMYFUNCTION("""COMPUTED_VALUE"""),"Nancy Elizabeth ")</f>
        <v>Nancy Elizabeth </v>
      </c>
      <c r="B55" s="2" t="str">
        <f>IFERROR(__xludf.DUMMYFUNCTION("""COMPUTED_VALUE"""),"Villena Reines")</f>
        <v>Villena Reines</v>
      </c>
      <c r="C55" s="4">
        <f>IFERROR(__xludf.DUMMYFUNCTION("""COMPUTED_VALUE"""),9.3086465E7)</f>
        <v>93086465</v>
      </c>
      <c r="D55" s="4">
        <f>IFERROR(__xludf.DUMMYFUNCTION("""COMPUTED_VALUE"""),24138.0)</f>
        <v>24138</v>
      </c>
      <c r="E55" s="4">
        <f>IFERROR(__xludf.DUMMYFUNCTION("""COMPUTED_VALUE"""),10.0)</f>
        <v>10</v>
      </c>
    </row>
    <row r="56">
      <c r="A56" s="4" t="str">
        <f>IFERROR(__xludf.DUMMYFUNCTION("""COMPUTED_VALUE"""),"Luis")</f>
        <v>Luis</v>
      </c>
      <c r="B56" s="2" t="str">
        <f>IFERROR(__xludf.DUMMYFUNCTION("""COMPUTED_VALUE"""),"Alvarado")</f>
        <v>Alvarado</v>
      </c>
      <c r="C56" s="4">
        <f>IFERROR(__xludf.DUMMYFUNCTION("""COMPUTED_VALUE"""),2.2767825E7)</f>
        <v>22767825</v>
      </c>
      <c r="D56" s="4">
        <f>IFERROR(__xludf.DUMMYFUNCTION("""COMPUTED_VALUE"""),24138.0)</f>
        <v>24138</v>
      </c>
      <c r="E56" s="4" t="str">
        <f>IFERROR(__xludf.DUMMYFUNCTION("""COMPUTED_VALUE"""),"08")</f>
        <v>08</v>
      </c>
    </row>
    <row r="57">
      <c r="A57" s="4" t="str">
        <f>IFERROR(__xludf.DUMMYFUNCTION("""COMPUTED_VALUE"""),"Claudio")</f>
        <v>Claudio</v>
      </c>
      <c r="B57" s="2" t="str">
        <f>IFERROR(__xludf.DUMMYFUNCTION("""COMPUTED_VALUE"""),"Morales")</f>
        <v>Morales</v>
      </c>
      <c r="C57" s="4">
        <f>IFERROR(__xludf.DUMMYFUNCTION("""COMPUTED_VALUE"""),3.7610692E7)</f>
        <v>37610692</v>
      </c>
      <c r="D57" s="4">
        <f>IFERROR(__xludf.DUMMYFUNCTION("""COMPUTED_VALUE"""),24138.0)</f>
        <v>24138</v>
      </c>
      <c r="E57" s="4" t="str">
        <f>IFERROR(__xludf.DUMMYFUNCTION("""COMPUTED_VALUE"""),"08")</f>
        <v>08</v>
      </c>
    </row>
    <row r="58">
      <c r="A58" s="4" t="str">
        <f>IFERROR(__xludf.DUMMYFUNCTION("""COMPUTED_VALUE"""),"Ariana ")</f>
        <v>Ariana </v>
      </c>
      <c r="B58" s="2" t="str">
        <f>IFERROR(__xludf.DUMMYFUNCTION("""COMPUTED_VALUE"""),"Gonzalez ")</f>
        <v>Gonzalez </v>
      </c>
      <c r="C58" s="4">
        <f>IFERROR(__xludf.DUMMYFUNCTION("""COMPUTED_VALUE"""),4.1898089E7)</f>
        <v>41898089</v>
      </c>
      <c r="D58" s="4">
        <f>IFERROR(__xludf.DUMMYFUNCTION("""COMPUTED_VALUE"""),24138.0)</f>
        <v>24138</v>
      </c>
      <c r="E58" s="4" t="str">
        <f>IFERROR(__xludf.DUMMYFUNCTION("""COMPUTED_VALUE"""),"08")</f>
        <v>08</v>
      </c>
    </row>
    <row r="59">
      <c r="A59" s="4" t="str">
        <f>IFERROR(__xludf.DUMMYFUNCTION("""COMPUTED_VALUE"""),"Francisco Eduardo")</f>
        <v>Francisco Eduardo</v>
      </c>
      <c r="B59" s="2" t="str">
        <f>IFERROR(__xludf.DUMMYFUNCTION("""COMPUTED_VALUE"""),"Dominguez")</f>
        <v>Dominguez</v>
      </c>
      <c r="C59" s="4">
        <f>IFERROR(__xludf.DUMMYFUNCTION("""COMPUTED_VALUE"""),2.9183954E7)</f>
        <v>29183954</v>
      </c>
      <c r="D59" s="4">
        <f>IFERROR(__xludf.DUMMYFUNCTION("""COMPUTED_VALUE"""),24138.0)</f>
        <v>24138</v>
      </c>
      <c r="E59" s="4" t="str">
        <f>IFERROR(__xludf.DUMMYFUNCTION("""COMPUTED_VALUE"""),"08")</f>
        <v>08</v>
      </c>
    </row>
    <row r="60">
      <c r="A60" s="4" t="str">
        <f>IFERROR(__xludf.DUMMYFUNCTION("""COMPUTED_VALUE"""),"Alejandro ")</f>
        <v>Alejandro </v>
      </c>
      <c r="B60" s="2" t="str">
        <f>IFERROR(__xludf.DUMMYFUNCTION("""COMPUTED_VALUE"""),"Salerno ")</f>
        <v>Salerno </v>
      </c>
      <c r="C60" s="4">
        <f>IFERROR(__xludf.DUMMYFUNCTION("""COMPUTED_VALUE"""),2.6066923E7)</f>
        <v>26066923</v>
      </c>
      <c r="D60" s="4">
        <f>IFERROR(__xludf.DUMMYFUNCTION("""COMPUTED_VALUE"""),24138.0)</f>
        <v>24138</v>
      </c>
      <c r="E60" s="4" t="str">
        <f>IFERROR(__xludf.DUMMYFUNCTION("""COMPUTED_VALUE"""),"09")</f>
        <v>09</v>
      </c>
    </row>
    <row r="61">
      <c r="A61" s="4" t="str">
        <f>IFERROR(__xludf.DUMMYFUNCTION("""COMPUTED_VALUE"""),"Marina")</f>
        <v>Marina</v>
      </c>
      <c r="B61" s="2" t="str">
        <f>IFERROR(__xludf.DUMMYFUNCTION("""COMPUTED_VALUE"""),"Gonzalez")</f>
        <v>Gonzalez</v>
      </c>
      <c r="C61" s="4">
        <f>IFERROR(__xludf.DUMMYFUNCTION("""COMPUTED_VALUE"""),3.9603216E7)</f>
        <v>39603216</v>
      </c>
      <c r="D61" s="4">
        <f>IFERROR(__xludf.DUMMYFUNCTION("""COMPUTED_VALUE"""),24138.0)</f>
        <v>24138</v>
      </c>
      <c r="E61" s="4" t="str">
        <f>IFERROR(__xludf.DUMMYFUNCTION("""COMPUTED_VALUE"""),"09")</f>
        <v>09</v>
      </c>
    </row>
    <row r="62">
      <c r="A62" s="4" t="str">
        <f>IFERROR(__xludf.DUMMYFUNCTION("""COMPUTED_VALUE"""),"Angelica ")</f>
        <v>Angelica </v>
      </c>
      <c r="B62" s="2" t="str">
        <f>IFERROR(__xludf.DUMMYFUNCTION("""COMPUTED_VALUE"""),"Carrasco ")</f>
        <v>Carrasco </v>
      </c>
      <c r="C62" s="4">
        <f>IFERROR(__xludf.DUMMYFUNCTION("""COMPUTED_VALUE"""),2.9712987E7)</f>
        <v>29712987</v>
      </c>
      <c r="D62" s="4">
        <f>IFERROR(__xludf.DUMMYFUNCTION("""COMPUTED_VALUE"""),24138.0)</f>
        <v>24138</v>
      </c>
      <c r="E62" s="4" t="str">
        <f>IFERROR(__xludf.DUMMYFUNCTION("""COMPUTED_VALUE"""),"09")</f>
        <v>09</v>
      </c>
    </row>
    <row r="63">
      <c r="A63" s="4" t="str">
        <f>IFERROR(__xludf.DUMMYFUNCTION("""COMPUTED_VALUE"""),"Esmir")</f>
        <v>Esmir</v>
      </c>
      <c r="B63" s="2" t="str">
        <f>IFERROR(__xludf.DUMMYFUNCTION("""COMPUTED_VALUE"""),"Cáceres")</f>
        <v>Cáceres</v>
      </c>
      <c r="C63" s="4">
        <f>IFERROR(__xludf.DUMMYFUNCTION("""COMPUTED_VALUE"""),9.5760098E7)</f>
        <v>95760098</v>
      </c>
      <c r="D63" s="4">
        <f>IFERROR(__xludf.DUMMYFUNCTION("""COMPUTED_VALUE"""),24138.0)</f>
        <v>24138</v>
      </c>
      <c r="E63" s="4" t="str">
        <f>IFERROR(__xludf.DUMMYFUNCTION("""COMPUTED_VALUE"""),"01")</f>
        <v>01</v>
      </c>
    </row>
    <row r="64">
      <c r="A64" s="4" t="str">
        <f>IFERROR(__xludf.DUMMYFUNCTION("""COMPUTED_VALUE"""),"Favio Edgardo")</f>
        <v>Favio Edgardo</v>
      </c>
      <c r="B64" s="2" t="str">
        <f>IFERROR(__xludf.DUMMYFUNCTION("""COMPUTED_VALUE"""),"Pereyra")</f>
        <v>Pereyra</v>
      </c>
      <c r="C64" s="4">
        <f>IFERROR(__xludf.DUMMYFUNCTION("""COMPUTED_VALUE"""),2.8967886E7)</f>
        <v>28967886</v>
      </c>
      <c r="D64" s="4">
        <f>IFERROR(__xludf.DUMMYFUNCTION("""COMPUTED_VALUE"""),24138.0)</f>
        <v>24138</v>
      </c>
      <c r="E64" s="4" t="str">
        <f>IFERROR(__xludf.DUMMYFUNCTION("""COMPUTED_VALUE"""),"07")</f>
        <v>07</v>
      </c>
    </row>
    <row r="65">
      <c r="A65" s="4" t="str">
        <f>IFERROR(__xludf.DUMMYFUNCTION("""COMPUTED_VALUE"""),"Adrian")</f>
        <v>Adrian</v>
      </c>
      <c r="B65" s="2" t="str">
        <f>IFERROR(__xludf.DUMMYFUNCTION("""COMPUTED_VALUE"""),"Ammendola")</f>
        <v>Ammendola</v>
      </c>
      <c r="C65" s="4">
        <f>IFERROR(__xludf.DUMMYFUNCTION("""COMPUTED_VALUE"""),3.6846055E7)</f>
        <v>36846055</v>
      </c>
      <c r="D65" s="4">
        <f>IFERROR(__xludf.DUMMYFUNCTION("""COMPUTED_VALUE"""),24138.0)</f>
        <v>24138</v>
      </c>
      <c r="E65" s="4" t="str">
        <f>IFERROR(__xludf.DUMMYFUNCTION("""COMPUTED_VALUE"""),"No tengo grupo o quiero cambiarme a otro")</f>
        <v>No tengo grupo o quiero cambiarme a otro</v>
      </c>
    </row>
    <row r="66">
      <c r="A66" s="4" t="str">
        <f>IFERROR(__xludf.DUMMYFUNCTION("""COMPUTED_VALUE"""),"Malena")</f>
        <v>Malena</v>
      </c>
      <c r="B66" s="2" t="str">
        <f>IFERROR(__xludf.DUMMYFUNCTION("""COMPUTED_VALUE"""),"Sencio")</f>
        <v>Sencio</v>
      </c>
      <c r="C66" s="18">
        <f>IFERROR(__xludf.DUMMYFUNCTION("""COMPUTED_VALUE"""),3.5367956E7)</f>
        <v>35367956</v>
      </c>
      <c r="D66" s="4">
        <f>IFERROR(__xludf.DUMMYFUNCTION("""COMPUTED_VALUE"""),24138.0)</f>
        <v>24138</v>
      </c>
      <c r="E66" s="4" t="str">
        <f>IFERROR(__xludf.DUMMYFUNCTION("""COMPUTED_VALUE"""),"09")</f>
        <v>09</v>
      </c>
    </row>
    <row r="67">
      <c r="A67" s="4" t="str">
        <f>IFERROR(__xludf.DUMMYFUNCTION("""COMPUTED_VALUE"""),"Josue Gabriel")</f>
        <v>Josue Gabriel</v>
      </c>
      <c r="B67" s="2" t="str">
        <f>IFERROR(__xludf.DUMMYFUNCTION("""COMPUTED_VALUE"""),"Hoenicka Duque")</f>
        <v>Hoenicka Duque</v>
      </c>
      <c r="C67" s="4">
        <f>IFERROR(__xludf.DUMMYFUNCTION("""COMPUTED_VALUE"""),9.5998882E7)</f>
        <v>95998882</v>
      </c>
      <c r="D67" s="4">
        <f>IFERROR(__xludf.DUMMYFUNCTION("""COMPUTED_VALUE"""),24138.0)</f>
        <v>24138</v>
      </c>
      <c r="E67" s="4">
        <f>IFERROR(__xludf.DUMMYFUNCTION("""COMPUTED_VALUE"""),10.0)</f>
        <v>10</v>
      </c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mergeCells count="1">
    <mergeCell ref="F15:J16"/>
  </mergeCells>
  <conditionalFormatting sqref="F3:J3 F5:J5 F7:J7 F9:J9 F11:J11 F13:J13">
    <cfRule type="cellIs" dxfId="0" priority="1" operator="greaterThan">
      <formula>4</formula>
    </cfRule>
  </conditionalFormatting>
  <conditionalFormatting sqref="F3:J3 F5:J5 F7:J7 F9:J9 F11:J11 F13:J13">
    <cfRule type="cellIs" dxfId="1" priority="2" operator="equal">
      <formula>4</formula>
    </cfRule>
  </conditionalFormatting>
  <conditionalFormatting sqref="F3:J3 F5:J5 F7:J7 F9:J9 F11:J11 F13:J13">
    <cfRule type="cellIs" dxfId="2" priority="3" operator="between">
      <formula>1</formula>
      <formula>3</formula>
    </cfRule>
  </conditionalFormatting>
  <conditionalFormatting sqref="F2:J13">
    <cfRule type="cellIs" dxfId="3" priority="4" operator="equal">
      <formula>0</formula>
    </cfRule>
  </conditionalFormatting>
  <hyperlinks>
    <hyperlink r:id="rId1" ref="F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5"/>
    <col customWidth="1" min="3" max="3" width="13.5"/>
    <col customWidth="1" min="4" max="4" width="15.88"/>
    <col customWidth="1" min="5" max="5" width="4.63"/>
    <col customWidth="1" min="6" max="6" width="4.5"/>
    <col customWidth="1" min="7" max="7" width="14.25"/>
    <col customWidth="1" min="9" max="9" width="3.75"/>
    <col customWidth="1" min="10" max="10" width="4.5"/>
    <col customWidth="1" min="12" max="12" width="18.0"/>
    <col customWidth="1" min="13" max="13" width="4.5"/>
    <col customWidth="1" min="14" max="14" width="4.38"/>
    <col customWidth="1" min="15" max="15" width="13.0"/>
    <col customWidth="1" min="16" max="16" width="15.88"/>
    <col customWidth="1" min="17" max="17" width="3.38"/>
    <col customWidth="1" min="18" max="18" width="3.63"/>
    <col customWidth="1" min="20" max="20" width="16.0"/>
  </cols>
  <sheetData>
    <row r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>
      <c r="A3" s="21"/>
      <c r="B3" s="23"/>
      <c r="C3" s="24"/>
      <c r="D3" s="22"/>
      <c r="E3" s="23"/>
      <c r="F3" s="23"/>
      <c r="G3" s="22"/>
      <c r="H3" s="23"/>
      <c r="I3" s="23"/>
      <c r="J3" s="22"/>
      <c r="K3" s="22"/>
      <c r="L3" s="22"/>
      <c r="M3" s="22"/>
      <c r="N3" s="23"/>
      <c r="O3" s="23"/>
      <c r="P3" s="22"/>
      <c r="Q3" s="22"/>
      <c r="R3" s="22"/>
      <c r="S3" s="22"/>
      <c r="T3" s="22"/>
      <c r="U3" s="22"/>
    </row>
    <row r="4">
      <c r="A4" s="21"/>
      <c r="B4" s="25"/>
      <c r="C4" s="26" t="s">
        <v>22</v>
      </c>
      <c r="D4" s="22"/>
      <c r="E4" s="22"/>
      <c r="F4" s="23"/>
      <c r="G4" s="22"/>
      <c r="H4" s="22"/>
      <c r="I4" s="23"/>
      <c r="J4" s="22"/>
      <c r="K4" s="22"/>
      <c r="L4" s="23"/>
      <c r="M4" s="22"/>
      <c r="N4" s="22"/>
      <c r="O4" s="23"/>
      <c r="P4" s="22"/>
      <c r="Q4" s="22"/>
      <c r="R4" s="22"/>
      <c r="S4" s="22"/>
      <c r="T4" s="22"/>
      <c r="U4" s="22"/>
    </row>
    <row r="5">
      <c r="A5" s="21"/>
      <c r="B5" s="25"/>
      <c r="C5" s="27">
        <f>COUNTA(C10:C13,G10:G13,K10:K13,O10:O13,S10:S13,C18:C21,G18:G21,K18:K21,O18:O21,S18:S21,C26:C29,G26:G29,K26:K29,O26:O29,S26:S29,C34:C37,G34:G37,K34:K37,O34:O37,S34:S37,C42:C45,G42:G45,K42:K45,O42:O45,S42:S45,C50:C53,G50:G53,K50:K53,O50:O53,S50:S53)</f>
        <v>64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>
      <c r="A7" s="21"/>
      <c r="B7" s="22"/>
      <c r="C7" s="22"/>
      <c r="D7" s="22"/>
      <c r="E7" s="22"/>
      <c r="F7" s="28"/>
      <c r="G7" s="22"/>
      <c r="H7" s="22"/>
      <c r="I7" s="22"/>
      <c r="J7" s="28"/>
      <c r="K7" s="22"/>
      <c r="L7" s="22"/>
      <c r="M7" s="22"/>
      <c r="N7" s="22"/>
      <c r="O7" s="22"/>
      <c r="P7" s="22"/>
      <c r="Q7" s="22"/>
      <c r="R7" s="28"/>
      <c r="S7" s="22"/>
      <c r="T7" s="22"/>
      <c r="U7" s="22"/>
    </row>
    <row r="8">
      <c r="A8" s="21"/>
      <c r="B8" s="29" t="s">
        <v>23</v>
      </c>
      <c r="C8" s="30"/>
      <c r="D8" s="31"/>
      <c r="E8" s="22"/>
      <c r="F8" s="29" t="s">
        <v>24</v>
      </c>
      <c r="G8" s="30"/>
      <c r="H8" s="31"/>
      <c r="I8" s="22"/>
      <c r="J8" s="29" t="s">
        <v>25</v>
      </c>
      <c r="K8" s="30"/>
      <c r="L8" s="31"/>
      <c r="M8" s="22"/>
      <c r="N8" s="29" t="s">
        <v>26</v>
      </c>
      <c r="O8" s="30"/>
      <c r="P8" s="31"/>
      <c r="Q8" s="22"/>
      <c r="R8" s="32"/>
      <c r="S8" s="30"/>
      <c r="T8" s="31"/>
      <c r="U8" s="22"/>
    </row>
    <row r="9">
      <c r="A9" s="21"/>
      <c r="B9" s="33"/>
      <c r="C9" s="34" t="s">
        <v>27</v>
      </c>
      <c r="D9" s="34" t="s">
        <v>28</v>
      </c>
      <c r="E9" s="22"/>
      <c r="F9" s="33"/>
      <c r="G9" s="34" t="s">
        <v>27</v>
      </c>
      <c r="H9" s="34" t="s">
        <v>28</v>
      </c>
      <c r="I9" s="22"/>
      <c r="J9" s="33"/>
      <c r="K9" s="34" t="s">
        <v>27</v>
      </c>
      <c r="L9" s="34" t="s">
        <v>28</v>
      </c>
      <c r="M9" s="22"/>
      <c r="N9" s="33"/>
      <c r="O9" s="34" t="s">
        <v>27</v>
      </c>
      <c r="P9" s="34" t="s">
        <v>28</v>
      </c>
      <c r="Q9" s="22"/>
      <c r="R9" s="35"/>
      <c r="S9" s="36"/>
      <c r="T9" s="36"/>
      <c r="U9" s="22"/>
    </row>
    <row r="10">
      <c r="A10" s="37"/>
      <c r="B10" s="38">
        <v>1.0</v>
      </c>
      <c r="C10" s="39" t="str">
        <f>IFERROR(__xludf.DUMMYFUNCTION("FILTER(Listado!A1:B59,Listado!E1:E59 = ""01"")"),"Tomas")</f>
        <v>Tomas</v>
      </c>
      <c r="D10" s="39" t="str">
        <f>IFERROR(__xludf.DUMMYFUNCTION("""COMPUTED_VALUE"""),"Ferrari")</f>
        <v>Ferrari</v>
      </c>
      <c r="E10" s="40"/>
      <c r="F10" s="38">
        <v>1.0</v>
      </c>
      <c r="G10" s="39" t="str">
        <f>IFERROR(__xludf.DUMMYFUNCTION("FILTER(Listado!A1:B59,Listado!E1:E59 = ""02"")"),"Gonzalo ")</f>
        <v>Gonzalo </v>
      </c>
      <c r="H10" s="39" t="str">
        <f>IFERROR(__xludf.DUMMYFUNCTION("""COMPUTED_VALUE"""),"Bazzani ")</f>
        <v>Bazzani </v>
      </c>
      <c r="I10" s="40"/>
      <c r="J10" s="38">
        <v>1.0</v>
      </c>
      <c r="K10" s="39" t="str">
        <f>IFERROR(__xludf.DUMMYFUNCTION("FILTER(Listado!A1:B59,Listado!E1:E59 = ""03"")"),"SILVIA ELIANA")</f>
        <v>SILVIA ELIANA</v>
      </c>
      <c r="L10" s="39" t="str">
        <f>IFERROR(__xludf.DUMMYFUNCTION("""COMPUTED_VALUE"""),"RUIZ")</f>
        <v>RUIZ</v>
      </c>
      <c r="M10" s="40"/>
      <c r="N10" s="41">
        <v>1.0</v>
      </c>
      <c r="O10" s="42" t="str">
        <f>IFERROR(__xludf.DUMMYFUNCTION("FILTER(Listado!A1:B59,Listado!E1:E59 = ""04"")"),"Orlando ")</f>
        <v>Orlando </v>
      </c>
      <c r="P10" s="42" t="str">
        <f>IFERROR(__xludf.DUMMYFUNCTION("""COMPUTED_VALUE"""),"Sposto ")</f>
        <v>Sposto </v>
      </c>
      <c r="Q10" s="40"/>
      <c r="R10" s="43"/>
      <c r="S10" s="44"/>
      <c r="T10" s="44"/>
      <c r="U10" s="22"/>
    </row>
    <row r="11">
      <c r="A11" s="37"/>
      <c r="B11" s="45">
        <v>2.0</v>
      </c>
      <c r="C11" s="46" t="str">
        <f>IFERROR(__xludf.DUMMYFUNCTION("""COMPUTED_VALUE"""),"Facundo ")</f>
        <v>Facundo </v>
      </c>
      <c r="D11" s="42" t="str">
        <f>IFERROR(__xludf.DUMMYFUNCTION("""COMPUTED_VALUE"""),"Tognola ")</f>
        <v>Tognola </v>
      </c>
      <c r="E11" s="47"/>
      <c r="F11" s="45">
        <v>2.0</v>
      </c>
      <c r="G11" s="42" t="str">
        <f>IFERROR(__xludf.DUMMYFUNCTION("""COMPUTED_VALUE"""),"Luis Alejandro")</f>
        <v>Luis Alejandro</v>
      </c>
      <c r="H11" s="46" t="str">
        <f>IFERROR(__xludf.DUMMYFUNCTION("""COMPUTED_VALUE"""),"Toloza")</f>
        <v>Toloza</v>
      </c>
      <c r="I11" s="47"/>
      <c r="J11" s="38">
        <v>2.0</v>
      </c>
      <c r="K11" s="48" t="str">
        <f>IFERROR(__xludf.DUMMYFUNCTION("""COMPUTED_VALUE"""),"Mario Marcelo")</f>
        <v>Mario Marcelo</v>
      </c>
      <c r="L11" s="48" t="str">
        <f>IFERROR(__xludf.DUMMYFUNCTION("""COMPUTED_VALUE"""),"Celis")</f>
        <v>Celis</v>
      </c>
      <c r="M11" s="40"/>
      <c r="N11" s="49">
        <v>2.0</v>
      </c>
      <c r="O11" s="48" t="str">
        <f>IFERROR(__xludf.DUMMYFUNCTION("""COMPUTED_VALUE"""),"Miguel victorio ")</f>
        <v>Miguel victorio </v>
      </c>
      <c r="P11" s="39" t="str">
        <f>IFERROR(__xludf.DUMMYFUNCTION("""COMPUTED_VALUE"""),"Cabrera")</f>
        <v>Cabrera</v>
      </c>
      <c r="Q11" s="40"/>
      <c r="R11" s="43"/>
      <c r="S11" s="44"/>
      <c r="T11" s="44"/>
      <c r="U11" s="22"/>
    </row>
    <row r="12">
      <c r="A12" s="37"/>
      <c r="B12" s="38">
        <v>3.0</v>
      </c>
      <c r="C12" s="48" t="str">
        <f>IFERROR(__xludf.DUMMYFUNCTION("""COMPUTED_VALUE"""),"Sebastian Gonzalo")</f>
        <v>Sebastian Gonzalo</v>
      </c>
      <c r="D12" s="39" t="str">
        <f>IFERROR(__xludf.DUMMYFUNCTION("""COMPUTED_VALUE"""),"Gil")</f>
        <v>Gil</v>
      </c>
      <c r="E12" s="40"/>
      <c r="F12" s="49">
        <v>3.0</v>
      </c>
      <c r="G12" s="39" t="str">
        <f>IFERROR(__xludf.DUMMYFUNCTION("""COMPUTED_VALUE"""),"Leandro")</f>
        <v>Leandro</v>
      </c>
      <c r="H12" s="39" t="str">
        <f>IFERROR(__xludf.DUMMYFUNCTION("""COMPUTED_VALUE"""),"Cacerez")</f>
        <v>Cacerez</v>
      </c>
      <c r="I12" s="47"/>
      <c r="J12" s="41">
        <v>3.0</v>
      </c>
      <c r="K12" s="42" t="str">
        <f>IFERROR(__xludf.DUMMYFUNCTION("""COMPUTED_VALUE"""),"Lucas")</f>
        <v>Lucas</v>
      </c>
      <c r="L12" s="46" t="str">
        <f>IFERROR(__xludf.DUMMYFUNCTION("""COMPUTED_VALUE"""),"Ibarra")</f>
        <v>Ibarra</v>
      </c>
      <c r="M12" s="40"/>
      <c r="N12" s="41">
        <v>3.0</v>
      </c>
      <c r="O12" s="46" t="str">
        <f>IFERROR(__xludf.DUMMYFUNCTION("""COMPUTED_VALUE"""),"Axel Matías")</f>
        <v>Axel Matías</v>
      </c>
      <c r="P12" s="42" t="str">
        <f>IFERROR(__xludf.DUMMYFUNCTION("""COMPUTED_VALUE"""),"Aguirre")</f>
        <v>Aguirre</v>
      </c>
      <c r="Q12" s="40"/>
      <c r="R12" s="43"/>
      <c r="S12" s="44"/>
      <c r="T12" s="44"/>
      <c r="U12" s="22"/>
    </row>
    <row r="13">
      <c r="A13" s="37"/>
      <c r="B13" s="38">
        <v>4.0</v>
      </c>
      <c r="C13" s="39" t="str">
        <f>IFERROR(__xludf.DUMMYFUNCTION("""COMPUTED_VALUE"""),"Esmir")</f>
        <v>Esmir</v>
      </c>
      <c r="D13" s="39" t="str">
        <f>IFERROR(__xludf.DUMMYFUNCTION("""COMPUTED_VALUE"""),"Cáceres")</f>
        <v>Cáceres</v>
      </c>
      <c r="E13" s="40"/>
      <c r="F13" s="38">
        <v>4.0</v>
      </c>
      <c r="G13" s="39" t="str">
        <f>IFERROR(__xludf.DUMMYFUNCTION("""COMPUTED_VALUE"""),"Diego Alejandro")</f>
        <v>Diego Alejandro</v>
      </c>
      <c r="H13" s="39" t="str">
        <f>IFERROR(__xludf.DUMMYFUNCTION("""COMPUTED_VALUE"""),"Diaz")</f>
        <v>Diaz</v>
      </c>
      <c r="I13" s="40"/>
      <c r="J13" s="41">
        <v>4.0</v>
      </c>
      <c r="K13" s="42" t="str">
        <f>IFERROR(__xludf.DUMMYFUNCTION("""COMPUTED_VALUE"""),"Camila Milena")</f>
        <v>Camila Milena</v>
      </c>
      <c r="L13" s="42" t="str">
        <f>IFERROR(__xludf.DUMMYFUNCTION("""COMPUTED_VALUE"""),"Ikkert")</f>
        <v>Ikkert</v>
      </c>
      <c r="M13" s="40"/>
      <c r="N13" s="38">
        <v>4.0</v>
      </c>
      <c r="O13" s="39" t="str">
        <f>IFERROR(__xludf.DUMMYFUNCTION("""COMPUTED_VALUE"""),"Neria")</f>
        <v>Neria</v>
      </c>
      <c r="P13" s="39" t="str">
        <f>IFERROR(__xludf.DUMMYFUNCTION("""COMPUTED_VALUE"""),"Orellana")</f>
        <v>Orellana</v>
      </c>
      <c r="Q13" s="40"/>
      <c r="R13" s="43"/>
      <c r="S13" s="44"/>
      <c r="T13" s="44"/>
      <c r="U13" s="22"/>
    </row>
    <row r="14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>
      <c r="A15" s="21"/>
      <c r="B15" s="28"/>
      <c r="C15" s="22"/>
      <c r="D15" s="22"/>
      <c r="E15" s="22"/>
      <c r="F15" s="28"/>
      <c r="G15" s="22"/>
      <c r="H15" s="22"/>
      <c r="I15" s="22"/>
      <c r="J15" s="28"/>
      <c r="K15" s="22"/>
      <c r="L15" s="22"/>
      <c r="M15" s="22"/>
      <c r="N15" s="28"/>
      <c r="O15" s="22"/>
      <c r="P15" s="22"/>
      <c r="Q15" s="22"/>
      <c r="R15" s="28"/>
      <c r="S15" s="22"/>
      <c r="T15" s="22"/>
      <c r="U15" s="22"/>
    </row>
    <row r="16">
      <c r="A16" s="21"/>
      <c r="B16" s="32"/>
      <c r="C16" s="30"/>
      <c r="D16" s="31"/>
      <c r="E16" s="22"/>
      <c r="F16" s="29" t="s">
        <v>29</v>
      </c>
      <c r="G16" s="30"/>
      <c r="H16" s="31"/>
      <c r="I16" s="22"/>
      <c r="J16" s="29" t="s">
        <v>30</v>
      </c>
      <c r="K16" s="30"/>
      <c r="L16" s="31"/>
      <c r="M16" s="22"/>
      <c r="N16" s="29" t="s">
        <v>31</v>
      </c>
      <c r="O16" s="30"/>
      <c r="P16" s="31"/>
      <c r="Q16" s="22"/>
      <c r="R16" s="29" t="s">
        <v>10</v>
      </c>
      <c r="S16" s="30"/>
      <c r="T16" s="31"/>
      <c r="U16" s="22"/>
    </row>
    <row r="17">
      <c r="A17" s="21"/>
      <c r="B17" s="35"/>
      <c r="C17" s="36"/>
      <c r="D17" s="36"/>
      <c r="E17" s="22"/>
      <c r="F17" s="33"/>
      <c r="G17" s="34" t="s">
        <v>27</v>
      </c>
      <c r="H17" s="34" t="s">
        <v>28</v>
      </c>
      <c r="I17" s="22"/>
      <c r="J17" s="33"/>
      <c r="K17" s="34" t="s">
        <v>27</v>
      </c>
      <c r="L17" s="34" t="s">
        <v>28</v>
      </c>
      <c r="M17" s="22"/>
      <c r="N17" s="33"/>
      <c r="O17" s="34" t="s">
        <v>27</v>
      </c>
      <c r="P17" s="34" t="s">
        <v>28</v>
      </c>
      <c r="Q17" s="22"/>
      <c r="R17" s="33"/>
      <c r="S17" s="34" t="s">
        <v>27</v>
      </c>
      <c r="T17" s="34" t="s">
        <v>28</v>
      </c>
      <c r="U17" s="22"/>
    </row>
    <row r="18">
      <c r="A18" s="37"/>
      <c r="B18" s="43"/>
      <c r="C18" s="44"/>
      <c r="D18" s="44"/>
      <c r="E18" s="40"/>
      <c r="F18" s="38">
        <v>1.0</v>
      </c>
      <c r="G18" s="50" t="str">
        <f>IFERROR(__xludf.DUMMYFUNCTION("FILTER(Listado!A1:B59,Listado!E1:E59 = ""07"")"),"Manuel Alejandro")</f>
        <v>Manuel Alejandro</v>
      </c>
      <c r="H18" s="50" t="str">
        <f>IFERROR(__xludf.DUMMYFUNCTION("""COMPUTED_VALUE"""),"Carabajal Orte")</f>
        <v>Carabajal Orte</v>
      </c>
      <c r="I18" s="40"/>
      <c r="J18" s="38">
        <v>1.0</v>
      </c>
      <c r="K18" s="50" t="str">
        <f>IFERROR(__xludf.DUMMYFUNCTION("FILTER(Listado!A1:B59,Listado!E1:E59 = ""08"")"),"Luis")</f>
        <v>Luis</v>
      </c>
      <c r="L18" s="50" t="str">
        <f>IFERROR(__xludf.DUMMYFUNCTION("""COMPUTED_VALUE"""),"Alvarado")</f>
        <v>Alvarado</v>
      </c>
      <c r="M18" s="40"/>
      <c r="N18" s="38">
        <v>1.0</v>
      </c>
      <c r="O18" s="39" t="str">
        <f>IFERROR(__xludf.DUMMYFUNCTION("FILTER(Listado!A1:B59,Listado!E1:E59 = ""09"")"),"Alejandro ")</f>
        <v>Alejandro </v>
      </c>
      <c r="P18" s="39" t="str">
        <f>IFERROR(__xludf.DUMMYFUNCTION("""COMPUTED_VALUE"""),"Salerno ")</f>
        <v>Salerno </v>
      </c>
      <c r="Q18" s="40"/>
      <c r="R18" s="38">
        <v>1.0</v>
      </c>
      <c r="S18" s="39" t="str">
        <f>IFERROR(__xludf.DUMMYFUNCTION("FILTER(Listado!A1:B59,Listado!E1:E59 = 10)"),"Jesus")</f>
        <v>Jesus</v>
      </c>
      <c r="T18" s="39" t="str">
        <f>IFERROR(__xludf.DUMMYFUNCTION("""COMPUTED_VALUE"""),"Omaña")</f>
        <v>Omaña</v>
      </c>
      <c r="U18" s="22"/>
    </row>
    <row r="19">
      <c r="A19" s="37"/>
      <c r="B19" s="51"/>
      <c r="C19" s="52"/>
      <c r="D19" s="44"/>
      <c r="E19" s="47"/>
      <c r="F19" s="49">
        <v>2.0</v>
      </c>
      <c r="G19" s="50" t="str">
        <f>IFERROR(__xludf.DUMMYFUNCTION("""COMPUTED_VALUE"""),"Juan Matias")</f>
        <v>Juan Matias</v>
      </c>
      <c r="H19" s="53" t="str">
        <f>IFERROR(__xludf.DUMMYFUNCTION("""COMPUTED_VALUE"""),"Rossello")</f>
        <v>Rossello</v>
      </c>
      <c r="I19" s="47"/>
      <c r="J19" s="38">
        <v>2.0</v>
      </c>
      <c r="K19" s="53" t="str">
        <f>IFERROR(__xludf.DUMMYFUNCTION("""COMPUTED_VALUE"""),"Claudio")</f>
        <v>Claudio</v>
      </c>
      <c r="L19" s="53" t="str">
        <f>IFERROR(__xludf.DUMMYFUNCTION("""COMPUTED_VALUE"""),"Morales")</f>
        <v>Morales</v>
      </c>
      <c r="M19" s="40"/>
      <c r="N19" s="49">
        <v>2.0</v>
      </c>
      <c r="O19" s="48" t="str">
        <f>IFERROR(__xludf.DUMMYFUNCTION("""COMPUTED_VALUE"""),"Marina")</f>
        <v>Marina</v>
      </c>
      <c r="P19" s="39" t="str">
        <f>IFERROR(__xludf.DUMMYFUNCTION("""COMPUTED_VALUE"""),"Gonzalez")</f>
        <v>Gonzalez</v>
      </c>
      <c r="Q19" s="40"/>
      <c r="R19" s="38">
        <v>2.0</v>
      </c>
      <c r="S19" s="39" t="str">
        <f>IFERROR(__xludf.DUMMYFUNCTION("""COMPUTED_VALUE"""),"Larry")</f>
        <v>Larry</v>
      </c>
      <c r="T19" s="39" t="str">
        <f>IFERROR(__xludf.DUMMYFUNCTION("""COMPUTED_VALUE"""),"González ")</f>
        <v>González </v>
      </c>
      <c r="U19" s="22"/>
    </row>
    <row r="20">
      <c r="A20" s="37"/>
      <c r="B20" s="43"/>
      <c r="C20" s="52"/>
      <c r="D20" s="44"/>
      <c r="E20" s="40"/>
      <c r="F20" s="49">
        <v>3.0</v>
      </c>
      <c r="G20" s="50" t="str">
        <f>IFERROR(__xludf.DUMMYFUNCTION("""COMPUTED_VALUE"""),"Sergio")</f>
        <v>Sergio</v>
      </c>
      <c r="H20" s="50" t="str">
        <f>IFERROR(__xludf.DUMMYFUNCTION("""COMPUTED_VALUE"""),"Benitez")</f>
        <v>Benitez</v>
      </c>
      <c r="I20" s="47"/>
      <c r="J20" s="38">
        <v>3.0</v>
      </c>
      <c r="K20" s="50" t="str">
        <f>IFERROR(__xludf.DUMMYFUNCTION("""COMPUTED_VALUE"""),"Ariana ")</f>
        <v>Ariana </v>
      </c>
      <c r="L20" s="53" t="str">
        <f>IFERROR(__xludf.DUMMYFUNCTION("""COMPUTED_VALUE"""),"Gonzalez ")</f>
        <v>Gonzalez </v>
      </c>
      <c r="M20" s="40"/>
      <c r="N20" s="38">
        <v>3.0</v>
      </c>
      <c r="O20" s="48" t="str">
        <f>IFERROR(__xludf.DUMMYFUNCTION("""COMPUTED_VALUE"""),"Angelica ")</f>
        <v>Angelica </v>
      </c>
      <c r="P20" s="39" t="str">
        <f>IFERROR(__xludf.DUMMYFUNCTION("""COMPUTED_VALUE"""),"Carrasco ")</f>
        <v>Carrasco </v>
      </c>
      <c r="Q20" s="40"/>
      <c r="R20" s="41">
        <v>3.0</v>
      </c>
      <c r="S20" s="42" t="str">
        <f>IFERROR(__xludf.DUMMYFUNCTION("""COMPUTED_VALUE"""),"Nancy Elizabeth ")</f>
        <v>Nancy Elizabeth </v>
      </c>
      <c r="T20" s="42" t="str">
        <f>IFERROR(__xludf.DUMMYFUNCTION("""COMPUTED_VALUE"""),"Villena Reines")</f>
        <v>Villena Reines</v>
      </c>
      <c r="U20" s="22"/>
    </row>
    <row r="21">
      <c r="A21" s="37"/>
      <c r="B21" s="43"/>
      <c r="C21" s="44"/>
      <c r="D21" s="44"/>
      <c r="E21" s="40"/>
      <c r="F21" s="38">
        <v>4.0</v>
      </c>
      <c r="G21" s="50" t="str">
        <f>IFERROR(__xludf.DUMMYFUNCTION("""COMPUTED_VALUE"""),"Favio Edgardo")</f>
        <v>Favio Edgardo</v>
      </c>
      <c r="H21" s="50" t="str">
        <f>IFERROR(__xludf.DUMMYFUNCTION("""COMPUTED_VALUE"""),"Pereyra")</f>
        <v>Pereyra</v>
      </c>
      <c r="I21" s="40"/>
      <c r="J21" s="38">
        <v>4.0</v>
      </c>
      <c r="K21" s="50" t="str">
        <f>IFERROR(__xludf.DUMMYFUNCTION("""COMPUTED_VALUE"""),"Francisco Eduardo")</f>
        <v>Francisco Eduardo</v>
      </c>
      <c r="L21" s="50" t="str">
        <f>IFERROR(__xludf.DUMMYFUNCTION("""COMPUTED_VALUE"""),"Dominguez")</f>
        <v>Dominguez</v>
      </c>
      <c r="M21" s="40"/>
      <c r="N21" s="41">
        <v>4.0</v>
      </c>
      <c r="O21" s="42" t="str">
        <f>IFERROR(__xludf.DUMMYFUNCTION("""COMPUTED_VALUE"""),"Malena")</f>
        <v>Malena</v>
      </c>
      <c r="P21" s="42" t="str">
        <f>IFERROR(__xludf.DUMMYFUNCTION("""COMPUTED_VALUE"""),"Sencio")</f>
        <v>Sencio</v>
      </c>
      <c r="Q21" s="40"/>
      <c r="R21" s="41">
        <v>4.0</v>
      </c>
      <c r="S21" s="42" t="str">
        <f>IFERROR(__xludf.DUMMYFUNCTION("""COMPUTED_VALUE"""),"Josue Gabriel")</f>
        <v>Josue Gabriel</v>
      </c>
      <c r="T21" s="42" t="str">
        <f>IFERROR(__xludf.DUMMYFUNCTION("""COMPUTED_VALUE"""),"Hoenicka Duque")</f>
        <v>Hoenicka Duque</v>
      </c>
      <c r="U21" s="22"/>
    </row>
    <row r="22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>
      <c r="A23" s="21"/>
      <c r="B23" s="28"/>
      <c r="C23" s="22"/>
      <c r="D23" s="22"/>
      <c r="E23" s="22"/>
      <c r="F23" s="22"/>
      <c r="G23" s="22"/>
      <c r="H23" s="22"/>
      <c r="I23" s="22"/>
      <c r="J23" s="28"/>
      <c r="K23" s="22"/>
      <c r="L23" s="22"/>
      <c r="M23" s="22"/>
      <c r="N23" s="28"/>
      <c r="O23" s="22"/>
      <c r="P23" s="22"/>
      <c r="Q23" s="22"/>
      <c r="R23" s="28"/>
      <c r="S23" s="22"/>
      <c r="T23" s="22"/>
      <c r="U23" s="22"/>
    </row>
    <row r="24">
      <c r="A24" s="21"/>
      <c r="B24" s="54"/>
      <c r="C24" s="30"/>
      <c r="D24" s="31"/>
      <c r="E24" s="22"/>
      <c r="F24" s="29" t="s">
        <v>11</v>
      </c>
      <c r="G24" s="30"/>
      <c r="H24" s="31"/>
      <c r="I24" s="22"/>
      <c r="J24" s="29" t="s">
        <v>12</v>
      </c>
      <c r="K24" s="30"/>
      <c r="L24" s="31"/>
      <c r="M24" s="22"/>
      <c r="N24" s="55" t="s">
        <v>13</v>
      </c>
      <c r="O24" s="30"/>
      <c r="P24" s="31"/>
      <c r="Q24" s="22"/>
      <c r="R24" s="56"/>
      <c r="S24" s="30"/>
      <c r="T24" s="31"/>
      <c r="U24" s="22"/>
    </row>
    <row r="25">
      <c r="A25" s="21"/>
      <c r="B25" s="57"/>
      <c r="C25" s="58"/>
      <c r="D25" s="58"/>
      <c r="E25" s="22"/>
      <c r="F25" s="33"/>
      <c r="G25" s="34" t="s">
        <v>27</v>
      </c>
      <c r="H25" s="34" t="s">
        <v>28</v>
      </c>
      <c r="I25" s="22"/>
      <c r="J25" s="33"/>
      <c r="K25" s="34" t="s">
        <v>27</v>
      </c>
      <c r="L25" s="34" t="s">
        <v>28</v>
      </c>
      <c r="M25" s="22"/>
      <c r="N25" s="59"/>
      <c r="O25" s="60" t="s">
        <v>27</v>
      </c>
      <c r="P25" s="60" t="s">
        <v>28</v>
      </c>
      <c r="Q25" s="22"/>
      <c r="R25" s="61"/>
      <c r="S25" s="62"/>
      <c r="T25" s="62"/>
      <c r="U25" s="22"/>
    </row>
    <row r="26">
      <c r="A26" s="37"/>
      <c r="B26" s="63"/>
      <c r="C26" s="64"/>
      <c r="D26" s="64"/>
      <c r="E26" s="40"/>
      <c r="F26" s="38">
        <v>1.0</v>
      </c>
      <c r="G26" s="39" t="str">
        <f>IFERROR(__xludf.DUMMYFUNCTION("FILTER(Listado!A1:B59,Listado!E1:E59 = 12)"),"Antonela Paula Beatríz ")</f>
        <v>Antonela Paula Beatríz </v>
      </c>
      <c r="H26" s="39" t="str">
        <f>IFERROR(__xludf.DUMMYFUNCTION("""COMPUTED_VALUE"""),"Testa")</f>
        <v>Testa</v>
      </c>
      <c r="I26" s="40"/>
      <c r="J26" s="41">
        <v>1.0</v>
      </c>
      <c r="K26" s="42" t="str">
        <f>IFERROR(__xludf.DUMMYFUNCTION("FILTER(Listado!A1:B59,Listado!E1:E59 = 13)"),"María Emilia ")</f>
        <v>María Emilia </v>
      </c>
      <c r="L26" s="42" t="str">
        <f>IFERROR(__xludf.DUMMYFUNCTION("""COMPUTED_VALUE"""),"Saenz")</f>
        <v>Saenz</v>
      </c>
      <c r="M26" s="40"/>
      <c r="N26" s="65">
        <v>1.0</v>
      </c>
      <c r="O26" s="66" t="str">
        <f>IFERROR(__xludf.DUMMYFUNCTION("FILTER(Listado!A1:B59,Listado!E1:E59 = 14)"),"Lucas ")</f>
        <v>Lucas </v>
      </c>
      <c r="P26" s="66" t="str">
        <f>IFERROR(__xludf.DUMMYFUNCTION("""COMPUTED_VALUE"""),"Diez Peña ")</f>
        <v>Diez Peña </v>
      </c>
      <c r="Q26" s="40"/>
      <c r="R26" s="67"/>
      <c r="S26" s="68"/>
      <c r="T26" s="68"/>
      <c r="U26" s="22"/>
    </row>
    <row r="27">
      <c r="A27" s="37"/>
      <c r="B27" s="69"/>
      <c r="C27" s="70"/>
      <c r="D27" s="64"/>
      <c r="E27" s="47"/>
      <c r="F27" s="45">
        <v>2.0</v>
      </c>
      <c r="G27" s="42" t="str">
        <f>IFERROR(__xludf.DUMMYFUNCTION("""COMPUTED_VALUE"""),"Matias ")</f>
        <v>Matias </v>
      </c>
      <c r="H27" s="46" t="str">
        <f>IFERROR(__xludf.DUMMYFUNCTION("""COMPUTED_VALUE"""),"Santillan ")</f>
        <v>Santillan </v>
      </c>
      <c r="I27" s="47"/>
      <c r="J27" s="38">
        <v>2.0</v>
      </c>
      <c r="K27" s="48" t="str">
        <f>IFERROR(__xludf.DUMMYFUNCTION("""COMPUTED_VALUE"""),"Cesar")</f>
        <v>Cesar</v>
      </c>
      <c r="L27" s="48" t="str">
        <f>IFERROR(__xludf.DUMMYFUNCTION("""COMPUTED_VALUE"""),"Robledo")</f>
        <v>Robledo</v>
      </c>
      <c r="M27" s="40"/>
      <c r="N27" s="71">
        <v>2.0</v>
      </c>
      <c r="O27" s="72" t="str">
        <f>IFERROR(__xludf.DUMMYFUNCTION("""COMPUTED_VALUE"""),"Constanza")</f>
        <v>Constanza</v>
      </c>
      <c r="P27" s="66" t="str">
        <f>IFERROR(__xludf.DUMMYFUNCTION("""COMPUTED_VALUE"""),"Ferreyra")</f>
        <v>Ferreyra</v>
      </c>
      <c r="Q27" s="40"/>
      <c r="R27" s="67"/>
      <c r="S27" s="68"/>
      <c r="T27" s="68"/>
      <c r="U27" s="22"/>
    </row>
    <row r="28">
      <c r="A28" s="37"/>
      <c r="B28" s="63"/>
      <c r="C28" s="70"/>
      <c r="D28" s="64"/>
      <c r="E28" s="40"/>
      <c r="F28" s="49">
        <v>3.0</v>
      </c>
      <c r="G28" s="39" t="str">
        <f>IFERROR(__xludf.DUMMYFUNCTION("""COMPUTED_VALUE"""),"Lucas")</f>
        <v>Lucas</v>
      </c>
      <c r="H28" s="39" t="str">
        <f>IFERROR(__xludf.DUMMYFUNCTION("""COMPUTED_VALUE"""),"Rivero")</f>
        <v>Rivero</v>
      </c>
      <c r="I28" s="47"/>
      <c r="J28" s="38">
        <v>3.0</v>
      </c>
      <c r="K28" s="39" t="str">
        <f>IFERROR(__xludf.DUMMYFUNCTION("""COMPUTED_VALUE"""),"Lucas")</f>
        <v>Lucas</v>
      </c>
      <c r="L28" s="48" t="str">
        <f>IFERROR(__xludf.DUMMYFUNCTION("""COMPUTED_VALUE"""),"Amarillo ")</f>
        <v>Amarillo </v>
      </c>
      <c r="M28" s="40"/>
      <c r="N28" s="65">
        <v>3.0</v>
      </c>
      <c r="O28" s="72" t="str">
        <f>IFERROR(__xludf.DUMMYFUNCTION("""COMPUTED_VALUE"""),"Jose Alfredo")</f>
        <v>Jose Alfredo</v>
      </c>
      <c r="P28" s="66" t="str">
        <f>IFERROR(__xludf.DUMMYFUNCTION("""COMPUTED_VALUE"""),"Perez Angola")</f>
        <v>Perez Angola</v>
      </c>
      <c r="Q28" s="40"/>
      <c r="R28" s="67"/>
      <c r="S28" s="68"/>
      <c r="T28" s="68"/>
      <c r="U28" s="22"/>
    </row>
    <row r="29">
      <c r="A29" s="37"/>
      <c r="B29" s="63"/>
      <c r="C29" s="64"/>
      <c r="D29" s="64"/>
      <c r="E29" s="40"/>
      <c r="F29" s="38">
        <v>4.0</v>
      </c>
      <c r="G29" s="39" t="str">
        <f>IFERROR(__xludf.DUMMYFUNCTION("""COMPUTED_VALUE"""),"Franco")</f>
        <v>Franco</v>
      </c>
      <c r="H29" s="39" t="str">
        <f>IFERROR(__xludf.DUMMYFUNCTION("""COMPUTED_VALUE"""),"Ulzurrun")</f>
        <v>Ulzurrun</v>
      </c>
      <c r="I29" s="40"/>
      <c r="J29" s="38">
        <v>4.0</v>
      </c>
      <c r="K29" s="39" t="str">
        <f>IFERROR(__xludf.DUMMYFUNCTION("""COMPUTED_VALUE"""),"damian")</f>
        <v>damian</v>
      </c>
      <c r="L29" s="39" t="str">
        <f>IFERROR(__xludf.DUMMYFUNCTION("""COMPUTED_VALUE"""),"coronel burgos")</f>
        <v>coronel burgos</v>
      </c>
      <c r="M29" s="40"/>
      <c r="N29" s="65">
        <v>4.0</v>
      </c>
      <c r="O29" s="66" t="str">
        <f>IFERROR(__xludf.DUMMYFUNCTION("""COMPUTED_VALUE"""),"Gabriel Andres")</f>
        <v>Gabriel Andres</v>
      </c>
      <c r="P29" s="66" t="str">
        <f>IFERROR(__xludf.DUMMYFUNCTION("""COMPUTED_VALUE"""),"Sobrino")</f>
        <v>Sobrino</v>
      </c>
      <c r="Q29" s="40"/>
      <c r="R29" s="67"/>
      <c r="S29" s="68"/>
      <c r="T29" s="68"/>
      <c r="U29" s="22"/>
    </row>
    <row r="30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>
      <c r="A31" s="21"/>
      <c r="B31" s="28"/>
      <c r="C31" s="22"/>
      <c r="D31" s="22"/>
      <c r="E31" s="22"/>
      <c r="F31" s="28"/>
      <c r="G31" s="22"/>
      <c r="H31" s="22"/>
      <c r="I31" s="22"/>
      <c r="J31" s="28"/>
      <c r="K31" s="22"/>
      <c r="L31" s="22"/>
      <c r="M31" s="22"/>
      <c r="N31" s="28"/>
      <c r="O31" s="22"/>
      <c r="P31" s="22"/>
      <c r="Q31" s="22"/>
      <c r="R31" s="28"/>
      <c r="S31" s="22"/>
      <c r="T31" s="22"/>
      <c r="U31" s="22"/>
    </row>
    <row r="32">
      <c r="A32" s="21"/>
      <c r="B32" s="55" t="s">
        <v>14</v>
      </c>
      <c r="C32" s="30"/>
      <c r="D32" s="31"/>
      <c r="E32" s="22"/>
      <c r="F32" s="29" t="s">
        <v>15</v>
      </c>
      <c r="G32" s="30"/>
      <c r="H32" s="31"/>
      <c r="I32" s="22"/>
      <c r="J32" s="32"/>
      <c r="K32" s="30"/>
      <c r="L32" s="31"/>
      <c r="M32" s="22"/>
      <c r="N32" s="29" t="s">
        <v>16</v>
      </c>
      <c r="O32" s="30"/>
      <c r="P32" s="31"/>
      <c r="Q32" s="22"/>
      <c r="R32" s="32"/>
      <c r="S32" s="30"/>
      <c r="T32" s="31"/>
      <c r="U32" s="22"/>
    </row>
    <row r="33">
      <c r="A33" s="21"/>
      <c r="B33" s="59"/>
      <c r="C33" s="60" t="s">
        <v>27</v>
      </c>
      <c r="D33" s="60" t="s">
        <v>28</v>
      </c>
      <c r="E33" s="22"/>
      <c r="F33" s="33"/>
      <c r="G33" s="34" t="s">
        <v>27</v>
      </c>
      <c r="H33" s="34" t="s">
        <v>28</v>
      </c>
      <c r="I33" s="22"/>
      <c r="J33" s="35"/>
      <c r="K33" s="36"/>
      <c r="L33" s="36"/>
      <c r="M33" s="22"/>
      <c r="N33" s="33"/>
      <c r="O33" s="34" t="s">
        <v>27</v>
      </c>
      <c r="P33" s="34" t="s">
        <v>28</v>
      </c>
      <c r="Q33" s="22"/>
      <c r="R33" s="35"/>
      <c r="S33" s="36"/>
      <c r="T33" s="36"/>
      <c r="U33" s="22"/>
    </row>
    <row r="34">
      <c r="A34" s="37"/>
      <c r="B34" s="65">
        <v>1.0</v>
      </c>
      <c r="C34" s="73" t="str">
        <f>IFERROR(__xludf.DUMMYFUNCTION("FILTER(Listado!A1:B59,Listado!E1:E59 = 16)"),"Gonzalo")</f>
        <v>Gonzalo</v>
      </c>
      <c r="D34" s="73" t="str">
        <f>IFERROR(__xludf.DUMMYFUNCTION("""COMPUTED_VALUE"""),"Darrigrand")</f>
        <v>Darrigrand</v>
      </c>
      <c r="E34" s="40"/>
      <c r="F34" s="38">
        <v>1.0</v>
      </c>
      <c r="G34" s="50" t="str">
        <f>IFERROR(__xludf.DUMMYFUNCTION("FILTER(Listado!A1:B59,Listado!E1:E59 = 17)"),"Pablo")</f>
        <v>Pablo</v>
      </c>
      <c r="H34" s="50" t="str">
        <f>IFERROR(__xludf.DUMMYFUNCTION("""COMPUTED_VALUE"""),"Velasco")</f>
        <v>Velasco</v>
      </c>
      <c r="I34" s="40"/>
      <c r="J34" s="43"/>
      <c r="K34" s="44"/>
      <c r="L34" s="44"/>
      <c r="M34" s="40"/>
      <c r="N34" s="38">
        <v>1.0</v>
      </c>
      <c r="O34" s="39" t="str">
        <f>IFERROR(__xludf.DUMMYFUNCTION("FILTER(Listado!A1:B59,Listado!E1:E59 = 19)"),"Lucio")</f>
        <v>Lucio</v>
      </c>
      <c r="P34" s="39" t="str">
        <f>IFERROR(__xludf.DUMMYFUNCTION("""COMPUTED_VALUE"""),"Alconchel")</f>
        <v>Alconchel</v>
      </c>
      <c r="Q34" s="40"/>
      <c r="R34" s="43"/>
      <c r="S34" s="44"/>
      <c r="T34" s="44"/>
      <c r="U34" s="22"/>
    </row>
    <row r="35">
      <c r="A35" s="37"/>
      <c r="B35" s="71">
        <v>2.0</v>
      </c>
      <c r="C35" s="74" t="str">
        <f>IFERROR(__xludf.DUMMYFUNCTION("""COMPUTED_VALUE"""),"Matias")</f>
        <v>Matias</v>
      </c>
      <c r="D35" s="75" t="str">
        <f>IFERROR(__xludf.DUMMYFUNCTION("""COMPUTED_VALUE"""),"Bobbio")</f>
        <v>Bobbio</v>
      </c>
      <c r="E35" s="47"/>
      <c r="F35" s="49">
        <v>2.0</v>
      </c>
      <c r="G35" s="50" t="str">
        <f>IFERROR(__xludf.DUMMYFUNCTION("""COMPUTED_VALUE"""),"Franco")</f>
        <v>Franco</v>
      </c>
      <c r="H35" s="53" t="str">
        <f>IFERROR(__xludf.DUMMYFUNCTION("""COMPUTED_VALUE"""),"Rasia")</f>
        <v>Rasia</v>
      </c>
      <c r="I35" s="47"/>
      <c r="J35" s="43"/>
      <c r="K35" s="52"/>
      <c r="L35" s="52"/>
      <c r="M35" s="40"/>
      <c r="N35" s="49">
        <v>2.0</v>
      </c>
      <c r="O35" s="48" t="str">
        <f>IFERROR(__xludf.DUMMYFUNCTION("""COMPUTED_VALUE"""),"Eduardo")</f>
        <v>Eduardo</v>
      </c>
      <c r="P35" s="39" t="str">
        <f>IFERROR(__xludf.DUMMYFUNCTION("""COMPUTED_VALUE"""),"Pereyra")</f>
        <v>Pereyra</v>
      </c>
      <c r="Q35" s="40"/>
      <c r="R35" s="43"/>
      <c r="S35" s="44"/>
      <c r="T35" s="44"/>
      <c r="U35" s="22"/>
    </row>
    <row r="36">
      <c r="A36" s="37"/>
      <c r="B36" s="65">
        <v>3.0</v>
      </c>
      <c r="C36" s="74" t="str">
        <f>IFERROR(__xludf.DUMMYFUNCTION("""COMPUTED_VALUE"""),"Daniela Paola")</f>
        <v>Daniela Paola</v>
      </c>
      <c r="D36" s="75" t="str">
        <f>IFERROR(__xludf.DUMMYFUNCTION("""COMPUTED_VALUE"""),"Roldan Viani")</f>
        <v>Roldan Viani</v>
      </c>
      <c r="E36" s="40"/>
      <c r="F36" s="49">
        <v>3.0</v>
      </c>
      <c r="G36" s="50" t="str">
        <f>IFERROR(__xludf.DUMMYFUNCTION("""COMPUTED_VALUE"""),"Karina")</f>
        <v>Karina</v>
      </c>
      <c r="H36" s="50" t="str">
        <f>IFERROR(__xludf.DUMMYFUNCTION("""COMPUTED_VALUE"""),"Crognale")</f>
        <v>Crognale</v>
      </c>
      <c r="I36" s="47"/>
      <c r="J36" s="43"/>
      <c r="K36" s="44"/>
      <c r="L36" s="52"/>
      <c r="M36" s="40"/>
      <c r="N36" s="38">
        <v>3.0</v>
      </c>
      <c r="O36" s="48" t="str">
        <f>IFERROR(__xludf.DUMMYFUNCTION("""COMPUTED_VALUE"""),"Lucas Miguel")</f>
        <v>Lucas Miguel</v>
      </c>
      <c r="P36" s="39" t="str">
        <f>IFERROR(__xludf.DUMMYFUNCTION("""COMPUTED_VALUE"""),"Díaz")</f>
        <v>Díaz</v>
      </c>
      <c r="Q36" s="40"/>
      <c r="R36" s="43"/>
      <c r="S36" s="44"/>
      <c r="T36" s="44"/>
      <c r="U36" s="22"/>
    </row>
    <row r="37">
      <c r="A37" s="37"/>
      <c r="B37" s="76">
        <v>4.0</v>
      </c>
      <c r="C37" s="77" t="str">
        <f>IFERROR(__xludf.DUMMYFUNCTION("""COMPUTED_VALUE"""),"Andres ")</f>
        <v>Andres </v>
      </c>
      <c r="D37" s="77" t="str">
        <f>IFERROR(__xludf.DUMMYFUNCTION("""COMPUTED_VALUE"""),"Liporace")</f>
        <v>Liporace</v>
      </c>
      <c r="E37" s="40"/>
      <c r="F37" s="38">
        <v>4.0</v>
      </c>
      <c r="G37" s="50" t="str">
        <f>IFERROR(__xludf.DUMMYFUNCTION("""COMPUTED_VALUE"""),"German Lautaro ")</f>
        <v>German Lautaro </v>
      </c>
      <c r="H37" s="50" t="str">
        <f>IFERROR(__xludf.DUMMYFUNCTION("""COMPUTED_VALUE"""),"Sanchez")</f>
        <v>Sanchez</v>
      </c>
      <c r="I37" s="40"/>
      <c r="J37" s="43"/>
      <c r="K37" s="44"/>
      <c r="L37" s="44"/>
      <c r="M37" s="40"/>
      <c r="N37" s="41">
        <v>4.0</v>
      </c>
      <c r="O37" s="42" t="str">
        <f>IFERROR(__xludf.DUMMYFUNCTION("""COMPUTED_VALUE"""),"Facundo")</f>
        <v>Facundo</v>
      </c>
      <c r="P37" s="42" t="str">
        <f>IFERROR(__xludf.DUMMYFUNCTION("""COMPUTED_VALUE"""),"Conforti")</f>
        <v>Conforti</v>
      </c>
      <c r="Q37" s="40"/>
      <c r="R37" s="43"/>
      <c r="S37" s="44"/>
      <c r="T37" s="44"/>
      <c r="U37" s="22"/>
    </row>
    <row r="38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>
      <c r="A39" s="78"/>
      <c r="B39" s="79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>
      <c r="A40" s="19"/>
      <c r="B40" s="81" t="s">
        <v>17</v>
      </c>
      <c r="C40" s="30"/>
      <c r="D40" s="31"/>
      <c r="E40" s="22"/>
      <c r="F40" s="82" t="s">
        <v>18</v>
      </c>
      <c r="G40" s="30"/>
      <c r="H40" s="31"/>
      <c r="I40" s="22"/>
      <c r="J40" s="83"/>
      <c r="K40" s="30"/>
      <c r="L40" s="31"/>
      <c r="M40" s="84"/>
      <c r="N40" s="83"/>
      <c r="O40" s="30"/>
      <c r="P40" s="31"/>
      <c r="Q40" s="84"/>
      <c r="R40" s="83"/>
      <c r="S40" s="30"/>
      <c r="T40" s="31"/>
      <c r="U40" s="19"/>
    </row>
    <row r="41">
      <c r="A41" s="19"/>
      <c r="B41" s="59"/>
      <c r="C41" s="60" t="s">
        <v>27</v>
      </c>
      <c r="D41" s="60" t="s">
        <v>28</v>
      </c>
      <c r="E41" s="22"/>
      <c r="F41" s="33"/>
      <c r="G41" s="34" t="s">
        <v>27</v>
      </c>
      <c r="H41" s="34" t="s">
        <v>28</v>
      </c>
      <c r="I41" s="22"/>
      <c r="J41" s="35"/>
      <c r="K41" s="36"/>
      <c r="L41" s="36"/>
      <c r="M41" s="84"/>
      <c r="N41" s="35"/>
      <c r="O41" s="36"/>
      <c r="P41" s="36"/>
      <c r="Q41" s="84"/>
      <c r="R41" s="35"/>
      <c r="S41" s="36"/>
      <c r="T41" s="36"/>
      <c r="U41" s="19"/>
    </row>
    <row r="42">
      <c r="A42" s="19"/>
      <c r="B42" s="65">
        <v>1.0</v>
      </c>
      <c r="C42" s="85" t="str">
        <f>IFERROR(__xludf.DUMMYFUNCTION("FILTER(Listado!A1:B59,Listado!E1:E59 = 21)"),"Luis Alberto")</f>
        <v>Luis Alberto</v>
      </c>
      <c r="D42" s="85" t="str">
        <f>IFERROR(__xludf.DUMMYFUNCTION("""COMPUTED_VALUE"""),"Amaison")</f>
        <v>Amaison</v>
      </c>
      <c r="E42" s="40"/>
      <c r="F42" s="38">
        <v>1.0</v>
      </c>
      <c r="G42" s="39" t="str">
        <f>IFERROR(__xludf.DUMMYFUNCTION("FILTER(Listado!A1:B59,Listado!E1:E59 = 22)"),"fernando")</f>
        <v>fernando</v>
      </c>
      <c r="H42" s="39" t="str">
        <f>IFERROR(__xludf.DUMMYFUNCTION("""COMPUTED_VALUE"""),"pequeño magan")</f>
        <v>pequeño magan</v>
      </c>
      <c r="I42" s="40"/>
      <c r="J42" s="43"/>
      <c r="K42" s="44"/>
      <c r="L42" s="44"/>
      <c r="M42" s="86"/>
      <c r="N42" s="43"/>
      <c r="O42" s="44"/>
      <c r="P42" s="44"/>
      <c r="Q42" s="86"/>
      <c r="R42" s="43"/>
      <c r="S42" s="44"/>
      <c r="T42" s="44"/>
      <c r="U42" s="19"/>
    </row>
    <row r="43">
      <c r="A43" s="19"/>
      <c r="B43" s="71">
        <v>2.0</v>
      </c>
      <c r="C43" s="72" t="str">
        <f>IFERROR(__xludf.DUMMYFUNCTION("""COMPUTED_VALUE"""),"Guillermo Dario")</f>
        <v>Guillermo Dario</v>
      </c>
      <c r="D43" s="66" t="str">
        <f>IFERROR(__xludf.DUMMYFUNCTION("""COMPUTED_VALUE"""),"Arias")</f>
        <v>Arias</v>
      </c>
      <c r="E43" s="47"/>
      <c r="F43" s="49">
        <v>2.0</v>
      </c>
      <c r="G43" s="39" t="str">
        <f>IFERROR(__xludf.DUMMYFUNCTION("""COMPUTED_VALUE"""),"Matías ")</f>
        <v>Matías </v>
      </c>
      <c r="H43" s="48" t="str">
        <f>IFERROR(__xludf.DUMMYFUNCTION("""COMPUTED_VALUE"""),"Magliano ")</f>
        <v>Magliano </v>
      </c>
      <c r="I43" s="47"/>
      <c r="J43" s="43"/>
      <c r="K43" s="52"/>
      <c r="L43" s="52"/>
      <c r="M43" s="86"/>
      <c r="N43" s="51"/>
      <c r="O43" s="52"/>
      <c r="P43" s="44"/>
      <c r="Q43" s="86"/>
      <c r="R43" s="43"/>
      <c r="S43" s="44"/>
      <c r="T43" s="44"/>
      <c r="U43" s="19"/>
    </row>
    <row r="44">
      <c r="A44" s="19"/>
      <c r="B44" s="65">
        <v>3.0</v>
      </c>
      <c r="C44" s="72" t="str">
        <f>IFERROR(__xludf.DUMMYFUNCTION("""COMPUTED_VALUE"""),"Emilse")</f>
        <v>Emilse</v>
      </c>
      <c r="D44" s="66" t="str">
        <f>IFERROR(__xludf.DUMMYFUNCTION("""COMPUTED_VALUE"""),"Ferreyra")</f>
        <v>Ferreyra</v>
      </c>
      <c r="E44" s="40"/>
      <c r="F44" s="49">
        <v>3.0</v>
      </c>
      <c r="G44" s="39" t="str">
        <f>IFERROR(__xludf.DUMMYFUNCTION("""COMPUTED_VALUE"""),"Daniel Gustavo")</f>
        <v>Daniel Gustavo</v>
      </c>
      <c r="H44" s="39" t="str">
        <f>IFERROR(__xludf.DUMMYFUNCTION("""COMPUTED_VALUE"""),"Cuello")</f>
        <v>Cuello</v>
      </c>
      <c r="I44" s="47"/>
      <c r="J44" s="43"/>
      <c r="K44" s="44"/>
      <c r="L44" s="52"/>
      <c r="M44" s="86"/>
      <c r="N44" s="43"/>
      <c r="O44" s="52"/>
      <c r="P44" s="44"/>
      <c r="Q44" s="86"/>
      <c r="R44" s="43"/>
      <c r="S44" s="44"/>
      <c r="T44" s="44"/>
      <c r="U44" s="19"/>
    </row>
    <row r="45">
      <c r="A45" s="19"/>
      <c r="B45" s="65">
        <v>4.0</v>
      </c>
      <c r="C45" s="66" t="str">
        <f>IFERROR(__xludf.DUMMYFUNCTION("""COMPUTED_VALUE"""),"Eduardo")</f>
        <v>Eduardo</v>
      </c>
      <c r="D45" s="66" t="str">
        <f>IFERROR(__xludf.DUMMYFUNCTION("""COMPUTED_VALUE"""),"Moreno")</f>
        <v>Moreno</v>
      </c>
      <c r="E45" s="40"/>
      <c r="F45" s="41">
        <v>4.0</v>
      </c>
      <c r="G45" s="42" t="str">
        <f>IFERROR(__xludf.DUMMYFUNCTION("""COMPUTED_VALUE"""),"Axel")</f>
        <v>Axel</v>
      </c>
      <c r="H45" s="42" t="str">
        <f>IFERROR(__xludf.DUMMYFUNCTION("""COMPUTED_VALUE"""),"cuevas")</f>
        <v>cuevas</v>
      </c>
      <c r="I45" s="40"/>
      <c r="J45" s="43"/>
      <c r="K45" s="44"/>
      <c r="L45" s="44"/>
      <c r="M45" s="86"/>
      <c r="N45" s="43"/>
      <c r="O45" s="44"/>
      <c r="P45" s="44"/>
      <c r="Q45" s="86"/>
      <c r="R45" s="43"/>
      <c r="S45" s="44"/>
      <c r="T45" s="44"/>
      <c r="U45" s="19"/>
    </row>
    <row r="46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</row>
    <row r="47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</row>
    <row r="48">
      <c r="A48" s="21"/>
      <c r="B48" s="87"/>
      <c r="C48" s="30"/>
      <c r="D48" s="31"/>
      <c r="E48" s="84"/>
      <c r="F48" s="83"/>
      <c r="G48" s="30"/>
      <c r="H48" s="31"/>
      <c r="I48" s="84"/>
      <c r="J48" s="83"/>
      <c r="K48" s="30"/>
      <c r="L48" s="31"/>
      <c r="M48" s="84"/>
      <c r="N48" s="83"/>
      <c r="O48" s="30"/>
      <c r="P48" s="31"/>
      <c r="Q48" s="84"/>
      <c r="R48" s="83"/>
      <c r="S48" s="30"/>
      <c r="T48" s="31"/>
      <c r="U48" s="22"/>
    </row>
    <row r="49">
      <c r="A49" s="78"/>
      <c r="B49" s="61"/>
      <c r="C49" s="62"/>
      <c r="D49" s="62"/>
      <c r="E49" s="84"/>
      <c r="F49" s="35"/>
      <c r="G49" s="36"/>
      <c r="H49" s="36"/>
      <c r="I49" s="84"/>
      <c r="J49" s="35"/>
      <c r="K49" s="36"/>
      <c r="L49" s="36"/>
      <c r="M49" s="84"/>
      <c r="N49" s="35"/>
      <c r="O49" s="36"/>
      <c r="P49" s="36"/>
      <c r="Q49" s="84"/>
      <c r="R49" s="35"/>
      <c r="S49" s="36"/>
      <c r="T49" s="36"/>
      <c r="U49" s="80"/>
    </row>
    <row r="50">
      <c r="A50" s="19"/>
      <c r="B50" s="67"/>
      <c r="C50" s="88"/>
      <c r="D50" s="88"/>
      <c r="E50" s="86"/>
      <c r="F50" s="43"/>
      <c r="G50" s="44"/>
      <c r="H50" s="44"/>
      <c r="I50" s="86"/>
      <c r="J50" s="43"/>
      <c r="K50" s="44"/>
      <c r="L50" s="44"/>
      <c r="M50" s="86"/>
      <c r="N50" s="43"/>
      <c r="O50" s="44"/>
      <c r="P50" s="44"/>
      <c r="Q50" s="86"/>
      <c r="R50" s="43"/>
      <c r="S50" s="44"/>
      <c r="T50" s="44"/>
      <c r="U50" s="19"/>
    </row>
    <row r="51">
      <c r="A51" s="19"/>
      <c r="B51" s="89"/>
      <c r="C51" s="90"/>
      <c r="D51" s="68"/>
      <c r="E51" s="91"/>
      <c r="F51" s="51"/>
      <c r="G51" s="44"/>
      <c r="H51" s="52"/>
      <c r="I51" s="91"/>
      <c r="J51" s="43"/>
      <c r="K51" s="52"/>
      <c r="L51" s="52"/>
      <c r="M51" s="86"/>
      <c r="N51" s="51"/>
      <c r="O51" s="52"/>
      <c r="P51" s="44"/>
      <c r="Q51" s="86"/>
      <c r="R51" s="43"/>
      <c r="S51" s="44"/>
      <c r="T51" s="44"/>
      <c r="U51" s="19"/>
    </row>
    <row r="52">
      <c r="A52" s="19"/>
      <c r="B52" s="67"/>
      <c r="C52" s="90"/>
      <c r="D52" s="68"/>
      <c r="E52" s="86"/>
      <c r="F52" s="51"/>
      <c r="G52" s="44"/>
      <c r="H52" s="44"/>
      <c r="I52" s="91"/>
      <c r="J52" s="43"/>
      <c r="K52" s="44"/>
      <c r="L52" s="52"/>
      <c r="M52" s="86"/>
      <c r="N52" s="43"/>
      <c r="O52" s="52"/>
      <c r="P52" s="44"/>
      <c r="Q52" s="86"/>
      <c r="R52" s="43"/>
      <c r="S52" s="44"/>
      <c r="T52" s="44"/>
      <c r="U52" s="19"/>
    </row>
    <row r="53">
      <c r="A53" s="19"/>
      <c r="B53" s="67"/>
      <c r="C53" s="68"/>
      <c r="D53" s="68"/>
      <c r="E53" s="86"/>
      <c r="F53" s="43"/>
      <c r="G53" s="44"/>
      <c r="H53" s="44"/>
      <c r="I53" s="86"/>
      <c r="J53" s="43"/>
      <c r="K53" s="44"/>
      <c r="L53" s="44"/>
      <c r="M53" s="86"/>
      <c r="N53" s="43"/>
      <c r="O53" s="44"/>
      <c r="P53" s="44"/>
      <c r="Q53" s="86"/>
      <c r="R53" s="43"/>
      <c r="S53" s="44"/>
      <c r="T53" s="44"/>
      <c r="U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</sheetData>
  <mergeCells count="30">
    <mergeCell ref="B8:D8"/>
    <mergeCell ref="F8:H8"/>
    <mergeCell ref="J8:L8"/>
    <mergeCell ref="N8:P8"/>
    <mergeCell ref="R8:T8"/>
    <mergeCell ref="B16:D16"/>
    <mergeCell ref="F16:H16"/>
    <mergeCell ref="R16:T16"/>
    <mergeCell ref="J16:L16"/>
    <mergeCell ref="N16:P16"/>
    <mergeCell ref="B24:D24"/>
    <mergeCell ref="F24:H24"/>
    <mergeCell ref="J24:L24"/>
    <mergeCell ref="N24:P24"/>
    <mergeCell ref="R24:T24"/>
    <mergeCell ref="J40:L40"/>
    <mergeCell ref="N40:P40"/>
    <mergeCell ref="B48:D48"/>
    <mergeCell ref="F48:H48"/>
    <mergeCell ref="J48:L48"/>
    <mergeCell ref="N48:P48"/>
    <mergeCell ref="R48:T48"/>
    <mergeCell ref="B32:D32"/>
    <mergeCell ref="F32:H32"/>
    <mergeCell ref="J32:L32"/>
    <mergeCell ref="N32:P32"/>
    <mergeCell ref="R32:T32"/>
    <mergeCell ref="B40:D40"/>
    <mergeCell ref="F40:H40"/>
    <mergeCell ref="R40:T40"/>
  </mergeCells>
  <drawing r:id="rId1"/>
</worksheet>
</file>