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&amp; Poors Qualification" sheetId="1" r:id="rId4"/>
    <sheet state="visible" name="Stock Sector" sheetId="2" r:id="rId5"/>
    <sheet state="visible" name="Stock Industry" sheetId="3" r:id="rId6"/>
    <sheet state="visible" name="Paises" sheetId="4" r:id="rId7"/>
    <sheet state="visible" name="Planilla 1 - Stock Name" sheetId="5" r:id="rId8"/>
    <sheet state="visible" name="IMPORTRANGE" sheetId="6" r:id="rId9"/>
  </sheets>
  <definedNames/>
  <calcPr/>
</workbook>
</file>

<file path=xl/sharedStrings.xml><?xml version="1.0" encoding="utf-8"?>
<sst xmlns="http://schemas.openxmlformats.org/spreadsheetml/2006/main" count="1933" uniqueCount="1930">
  <si>
    <t>id_sp_q</t>
  </si>
  <si>
    <t>qualification</t>
  </si>
  <si>
    <t>A</t>
  </si>
  <si>
    <t>A-</t>
  </si>
  <si>
    <t>A+</t>
  </si>
  <si>
    <t>AA</t>
  </si>
  <si>
    <t>AA-</t>
  </si>
  <si>
    <t>AA+</t>
  </si>
  <si>
    <t>AAA</t>
  </si>
  <si>
    <t>B</t>
  </si>
  <si>
    <t>B-</t>
  </si>
  <si>
    <t>B+</t>
  </si>
  <si>
    <t>BB</t>
  </si>
  <si>
    <t>BB-</t>
  </si>
  <si>
    <t>BB+</t>
  </si>
  <si>
    <t>BBB</t>
  </si>
  <si>
    <t>BBB-</t>
  </si>
  <si>
    <t>BBB+</t>
  </si>
  <si>
    <t>C</t>
  </si>
  <si>
    <t>CC</t>
  </si>
  <si>
    <t>CCC</t>
  </si>
  <si>
    <t>D</t>
  </si>
  <si>
    <t>id_ss</t>
  </si>
  <si>
    <t>stock_sector</t>
  </si>
  <si>
    <t>Public Utilities</t>
  </si>
  <si>
    <t>n/a</t>
  </si>
  <si>
    <t>Energy</t>
  </si>
  <si>
    <t>Finance</t>
  </si>
  <si>
    <t>Consumer Services</t>
  </si>
  <si>
    <t>Health Care</t>
  </si>
  <si>
    <t>Transportation</t>
  </si>
  <si>
    <t>Capital Goods</t>
  </si>
  <si>
    <t>Basic Industries</t>
  </si>
  <si>
    <t>Consumer Durables</t>
  </si>
  <si>
    <t>Technology</t>
  </si>
  <si>
    <t>Miscellaneous</t>
  </si>
  <si>
    <t>Consumer Non-Durables</t>
  </si>
  <si>
    <t>stock_industry</t>
  </si>
  <si>
    <t>id_si</t>
  </si>
  <si>
    <t>Accident &amp;Health Insurance</t>
  </si>
  <si>
    <t>Advertising</t>
  </si>
  <si>
    <t>Aerospace</t>
  </si>
  <si>
    <t>Agricultural Chemicals</t>
  </si>
  <si>
    <t>Air Freight/Delivery Services</t>
  </si>
  <si>
    <t>Apparel</t>
  </si>
  <si>
    <t>Auto Manufacturing</t>
  </si>
  <si>
    <t>Auto Parts:O.E.M.</t>
  </si>
  <si>
    <t>Automotive Aftermarket</t>
  </si>
  <si>
    <t>Banks</t>
  </si>
  <si>
    <t>Beverages (Production/Distribution)</t>
  </si>
  <si>
    <t>Biotechnology: Biological Products (No Diagnostic Substances)</t>
  </si>
  <si>
    <t>Biotechnology: Commercial Physical &amp; Biological Resarch</t>
  </si>
  <si>
    <t>Biotechnology: Electromedical &amp; Electrotherapeutic Apparatus</t>
  </si>
  <si>
    <t>Biotechnology: In Vitro &amp; In Vivo Diagnostic Substances</t>
  </si>
  <si>
    <t>Biotechnology: Laboratory Analytical Instruments</t>
  </si>
  <si>
    <t>Broadcasting</t>
  </si>
  <si>
    <t>Building Materials</t>
  </si>
  <si>
    <t>Building operators</t>
  </si>
  <si>
    <t>Building Products</t>
  </si>
  <si>
    <t>Business Services</t>
  </si>
  <si>
    <t>Catalog/Specialty Distribution</t>
  </si>
  <si>
    <t>Clothing/Shoe/Accessory Stores</t>
  </si>
  <si>
    <t>Coal Mining</t>
  </si>
  <si>
    <t>Commercial Banks</t>
  </si>
  <si>
    <t>Computer Communications Equipment</t>
  </si>
  <si>
    <t>Computer Manufacturing</t>
  </si>
  <si>
    <t>Computer peripheral equipment</t>
  </si>
  <si>
    <t>Computer Software: Prepackaged Software</t>
  </si>
  <si>
    <t>Computer Software: Programming, Data Processing</t>
  </si>
  <si>
    <t>Construction/Ag Equipment/Trucks</t>
  </si>
  <si>
    <t>Consumer Electronics/Appliances</t>
  </si>
  <si>
    <t>Consumer Electronics/Video Chains</t>
  </si>
  <si>
    <t>Consumer Specialties</t>
  </si>
  <si>
    <t>Containers/Packaging</t>
  </si>
  <si>
    <t>Department/Specialty Retail Stores</t>
  </si>
  <si>
    <t>Diversified Commercial Services</t>
  </si>
  <si>
    <t>Diversified Financial Services</t>
  </si>
  <si>
    <t>EDP Services</t>
  </si>
  <si>
    <t>Electric Utilities: Central</t>
  </si>
  <si>
    <t>Electrical Products</t>
  </si>
  <si>
    <t>Electronic Components</t>
  </si>
  <si>
    <t>Electronics Distribution</t>
  </si>
  <si>
    <t>Engineering &amp; Construction</t>
  </si>
  <si>
    <t>Environmental Services</t>
  </si>
  <si>
    <t>Farming/Seeds/Milling</t>
  </si>
  <si>
    <t>Finance Companies</t>
  </si>
  <si>
    <t>Finance: Consumer Services</t>
  </si>
  <si>
    <t>Finance/Investors Services</t>
  </si>
  <si>
    <t>Fluid Controls</t>
  </si>
  <si>
    <t>Food Chains</t>
  </si>
  <si>
    <t>Food Distributors</t>
  </si>
  <si>
    <t>Forest Products</t>
  </si>
  <si>
    <t>Home Furnishings</t>
  </si>
  <si>
    <t>Homebuilding</t>
  </si>
  <si>
    <t>Hospital/Nursing Management</t>
  </si>
  <si>
    <t>Hotels/Resorts</t>
  </si>
  <si>
    <t>Industrial Machinery/Components</t>
  </si>
  <si>
    <t>Industrial Specialties</t>
  </si>
  <si>
    <t>Integrated oil Companies</t>
  </si>
  <si>
    <t>Investment Bankers/Brokers/Service</t>
  </si>
  <si>
    <t>Investment Managers</t>
  </si>
  <si>
    <t>Life Insurance</t>
  </si>
  <si>
    <t>Major Banks</t>
  </si>
  <si>
    <t>Major Chemicals</t>
  </si>
  <si>
    <t>Major Pharmaceuticals</t>
  </si>
  <si>
    <t>Marine Transportation</t>
  </si>
  <si>
    <t>Meat/Poultry/Fish</t>
  </si>
  <si>
    <t>Medical Electronics</t>
  </si>
  <si>
    <t>Medical Specialities</t>
  </si>
  <si>
    <t>Medical/Dental Instruments</t>
  </si>
  <si>
    <t>Medical/Nursing Services</t>
  </si>
  <si>
    <t>Metal Fabrications</t>
  </si>
  <si>
    <t>Military/Government/Technical</t>
  </si>
  <si>
    <t>Mining &amp; Quarrying of Nonmetallic Minerals (No Fuels)</t>
  </si>
  <si>
    <t>Miscellaneous manufacturing industries</t>
  </si>
  <si>
    <t>Motor Vehicles</t>
  </si>
  <si>
    <t>Movies/Entertainment</t>
  </si>
  <si>
    <t>Multi-Sector Companies</t>
  </si>
  <si>
    <t>Natural Gas Distribution</t>
  </si>
  <si>
    <t>Newspapers/Magazines</t>
  </si>
  <si>
    <t>Office Equipment/Supplies/Services</t>
  </si>
  <si>
    <t>Oil &amp; Gas Production</t>
  </si>
  <si>
    <t>Oil Refining/Marketing</t>
  </si>
  <si>
    <t>Oil/Gas Transmission</t>
  </si>
  <si>
    <t>Oilfield Services/Equipment</t>
  </si>
  <si>
    <t>Ordnance And Accessories</t>
  </si>
  <si>
    <t>Other Consumer Services</t>
  </si>
  <si>
    <t>Other Pharmaceuticals</t>
  </si>
  <si>
    <t>Other Specialty Stores</t>
  </si>
  <si>
    <t>Other Transportation</t>
  </si>
  <si>
    <t>Package Goods/Cosmetics</t>
  </si>
  <si>
    <t>Packaged Foods</t>
  </si>
  <si>
    <t>Paints/Coatings</t>
  </si>
  <si>
    <t>Paper</t>
  </si>
  <si>
    <t>Plastic Products</t>
  </si>
  <si>
    <t>Power Generation</t>
  </si>
  <si>
    <t>Precious Metals</t>
  </si>
  <si>
    <t>Professional Services</t>
  </si>
  <si>
    <t>Property-Casualty Insurers</t>
  </si>
  <si>
    <t>Publishing</t>
  </si>
  <si>
    <t>Radio And Television Broadcasting And Communications Equipment</t>
  </si>
  <si>
    <t>Railroads</t>
  </si>
  <si>
    <t>Real Estate</t>
  </si>
  <si>
    <t>Real Estate Investment Trusts</t>
  </si>
  <si>
    <t>Recreational Products/Toys</t>
  </si>
  <si>
    <t>Restaurants</t>
  </si>
  <si>
    <t>Retail: Computer Software &amp; Peripheral Equipment</t>
  </si>
  <si>
    <t>Savings Institutions</t>
  </si>
  <si>
    <t>Semiconductors</t>
  </si>
  <si>
    <t>Services-Misc. Amusement &amp; Recreation</t>
  </si>
  <si>
    <t>Shoe Manufacturing</t>
  </si>
  <si>
    <t>Specialty Chemicals</t>
  </si>
  <si>
    <t>Specialty Foods</t>
  </si>
  <si>
    <t>Specialty Insurers</t>
  </si>
  <si>
    <t>Steel/Iron Ore</t>
  </si>
  <si>
    <t>Telecommunications Equipment</t>
  </si>
  <si>
    <t>Television Services</t>
  </si>
  <si>
    <t>Tools/Hardware</t>
  </si>
  <si>
    <t>Transportation Services</t>
  </si>
  <si>
    <t>Trucking Freight/Courier Services</t>
  </si>
  <si>
    <t>Water Supply</t>
  </si>
  <si>
    <t>Wholesale Distributors</t>
  </si>
  <si>
    <t>id_country</t>
  </si>
  <si>
    <t>country</t>
  </si>
  <si>
    <t>Afghanistan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</si>
  <si>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</si>
  <si>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</si>
  <si>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</si>
  <si>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</si>
  <si>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</si>
  <si>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</si>
  <si>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</si>
  <si>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</si>
  <si>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</si>
  <si>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</si>
  <si>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</si>
  <si>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Bolivia</t>
  </si>
  <si>
    <t>Bonaire, Saint Eustatius and Saba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</si>
  <si>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</si>
  <si>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</si>
  <si>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</si>
  <si>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</si>
  <si>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</si>
  <si>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</si>
  <si>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</si>
  <si>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</si>
  <si>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</si>
  <si>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</si>
  <si>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</si>
  <si>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</si>
  <si>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</si>
  <si>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</si>
  <si>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</si>
  <si>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</si>
  <si>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</si>
  <si>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</si>
  <si>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</si>
  <si>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</si>
  <si>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</si>
  <si>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</si>
  <si>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</si>
  <si>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</si>
  <si>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</si>
  <si>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</si>
  <si>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</si>
  <si>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</si>
  <si>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</si>
  <si>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</si>
  <si>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</si>
  <si>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</si>
  <si>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Malvinas Islands</t>
  </si>
  <si>
    <t>Finland</t>
  </si>
  <si>
    <t>France</t>
  </si>
  <si>
    <t>French Polynesia</t>
  </si>
  <si>
    <t>Gabon</t>
  </si>
  <si>
    <t>Gambia</t>
  </si>
  <si>
    <t>Georgia</t>
  </si>
  <si>
    <t>Germany</t>
  </si>
  <si>
    <t>Greece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</si>
  <si>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</si>
  <si>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</si>
  <si>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</si>
  <si>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</si>
  <si>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</si>
  <si>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</si>
  <si>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</si>
  <si>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</si>
  <si>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</si>
  <si>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</si>
  <si>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</si>
  <si>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</si>
  <si>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</si>
  <si>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</si>
  <si>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</si>
  <si>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</si>
  <si>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</si>
  <si>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</si>
  <si>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</si>
  <si>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</si>
  <si>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</si>
  <si>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</si>
  <si>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</si>
  <si>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</si>
  <si>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</si>
  <si>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</si>
  <si>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Lesotho</t>
  </si>
  <si>
    <t>Liberia</t>
  </si>
  <si>
    <t>Libya</t>
  </si>
  <si>
    <t>Lithuania</t>
  </si>
  <si>
    <t>Luxembourg</t>
  </si>
  <si>
    <t>Macedonia</t>
  </si>
  <si>
    <t>Madagascar</t>
  </si>
  <si>
    <t>Malaysia</t>
  </si>
  <si>
    <t>Mali</t>
  </si>
  <si>
    <t>Malta</t>
  </si>
  <si>
    <t>Martinique</t>
  </si>
  <si>
    <t>Mauritius</t>
  </si>
  <si>
    <t>Mexico</t>
  </si>
  <si>
    <t>Micronesia</t>
  </si>
  <si>
    <t>Moldova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</si>
  <si>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</si>
  <si>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</si>
  <si>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</si>
  <si>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</si>
  <si>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</si>
  <si>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</si>
  <si>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</si>
  <si>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</si>
  <si>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</si>
  <si>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</si>
  <si>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</si>
  <si>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</si>
  <si>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</si>
  <si>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</si>
  <si>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</si>
  <si>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</si>
  <si>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</si>
  <si>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</si>
  <si>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</si>
  <si>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</si>
  <si>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</si>
  <si>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</si>
  <si>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</si>
  <si>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</si>
  <si>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Poland</t>
  </si>
  <si>
    <t>Portugal</t>
  </si>
  <si>
    <t>Reunion</t>
  </si>
  <si>
    <t>Russia</t>
  </si>
  <si>
    <t>Rwanda</t>
  </si>
  <si>
    <t>Saudi Arabia</t>
  </si>
  <si>
    <t>Senegal</t>
  </si>
  <si>
    <t>Serbia</t>
  </si>
  <si>
    <t>Sierra Leone</t>
  </si>
  <si>
    <t>Slovenia</t>
  </si>
  <si>
    <t>South Africa</t>
  </si>
  <si>
    <t>South Korea</t>
  </si>
  <si>
    <t>South Sudan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</si>
  <si>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</si>
  <si>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</si>
  <si>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</si>
  <si>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</si>
  <si>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</si>
  <si>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</si>
  <si>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</si>
  <si>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</si>
  <si>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</si>
  <si>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</si>
  <si>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</si>
  <si>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</si>
  <si>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</si>
  <si>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</si>
  <si>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</si>
  <si>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</si>
  <si>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</si>
  <si>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</si>
  <si>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</si>
  <si>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</si>
  <si>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</si>
  <si>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Vanuatu</t>
  </si>
  <si>
    <t>Venezuela</t>
  </si>
  <si>
    <t>Vietnam</t>
  </si>
  <si>
    <t>Yemen</t>
  </si>
  <si>
    <t>Zambia</t>
  </si>
  <si>
    <t>Zimbabwe</t>
  </si>
  <si>
    <t>id_sn</t>
  </si>
  <si>
    <t>stock_name</t>
  </si>
  <si>
    <t>180 Degree Capital Corp.</t>
  </si>
  <si>
    <t>2U, Inc.</t>
  </si>
  <si>
    <t>500.com Limited</t>
  </si>
  <si>
    <t>AAR Corp.</t>
  </si>
  <si>
    <t>AbbVie Inc.</t>
  </si>
  <si>
    <t>Aberdeen Greater China Fund, Inc.</t>
  </si>
  <si>
    <t>Aberdeen Japan Equity Fund, Inc.</t>
  </si>
  <si>
    <t>ABM Industries Incorporated</t>
  </si>
  <si>
    <t>Acadia Realty Trust</t>
  </si>
  <si>
    <t>Access National Corporation</t>
  </si>
  <si>
    <t>Acorda Therapeutics, Inc.</t>
  </si>
  <si>
    <t>Activision Blizzard, Inc</t>
  </si>
  <si>
    <t>Actuant Corporation</t>
  </si>
  <si>
    <t>Acxiom Corporation</t>
  </si>
  <si>
    <t>Adamis Pharmaceuticals Corporation</t>
  </si>
  <si>
    <t>Adams Diversified Equity Fund, Inc.</t>
  </si>
  <si>
    <t>Adaptimmune Therapeutics plc</t>
  </si>
  <si>
    <t>ADDvantage Technologies Group, Inc.</t>
  </si>
  <si>
    <t>Adecoagro S.A.</t>
  </si>
  <si>
    <t>Adesto Technologies Corporation</t>
  </si>
  <si>
    <t>Adient plc</t>
  </si>
  <si>
    <t>Adobe Systems Incorporated</t>
  </si>
  <si>
    <t>Adtalem Global Education Inc.</t>
  </si>
  <si>
    <t>Aduro Biotech, Inc.</t>
  </si>
  <si>
    <t>Advanced Drainage Systems, Inc.</t>
  </si>
  <si>
    <t>Advanced Micro Devices, Inc.</t>
  </si>
  <si>
    <t>Advent/Claymore Enhanced Growth &amp; Income Fund</t>
  </si>
  <si>
    <t>AdvisorShares Market Adaptive Unconstrained Income ETF</t>
  </si>
  <si>
    <t>Aegon NV</t>
  </si>
  <si>
    <t>AG Mortgage Investment Trust, Inc.</t>
  </si>
  <si>
    <t>AGCO Corporation</t>
  </si>
  <si>
    <t>Agilent Technologies, Inc.</t>
  </si>
  <si>
    <t>Agnico Eagle Mines Limited</t>
  </si>
  <si>
    <t>Aircastle Limited</t>
  </si>
  <si>
    <t>AirMedia Group Inc</t>
  </si>
  <si>
    <t>AK Steel Holding Corporation</t>
  </si>
  <si>
    <t>Akers Biosciences Inc</t>
  </si>
  <si>
    <t>Akoustis Technologies, Inc.</t>
  </si>
  <si>
    <t>Alamos Gold Inc.</t>
  </si>
  <si>
    <t>Alaska Air Group, Inc.</t>
  </si>
  <si>
    <t>Alaska Communications Systems Group, Inc.</t>
  </si>
  <si>
    <t>Alcentra Capital Corp.</t>
  </si>
  <si>
    <t>Alder BioPharmaceuticals, Inc.</t>
  </si>
  <si>
    <t>Alere Inc.</t>
  </si>
  <si>
    <t>Alexander &amp; Baldwin Holdings, Inc.</t>
  </si>
  <si>
    <t>Algonquin Power &amp; Utilities Corp.</t>
  </si>
  <si>
    <t>Alico, Inc.</t>
  </si>
  <si>
    <t>Align Technology, Inc.</t>
  </si>
  <si>
    <t>Allegheny Technologies Incorporated</t>
  </si>
  <si>
    <t>Allegiance Bancshares, Inc.</t>
  </si>
  <si>
    <t>Allegiant Travel Company</t>
  </si>
  <si>
    <t>Allergan plc.</t>
  </si>
  <si>
    <t>Alliance California Municipal Income Fund Inc</t>
  </si>
  <si>
    <t>Alliant Energy Corporation</t>
  </si>
  <si>
    <t>AllianzGI Convertible &amp; Income Fund</t>
  </si>
  <si>
    <t>AllianzGI NFJ Dividend, Interest &amp; Premium Strategy Fund</t>
  </si>
  <si>
    <t>Allied Motion Technologies, Inc.</t>
  </si>
  <si>
    <t>Alliqua BioMedical, Inc.</t>
  </si>
  <si>
    <t>Allison Transmission Holdings, Inc.</t>
  </si>
  <si>
    <t>Allot Communications Ltd.</t>
  </si>
  <si>
    <t>Allscripts Healthcare Solutions, Inc.</t>
  </si>
  <si>
    <t>Allstate Corporation (The)</t>
  </si>
  <si>
    <t>Ally Financial Inc.</t>
  </si>
  <si>
    <t>Alon USA Energy, Inc.</t>
  </si>
  <si>
    <t>Altria Group</t>
  </si>
  <si>
    <t>Amaya Inc.</t>
  </si>
  <si>
    <t>Amazon.com, Inc.</t>
  </si>
  <si>
    <t>Ambac Financial Group, Inc.</t>
  </si>
  <si>
    <t>Ambarella, Inc.</t>
  </si>
  <si>
    <t>America Movil, S.A.B. de C.V.</t>
  </si>
  <si>
    <t>American Airlines Group, Inc.</t>
  </si>
  <si>
    <t>American Electric Technologies, Inc.</t>
  </si>
  <si>
    <t>American Financial Group, Inc.</t>
  </si>
  <si>
    <t>American Homes 4 Rent</t>
  </si>
  <si>
    <t>American International Group, Inc.</t>
  </si>
  <si>
    <t>American Midstream Partners, LP</t>
  </si>
  <si>
    <t>American Outdoor Brands Corporation</t>
  </si>
  <si>
    <t>American Software, Inc.</t>
  </si>
  <si>
    <t>American Superconductor Corporation</t>
  </si>
  <si>
    <t>AmeriGas Partners, L.P.</t>
  </si>
  <si>
    <t>AMERIPRISE FINANCIAL SERVICES, INC.</t>
  </si>
  <si>
    <t>AmeriServ Financial Inc.</t>
  </si>
  <si>
    <t>Amkor Technology, Inc.</t>
  </si>
  <si>
    <t>Amtech Systems, Inc.</t>
  </si>
  <si>
    <t>AMTEK, Inc.</t>
  </si>
  <si>
    <t>AmTrust Financial Services, Inc.</t>
  </si>
  <si>
    <t>Anadarko Petroleum Corporation</t>
  </si>
  <si>
    <t>Analog Devices, Inc.</t>
  </si>
  <si>
    <t>Anavex Life Sciences Corp.</t>
  </si>
  <si>
    <t>Andina Acquisition Corp. II</t>
  </si>
  <si>
    <t>Angie's List, Inc.</t>
  </si>
  <si>
    <t>ANI Pharmaceuticals, Inc.</t>
  </si>
  <si>
    <t>Annaly Capital Management Inc</t>
  </si>
  <si>
    <t>Anthem, Inc.</t>
  </si>
  <si>
    <t>Anworth Mortgage Asset Corporation</t>
  </si>
  <si>
    <t>Aon plc</t>
  </si>
  <si>
    <t>Apartment Investment and Management Company</t>
  </si>
  <si>
    <t>Apollo Commercial Real Estate Finance</t>
  </si>
  <si>
    <t>Apollo Endosurgery, Inc.</t>
  </si>
  <si>
    <t>Apollo Investment Corporation</t>
  </si>
  <si>
    <t>Applied DNA Sciences Inc</t>
  </si>
  <si>
    <t>Aqua America, Inc.</t>
  </si>
  <si>
    <t>AquaVenture Holdings Limited</t>
  </si>
  <si>
    <t>Aralez Pharmaceuticals Inc.</t>
  </si>
  <si>
    <t>Aratana Therapeutics, Inc.</t>
  </si>
  <si>
    <t>Arbor Realty Trust</t>
  </si>
  <si>
    <t>Arbutus Biopharma Corporation</t>
  </si>
  <si>
    <t>ARC Document Solutions, Inc.</t>
  </si>
  <si>
    <t>ARCA biopharma, Inc.</t>
  </si>
  <si>
    <t>Arcadia Biosciences, Inc.</t>
  </si>
  <si>
    <t>Arch Capital Group Ltd.</t>
  </si>
  <si>
    <t>Arch Coal, Inc.</t>
  </si>
  <si>
    <t>Archrock Partners, L.P.</t>
  </si>
  <si>
    <t>Arconic Inc.</t>
  </si>
  <si>
    <t>Ardmore Shipping Corporation</t>
  </si>
  <si>
    <t>Ares Capital Corporation</t>
  </si>
  <si>
    <t>Ares Dynamic Credit Allocation Fund, Inc.</t>
  </si>
  <si>
    <t>Ares Management L.P.</t>
  </si>
  <si>
    <t>Argan, Inc.</t>
  </si>
  <si>
    <t>Arista Networks, Inc.</t>
  </si>
  <si>
    <t>Arlington Asset Investment Corp</t>
  </si>
  <si>
    <t>Armstrong World Industries Inc</t>
  </si>
  <si>
    <t>Array BioPharma Inc.</t>
  </si>
  <si>
    <t>Arrow Electronics, Inc.</t>
  </si>
  <si>
    <t>Arrowhead Pharmaceuticals, Inc.</t>
  </si>
  <si>
    <t>Artesian Resources Corporation</t>
  </si>
  <si>
    <t>ASB Bancorp, Inc.</t>
  </si>
  <si>
    <t>Ascena Retail Group, Inc.</t>
  </si>
  <si>
    <t>Ashford Hospitality Prime, Inc.</t>
  </si>
  <si>
    <t>Ashford Hospitality Trust Inc</t>
  </si>
  <si>
    <t>Asia Pacific Wire &amp; Cable Corporation Limited</t>
  </si>
  <si>
    <t>ASML Holding N.V.</t>
  </si>
  <si>
    <t>Assembly Biosciences, Inc.</t>
  </si>
  <si>
    <t>Associated Banc-Corp</t>
  </si>
  <si>
    <t>Associated Capital Group, Inc.</t>
  </si>
  <si>
    <t>Assured Guaranty Ltd.</t>
  </si>
  <si>
    <t>At Home Group Inc.</t>
  </si>
  <si>
    <t>Athene Holding Ltd.</t>
  </si>
  <si>
    <t>Athersys, Inc.</t>
  </si>
  <si>
    <t>Atlantic American Corporation</t>
  </si>
  <si>
    <t>Atlantic Capital Bancshares, Inc.</t>
  </si>
  <si>
    <t>Atlantica Yield plc</t>
  </si>
  <si>
    <t>Atlanticus Holdings Corporation</t>
  </si>
  <si>
    <t>Atlas Air Worldwide Holdings</t>
  </si>
  <si>
    <t>aTyr Pharma, Inc.</t>
  </si>
  <si>
    <t>Audentes Therapeutics, Inc.</t>
  </si>
  <si>
    <t>Aurinia Pharmaceuticals Inc</t>
  </si>
  <si>
    <t>Auris Medical Holding AG</t>
  </si>
  <si>
    <t>Autobytel Inc.</t>
  </si>
  <si>
    <t>Autoliv, Inc.</t>
  </si>
  <si>
    <t>Avangrid, Inc.</t>
  </si>
  <si>
    <t>AVEO Pharmaceuticals, Inc.</t>
  </si>
  <si>
    <t>AveXis, Inc.</t>
  </si>
  <si>
    <t>Aviat Networks, Inc.</t>
  </si>
  <si>
    <t>Avinger, Inc.</t>
  </si>
  <si>
    <t>Avista Corporation</t>
  </si>
  <si>
    <t>Aware, Inc.</t>
  </si>
  <si>
    <t>Axalta Coating Systems Ltd.</t>
  </si>
  <si>
    <t>B Communications Ltd.</t>
  </si>
  <si>
    <t>Babcock</t>
  </si>
  <si>
    <t>BalckRock Taxable Municipal Bond Trust</t>
  </si>
  <si>
    <t>Baldwin &amp; Lyons, Inc.</t>
  </si>
  <si>
    <t>Ball Corporation</t>
  </si>
  <si>
    <t>Baltimore Gas &amp; Electric Company</t>
  </si>
  <si>
    <t>Banc of California, Inc.</t>
  </si>
  <si>
    <t>Banco Latinoamericano de Comercio Exterior, S.A.</t>
  </si>
  <si>
    <t>Banco Santander Brasil SA</t>
  </si>
  <si>
    <t>Banco Santander Chile</t>
  </si>
  <si>
    <t>Banco Santander, S.A.</t>
  </si>
  <si>
    <t>Bank of America Corporation</t>
  </si>
  <si>
    <t>Bank of N.T. Butterfield &amp; Son Limited (The)</t>
  </si>
  <si>
    <t>Bank of Nova Scotia (The)</t>
  </si>
  <si>
    <t>Bankwell Financial Group, Inc.</t>
  </si>
  <si>
    <t>Barington/Hilco Acquisition Corp.</t>
  </si>
  <si>
    <t>Baxter International Inc.</t>
  </si>
  <si>
    <t>Baytex Energy Corp</t>
  </si>
  <si>
    <t>BB&amp;T Corporation</t>
  </si>
  <si>
    <t>BCB Bancorp, Inc. (NJ)</t>
  </si>
  <si>
    <t>Bear State Financial, Inc.</t>
  </si>
  <si>
    <t>bebe stores, inc.</t>
  </si>
  <si>
    <t>Becton, Dickinson and Company</t>
  </si>
  <si>
    <t>Bellerophon Therapeutics, Inc.</t>
  </si>
  <si>
    <t>Benitec Biopharma Limited</t>
  </si>
  <si>
    <t>Berkshire Hathaway Inc.</t>
  </si>
  <si>
    <t>BGC Partners, Inc.</t>
  </si>
  <si>
    <t>Big Lots, Inc.</t>
  </si>
  <si>
    <t>Bio-Rad Laboratories, Inc.</t>
  </si>
  <si>
    <t>Bio-Techne Corp</t>
  </si>
  <si>
    <t>Bioanalytical Systems, Inc.</t>
  </si>
  <si>
    <t>Bioblast Pharma Ltd.</t>
  </si>
  <si>
    <t>BioLife Solutions, Inc.</t>
  </si>
  <si>
    <t>BioMarin Pharmaceutical Inc.</t>
  </si>
  <si>
    <t>Biomerica, Inc.</t>
  </si>
  <si>
    <t>Bioptix, Inc</t>
  </si>
  <si>
    <t>BioShares Biotechnology Products Fund</t>
  </si>
  <si>
    <t>Biostar Pharmaceuticals, Inc.</t>
  </si>
  <si>
    <t>Bitauto Holdings Limited</t>
  </si>
  <si>
    <t>Black Hills Corporation</t>
  </si>
  <si>
    <t>Black Knight Financial Services, Inc.</t>
  </si>
  <si>
    <t>Blackbaud, Inc.</t>
  </si>
  <si>
    <t>BlackBerry Limited</t>
  </si>
  <si>
    <t>Blackrock California Municipal 2018 Term Trust</t>
  </si>
  <si>
    <t>BlackRock Capital Investment Corporation</t>
  </si>
  <si>
    <t>Blackrock Defined Opportunity Credit Trust</t>
  </si>
  <si>
    <t>Blackrock Enhanced Equity Dividend Trust</t>
  </si>
  <si>
    <t>Blackrock Florida Municipal 2020 Term Trust</t>
  </si>
  <si>
    <t>Blackrock Muni New York Intermediate Duration Fund Inc</t>
  </si>
  <si>
    <t>Blackrock Municipal 2020 Term Trust</t>
  </si>
  <si>
    <t>BlackRock Municipal Target Term Trust Inc. (The)</t>
  </si>
  <si>
    <t>Blackrock MuniHoldings Fund II, Inc.</t>
  </si>
  <si>
    <t>Blackrock MuniHoldings Investment Quality Fund</t>
  </si>
  <si>
    <t>Blackrock MuniHoldings New York Quality Fund, Inc.</t>
  </si>
  <si>
    <t>Blackrock MuniYield California Fund, Inc.</t>
  </si>
  <si>
    <t>Blackrock MuniYield California Insured Fund, Inc.</t>
  </si>
  <si>
    <t>Blackrock MuniYield Fund, Inc.</t>
  </si>
  <si>
    <t>Blackrock MuniYield Investment QualityFund</t>
  </si>
  <si>
    <t>Blackrock MuniYield New Jersey Fund, Inc.</t>
  </si>
  <si>
    <t>Blackrock MuniYield Quality Fund, Inc.</t>
  </si>
  <si>
    <t>BlackRock Resources</t>
  </si>
  <si>
    <t>Blackstone / GSO Strategic Credit Fund</t>
  </si>
  <si>
    <t>Blackstone GSO Senior Floating Rate Term Fund</t>
  </si>
  <si>
    <t>BLDRS Asia 50 ADR Index Fund</t>
  </si>
  <si>
    <t>BLDRS Developed Markets 100 ADR Index Fund</t>
  </si>
  <si>
    <t>BLDRS Europe 100 ADR Index Fund</t>
  </si>
  <si>
    <t>Blueknight Energy Partners L.P., L.L.C.</t>
  </si>
  <si>
    <t>BlueLinx Holdings Inc.</t>
  </si>
  <si>
    <t>BofI Holding, Inc.</t>
  </si>
  <si>
    <t>Boingo Wireless, Inc.</t>
  </si>
  <si>
    <t>BOK Financial Corporation</t>
  </si>
  <si>
    <t>Bonso Electronics International, Inc.</t>
  </si>
  <si>
    <t>Booz Allen Hamilton Holding Corporation</t>
  </si>
  <si>
    <t>Boston Private Financial Holdings, Inc.</t>
  </si>
  <si>
    <t>Bottomline Technologies, Inc.</t>
  </si>
  <si>
    <t>Brady Corporation</t>
  </si>
  <si>
    <t>Brandywine Realty Trust</t>
  </si>
  <si>
    <t>Bridgepoint Education, Inc.</t>
  </si>
  <si>
    <t>Briggs &amp; Stratton Corporation</t>
  </si>
  <si>
    <t>Bright Horizons Family Solutions Inc.</t>
  </si>
  <si>
    <t>Bristol-Myers Squibb Company</t>
  </si>
  <si>
    <t>Bristow Group Inc</t>
  </si>
  <si>
    <t>Brixmor Property Group Inc.</t>
  </si>
  <si>
    <t>Broadcom Limited</t>
  </si>
  <si>
    <t>BroadVision, Inc.</t>
  </si>
  <si>
    <t>Brocade Communications Systems, Inc.</t>
  </si>
  <si>
    <t>Brookfield DTLA Inc.</t>
  </si>
  <si>
    <t>Brookfield Global Listed Infrastructure Income Fund</t>
  </si>
  <si>
    <t>Buenaventura Mining Company Inc.</t>
  </si>
  <si>
    <t>BullMark LatAm Select Leaders ETF</t>
  </si>
  <si>
    <t>Bunge Limited</t>
  </si>
  <si>
    <t>Burlington Stores, Inc.</t>
  </si>
  <si>
    <t>C.H. Robinson Worldwide, Inc.</t>
  </si>
  <si>
    <t>C&amp;F Financial Corporation</t>
  </si>
  <si>
    <t>Cable One, Inc.</t>
  </si>
  <si>
    <t>Cabot Corporation</t>
  </si>
  <si>
    <t>Cabot Microelectronics Corporation</t>
  </si>
  <si>
    <t>Cadiz, Inc.</t>
  </si>
  <si>
    <t>Caesars Acquisition Company</t>
  </si>
  <si>
    <t>CafePress Inc.</t>
  </si>
  <si>
    <t>CAI International, Inc.</t>
  </si>
  <si>
    <t>Cal-Maine Foods, Inc.</t>
  </si>
  <si>
    <t>Calamos Global Total Return Fund</t>
  </si>
  <si>
    <t>Callidus Software, Inc.</t>
  </si>
  <si>
    <t>Callon Petroleum Company</t>
  </si>
  <si>
    <t>Calumet Specialty Products Partners, L.P.</t>
  </si>
  <si>
    <t>Camping World Holdings, Inc.</t>
  </si>
  <si>
    <t>Capella Education Company</t>
  </si>
  <si>
    <t>Capital Bank Financial Corp.</t>
  </si>
  <si>
    <t>Capital City Bank Group</t>
  </si>
  <si>
    <t>Capital One Financial Corporation</t>
  </si>
  <si>
    <t>Capital Product Partners L.P.</t>
  </si>
  <si>
    <t>Capital Southwest Corporation</t>
  </si>
  <si>
    <t>Capital Trust, Inc.</t>
  </si>
  <si>
    <t>Capitol Federal Financial, Inc.</t>
  </si>
  <si>
    <t>Capstone Turbine Corporation</t>
  </si>
  <si>
    <t>Carbo Ceramics, Inc.</t>
  </si>
  <si>
    <t>Cardinal Health, Inc.</t>
  </si>
  <si>
    <t>Cardtronics plc</t>
  </si>
  <si>
    <t>Care.com, Inc.</t>
  </si>
  <si>
    <t>Carnival Corporation</t>
  </si>
  <si>
    <t>Carolina Financial Corporation</t>
  </si>
  <si>
    <t>Cars.com Inc.</t>
  </si>
  <si>
    <t>Cartesian, Inc.</t>
  </si>
  <si>
    <t>Caseys General Stores, Inc.</t>
  </si>
  <si>
    <t>Catalent, Inc.</t>
  </si>
  <si>
    <t>Catalyst Pharmaceuticals, Inc.</t>
  </si>
  <si>
    <t>Cathay General Bancorp</t>
  </si>
  <si>
    <t>Cavco Industries, Inc.</t>
  </si>
  <si>
    <t>CBS Corporation</t>
  </si>
  <si>
    <t>CDW Corporation</t>
  </si>
  <si>
    <t>Cedar Fair, L.P.</t>
  </si>
  <si>
    <t>Cellcom Israel, Ltd.</t>
  </si>
  <si>
    <t>Cellect Biotechnology Ltd.</t>
  </si>
  <si>
    <t>Cellectar Biosciences, Inc.</t>
  </si>
  <si>
    <t>Cementos Pacasmayo S.A.A.</t>
  </si>
  <si>
    <t>Cemex S.A.B. de C.V.</t>
  </si>
  <si>
    <t>Cemtrex Inc.</t>
  </si>
  <si>
    <t>Cencosud S.A.</t>
  </si>
  <si>
    <t>Cenovus Energy Inc</t>
  </si>
  <si>
    <t>CenterState Banks, Inc.</t>
  </si>
  <si>
    <t>Central European Media Enterprises Ltd.</t>
  </si>
  <si>
    <t>Central Federal Corporation</t>
  </si>
  <si>
    <t>Central Garden &amp; Pet Company</t>
  </si>
  <si>
    <t>CenturyLink, Inc.</t>
  </si>
  <si>
    <t>Cerner Corporation</t>
  </si>
  <si>
    <t>Cerus Corporation</t>
  </si>
  <si>
    <t>CF Industries Holdings, Inc.</t>
  </si>
  <si>
    <t>ChannelAdvisor Corporation</t>
  </si>
  <si>
    <t>Charter Communications, Inc.</t>
  </si>
  <si>
    <t>Check Point Software Technologies Ltd.</t>
  </si>
  <si>
    <t>Check-Cap Ltd.</t>
  </si>
  <si>
    <t>Cherokee Inc.</t>
  </si>
  <si>
    <t>Cherry Hill Mortgage Investment Corporation</t>
  </si>
  <si>
    <t>China Auto Logistics Inc.</t>
  </si>
  <si>
    <t>China Ceramics Co., Ltd.</t>
  </si>
  <si>
    <t>China Commercial Credit, Inc.</t>
  </si>
  <si>
    <t>China Finance Online Co. Limited</t>
  </si>
  <si>
    <t>China Jo-Jo Drugstores, Inc.</t>
  </si>
  <si>
    <t>China Lending Corporation</t>
  </si>
  <si>
    <t>China Lodging Group, Limited</t>
  </si>
  <si>
    <t>China Online Education Group</t>
  </si>
  <si>
    <t>China Telecom Corp Ltd</t>
  </si>
  <si>
    <t>China Unicom (Hong Kong) Ltd</t>
  </si>
  <si>
    <t>China Yuchai International Limited</t>
  </si>
  <si>
    <t>ChinaCache International Holdings Ltd.</t>
  </si>
  <si>
    <t>CHS Inc</t>
  </si>
  <si>
    <t>Church &amp; Dwight Company, Inc.</t>
  </si>
  <si>
    <t>Cidara Therapeutics, Inc.</t>
  </si>
  <si>
    <t>Cinedigm Corp</t>
  </si>
  <si>
    <t>Cinemark Holdings Inc</t>
  </si>
  <si>
    <t>Cisco Systems, Inc.</t>
  </si>
  <si>
    <t>Citigroup Inc.</t>
  </si>
  <si>
    <t>Citizens Community Bancorp, Inc.</t>
  </si>
  <si>
    <t>Citizens Holding Company</t>
  </si>
  <si>
    <t>City Office REIT, Inc.</t>
  </si>
  <si>
    <t>Civeo Corporation</t>
  </si>
  <si>
    <t>Clear Channel Outdoor Holdings, Inc.</t>
  </si>
  <si>
    <t>ClearBridge All Cap Growth ETF</t>
  </si>
  <si>
    <t>ClearBridge Large Cap Growth ESG ETF</t>
  </si>
  <si>
    <t>ClearSign Combustion Corporation</t>
  </si>
  <si>
    <t>Clearwater Paper Corporation</t>
  </si>
  <si>
    <t>Clipper Realty Inc.</t>
  </si>
  <si>
    <t>Cloudera, Inc.</t>
  </si>
  <si>
    <t>CMS Energy Corporation</t>
  </si>
  <si>
    <t>CNA Financial Corporation</t>
  </si>
  <si>
    <t>CNOOC Limited</t>
  </si>
  <si>
    <t>CNX Coal Resources LP</t>
  </si>
  <si>
    <t>Codexis, Inc.</t>
  </si>
  <si>
    <t>Codorus Valley Bancorp, Inc</t>
  </si>
  <si>
    <t>Cogentix Medical, Inc.</t>
  </si>
  <si>
    <t>Cognizant Technology Solutions Corporation</t>
  </si>
  <si>
    <t>Cohen &amp; Steers Inc</t>
  </si>
  <si>
    <t>Cohen &amp; Steers Reit and Preferred Income Fund Inc</t>
  </si>
  <si>
    <t>Cohu, Inc.</t>
  </si>
  <si>
    <t>Colonial High Income Municipal Trust</t>
  </si>
  <si>
    <t>Colonial Intermediate High Income Fund</t>
  </si>
  <si>
    <t>Colony NorthStar, Inc.</t>
  </si>
  <si>
    <t>Columbia Banking System, Inc.</t>
  </si>
  <si>
    <t>Columbia Sportswear Company</t>
  </si>
  <si>
    <t>Columbus McKinnon Corporation</t>
  </si>
  <si>
    <t>Comerica Incorporated</t>
  </si>
  <si>
    <t>Commerce Bancshares, Inc.</t>
  </si>
  <si>
    <t>Community Healthcare Trust Incorporated</t>
  </si>
  <si>
    <t>Companhia de saneamento Basico Do Estado De Sao Paulo - Sabesp</t>
  </si>
  <si>
    <t>Compugen Ltd.</t>
  </si>
  <si>
    <t>Comstock Holding Companies, Inc.</t>
  </si>
  <si>
    <t>ConAgra Brands, Inc.</t>
  </si>
  <si>
    <t>Concord Medical Services Holdings Limited</t>
  </si>
  <si>
    <t>Conn's, Inc.</t>
  </si>
  <si>
    <t>ConocoPhillips</t>
  </si>
  <si>
    <t>Consolidated Edison Inc</t>
  </si>
  <si>
    <t>Container Store (The)</t>
  </si>
  <si>
    <t>Continental Building Products, Inc.</t>
  </si>
  <si>
    <t>Convergys Corporation</t>
  </si>
  <si>
    <t>Conyers Park Acquisition Corp.</t>
  </si>
  <si>
    <t>Cooper-Standard Holdings Inc.</t>
  </si>
  <si>
    <t>Copart, Inc.</t>
  </si>
  <si>
    <t>Corbus Pharmaceuticals Holdings, Inc.</t>
  </si>
  <si>
    <t>Corcept Therapeutics Incorporated</t>
  </si>
  <si>
    <t>CoreLogic, Inc.</t>
  </si>
  <si>
    <t>CoreSite Realty Corporation</t>
  </si>
  <si>
    <t>Cornerstone OnDemand, Inc.</t>
  </si>
  <si>
    <t>Corning Incorporated</t>
  </si>
  <si>
    <t>Corporate Asset Backed Corp CABCO</t>
  </si>
  <si>
    <t>Corporate Office Properties Trust</t>
  </si>
  <si>
    <t>Cosan Limited</t>
  </si>
  <si>
    <t>Cotiviti Holdings, Inc.</t>
  </si>
  <si>
    <t>Cott Corporation</t>
  </si>
  <si>
    <t>County Bancorp, Inc.</t>
  </si>
  <si>
    <t>Cousins Properties Incorporated</t>
  </si>
  <si>
    <t>Covenant Transportation Group, Inc.</t>
  </si>
  <si>
    <t>CPFL Energia S.A.</t>
  </si>
  <si>
    <t>CPS Technologies Corp.</t>
  </si>
  <si>
    <t>Cracker Barrel Old Country Store, Inc.</t>
  </si>
  <si>
    <t>Craft Brew Alliance, Inc.</t>
  </si>
  <si>
    <t>Crawford &amp; Company</t>
  </si>
  <si>
    <t>Credit Suisse Group</t>
  </si>
  <si>
    <t>Crestwood Equity Partners LP</t>
  </si>
  <si>
    <t>CRH PLC</t>
  </si>
  <si>
    <t>CRISPR Therapeutics AG</t>
  </si>
  <si>
    <t>Cross Timbers Royalty Trust</t>
  </si>
  <si>
    <t>Crown Castle International Corporation</t>
  </si>
  <si>
    <t>Crown Holdings, Inc.</t>
  </si>
  <si>
    <t>CST Brands, Inc.</t>
  </si>
  <si>
    <t>Cubic Corporation</t>
  </si>
  <si>
    <t>Cumulus Media Inc.</t>
  </si>
  <si>
    <t>Curis, Inc.</t>
  </si>
  <si>
    <t>Curtiss-Wright Corporation</t>
  </si>
  <si>
    <t>Cushing Energy Income Fund (The)</t>
  </si>
  <si>
    <t>Cushing Renaissance Fund (The)</t>
  </si>
  <si>
    <t>Customers Bancorp, Inc</t>
  </si>
  <si>
    <t>CVB Financial Corporation</t>
  </si>
  <si>
    <t>CVR Partners, LP</t>
  </si>
  <si>
    <t>CVR Refining, LP</t>
  </si>
  <si>
    <t>CyberArk Software Ltd.</t>
  </si>
  <si>
    <t>Cypress Semiconductor Corporation</t>
  </si>
  <si>
    <t>CYREN Ltd.</t>
  </si>
  <si>
    <t>Cytokinetics, Incorporated</t>
  </si>
  <si>
    <t>CytomX Therapeutics, Inc.</t>
  </si>
  <si>
    <t>Cytori Therapeutics Inc</t>
  </si>
  <si>
    <t>D.R. Horton, Inc.</t>
  </si>
  <si>
    <t>Daily Journal Corp. (S.C.)</t>
  </si>
  <si>
    <t>Danaher Corporation</t>
  </si>
  <si>
    <t>DarioHealth Corp.</t>
  </si>
  <si>
    <t>Daseke, Inc.</t>
  </si>
  <si>
    <t>Dataram Corporation</t>
  </si>
  <si>
    <t>Datawatch Corporation</t>
  </si>
  <si>
    <t>DAVIDsTEA Inc.</t>
  </si>
  <si>
    <t>Davis Select Financial ETF</t>
  </si>
  <si>
    <t>DaVita Inc.</t>
  </si>
  <si>
    <t>Dawson Geophysical Company</t>
  </si>
  <si>
    <t>DCT Industrial Trust Inc</t>
  </si>
  <si>
    <t>DDR Corp.</t>
  </si>
  <si>
    <t>Deckers Outdoor Corporation</t>
  </si>
  <si>
    <t>Delphi Automotive plc</t>
  </si>
  <si>
    <t>Delta Technology Holdings Limited</t>
  </si>
  <si>
    <t>Deltic Timber Corporation</t>
  </si>
  <si>
    <t>Depomed, Inc.</t>
  </si>
  <si>
    <t>Dermira, Inc.</t>
  </si>
  <si>
    <t>Deutsche Bank AG</t>
  </si>
  <si>
    <t>DHX Media Ltd.</t>
  </si>
  <si>
    <t>Diana Shipping inc.</t>
  </si>
  <si>
    <t>Dick's Sporting Goods Inc</t>
  </si>
  <si>
    <t>Differential Brands Group Inc.</t>
  </si>
  <si>
    <t>Diffusion Pharmaceuticals Inc.</t>
  </si>
  <si>
    <t>Digital Realty Trust, Inc.</t>
  </si>
  <si>
    <t>Diodes Incorporated</t>
  </si>
  <si>
    <t>Diplomat Pharmacy, Inc.</t>
  </si>
  <si>
    <t>Discovery Communications, Inc.</t>
  </si>
  <si>
    <t>DLH Holdings Corp.</t>
  </si>
  <si>
    <t>DMC Global Inc.</t>
  </si>
  <si>
    <t>Dominion Diamond Corporation</t>
  </si>
  <si>
    <t>Dominion Energy Midstream Partners, LP</t>
  </si>
  <si>
    <t>Dominion Energy, Inc.</t>
  </si>
  <si>
    <t>Douglas Dynamics, Inc.</t>
  </si>
  <si>
    <t>Dreyfus Municipal Bond Infrastructure Fund, Inc.</t>
  </si>
  <si>
    <t>Dreyfus Strategic Municipals, Inc.</t>
  </si>
  <si>
    <t>Drive Shack Inc.</t>
  </si>
  <si>
    <t>Duff &amp; Phelps Select Energy MLP Fund Inc.</t>
  </si>
  <si>
    <t>Duff &amp; Phelps Utilities Income, Inc.</t>
  </si>
  <si>
    <t>Duke Realty Corporation</t>
  </si>
  <si>
    <t>Dupont Fabros Technology, Inc.</t>
  </si>
  <si>
    <t>DWS High Income Opportunities Fund, Inc.</t>
  </si>
  <si>
    <t>Dycom Industries, Inc.</t>
  </si>
  <si>
    <t>Dynagas LNG Partners LP</t>
  </si>
  <si>
    <t>Dynegy Inc.</t>
  </si>
  <si>
    <t>Dynex Capital, Inc.</t>
  </si>
  <si>
    <t>E.W. Scripps Company (The)</t>
  </si>
  <si>
    <t>Eagle Bancorp Montana, Inc.</t>
  </si>
  <si>
    <t>Eagle Bancorp, Inc.</t>
  </si>
  <si>
    <t>Eagle Bulk Shipping Inc.</t>
  </si>
  <si>
    <t>Earthstone Energy, Inc.</t>
  </si>
  <si>
    <t>East West Bancorp, Inc.</t>
  </si>
  <si>
    <t>Eastman Chemical Company</t>
  </si>
  <si>
    <t>Eastman Kodak Company</t>
  </si>
  <si>
    <t>Eaton Vance Corporation</t>
  </si>
  <si>
    <t>Eaton Vance Enhance Equity Income Fund</t>
  </si>
  <si>
    <t>Eaton Vance Enhanced Equity Income Fund II</t>
  </si>
  <si>
    <t>Eaton Vance Floating Rate Income Trust</t>
  </si>
  <si>
    <t>Eaton vance Floating-Rate Income Plus Fund</t>
  </si>
  <si>
    <t>Eaton Vance NextShares Trust</t>
  </si>
  <si>
    <t>Eaton Vance Senior Floating-Rate Fund</t>
  </si>
  <si>
    <t>Eaton Vance Senior Income Trust</t>
  </si>
  <si>
    <t>Eaton Vance Short Diversified Income Fund</t>
  </si>
  <si>
    <t>Eaton Vance Tax Advantaged Dividend Income Fund</t>
  </si>
  <si>
    <t>Eaton Vance Tax-Managed Buy-Write Income Fund</t>
  </si>
  <si>
    <t>Eaton Vance Tax-Managed Global Diversified Equity Income Fund</t>
  </si>
  <si>
    <t>Ebix, Inc.</t>
  </si>
  <si>
    <t>Eclipse Resources Corporation</t>
  </si>
  <si>
    <t>Eco-Stim Energy Solutions, Inc.</t>
  </si>
  <si>
    <t>Ecolab Inc.</t>
  </si>
  <si>
    <t>Ecology and Environment, Inc.</t>
  </si>
  <si>
    <t>eGain Corporation</t>
  </si>
  <si>
    <t>El Paso Corporation</t>
  </si>
  <si>
    <t>El Pollo Loco Holdings, Inc.</t>
  </si>
  <si>
    <t>Eldorado Gold Corporation</t>
  </si>
  <si>
    <t>Eldorado Resorts, Inc.</t>
  </si>
  <si>
    <t>Electro-Sensors, Inc.</t>
  </si>
  <si>
    <t>Electronics for Imaging, Inc.</t>
  </si>
  <si>
    <t>Eli Lilly and Company</t>
  </si>
  <si>
    <t>Ellie Mae, Inc.</t>
  </si>
  <si>
    <t>Ellington Financial LLC</t>
  </si>
  <si>
    <t>EMC Insurance Group Inc.</t>
  </si>
  <si>
    <t>EMCORE Corporation</t>
  </si>
  <si>
    <t>Emergent Biosolutions, Inc.</t>
  </si>
  <si>
    <t>Empire State Realty Trust, Inc.</t>
  </si>
  <si>
    <t>Enanta Pharmaceuticals, Inc.</t>
  </si>
  <si>
    <t>Encore Wire Corporation</t>
  </si>
  <si>
    <t>Endeavour Silver Corporation</t>
  </si>
  <si>
    <t>Endocyte, Inc.</t>
  </si>
  <si>
    <t>Enduro Royalty Trust</t>
  </si>
  <si>
    <t>Energen Corporation</t>
  </si>
  <si>
    <t>Energizer Holdings, Inc.</t>
  </si>
  <si>
    <t>Enerplus Corporation</t>
  </si>
  <si>
    <t>ENSCO plc</t>
  </si>
  <si>
    <t>Enstar Group Limited</t>
  </si>
  <si>
    <t>Entegris, Inc.</t>
  </si>
  <si>
    <t>Entellus Medical, Inc.</t>
  </si>
  <si>
    <t>Entergy Corporation</t>
  </si>
  <si>
    <t>Entergy Mississippi, Inc.</t>
  </si>
  <si>
    <t>Enterprise Bancorp Inc</t>
  </si>
  <si>
    <t>Entertainment Gaming Asia Incorporated</t>
  </si>
  <si>
    <t>Entravision Communications Corporation</t>
  </si>
  <si>
    <t>EOG Resources, Inc.</t>
  </si>
  <si>
    <t>EQT GP Holdings, LP</t>
  </si>
  <si>
    <t>Ericsson</t>
  </si>
  <si>
    <t>Eros International PLC</t>
  </si>
  <si>
    <t>ESSA Bancorp, Inc.</t>
  </si>
  <si>
    <t>Essent Group Ltd.</t>
  </si>
  <si>
    <t>European Equity Fund, Inc. (The)</t>
  </si>
  <si>
    <t>Ever-Glory International Group, Inc.</t>
  </si>
  <si>
    <t>Evogene Ltd.</t>
  </si>
  <si>
    <t>Evoke Pharma, Inc.</t>
  </si>
  <si>
    <t>Evolent Health, Inc</t>
  </si>
  <si>
    <t>Exxon Mobil Corporation</t>
  </si>
  <si>
    <t>FactSet Research Systems Inc.</t>
  </si>
  <si>
    <t>FalconStor Software, Inc.</t>
  </si>
  <si>
    <t>Fang Holdings Limited</t>
  </si>
  <si>
    <t>Fanhua Inc.</t>
  </si>
  <si>
    <t>Farmers &amp; Merchants Bancorp, Inc.</t>
  </si>
  <si>
    <t>Farmers National Banc Corp.</t>
  </si>
  <si>
    <t>Farmland Partners Inc.</t>
  </si>
  <si>
    <t>FARO Technologies, Inc.</t>
  </si>
  <si>
    <t>FB Financial Corporation</t>
  </si>
  <si>
    <t>FCB Financial Holdings, Inc.</t>
  </si>
  <si>
    <t>Federal Agricultural Mortgage Corporation</t>
  </si>
  <si>
    <t>Federated National Holding Company</t>
  </si>
  <si>
    <t>FedEx Corporation</t>
  </si>
  <si>
    <t>Female Health Company (The)</t>
  </si>
  <si>
    <t>Fenix Parts, Inc.</t>
  </si>
  <si>
    <t>Fidelity National Financial, Inc.</t>
  </si>
  <si>
    <t>Fidus Investment Corporation</t>
  </si>
  <si>
    <t>FinTech Acquisition Corp. II</t>
  </si>
  <si>
    <t>First American Corporation (The)</t>
  </si>
  <si>
    <t>First Bancorp, Inc (ME)</t>
  </si>
  <si>
    <t>First BanCorp.</t>
  </si>
  <si>
    <t>First Citizens BancShares, Inc.</t>
  </si>
  <si>
    <t>First Horizon National Corporation</t>
  </si>
  <si>
    <t>First Industrial Realty Trust, Inc.</t>
  </si>
  <si>
    <t>First Internet Bancorp</t>
  </si>
  <si>
    <t>FIRST REPUBLIC BANK</t>
  </si>
  <si>
    <t>First Solar, Inc.</t>
  </si>
  <si>
    <t>First Trust</t>
  </si>
  <si>
    <t>First Trust Alternative Absolute Return Strategy ETF</t>
  </si>
  <si>
    <t>First Trust Brazil AlphaDEX Fund</t>
  </si>
  <si>
    <t>First Trust Capital Strength ETF</t>
  </si>
  <si>
    <t>First Trust Developed Markets Ex-US AlphaDEX Fund</t>
  </si>
  <si>
    <t>First Trust Dynamic Europe Equity Income Fund</t>
  </si>
  <si>
    <t>First Trust Emerging Markets AlphaDEX Fund</t>
  </si>
  <si>
    <t>First Trust Emerging Markets Local Currency Bond ETF</t>
  </si>
  <si>
    <t>First Trust Emerging Markets Small Cap AlphaDEX Fund</t>
  </si>
  <si>
    <t>First Trust Hong Kong AlphaDEX Fund</t>
  </si>
  <si>
    <t>First Trust Indxx Global Agriculture ETF</t>
  </si>
  <si>
    <t>First Trust Indxx Global Natural Resources Income ETF</t>
  </si>
  <si>
    <t>First Trust International Multi-Asset Diversified Income Index</t>
  </si>
  <si>
    <t>First Trust Large Cap Growth AlphaDEX Fund</t>
  </si>
  <si>
    <t>First Trust Latin America AlphaDEX Fund</t>
  </si>
  <si>
    <t>First Trust Low Beta Income ETF</t>
  </si>
  <si>
    <t>First Trust Mid Cap Core AlphaDEX Fund</t>
  </si>
  <si>
    <t>First Trust Multi Cap Value AlphaDEX Fund</t>
  </si>
  <si>
    <t>First Trust Municipal CEF Income Opportunity ETF</t>
  </si>
  <si>
    <t>First Trust Nasdaq Retail ETF</t>
  </si>
  <si>
    <t>First Trust New Opportunities MLP &amp; Energy Fund</t>
  </si>
  <si>
    <t>First Trust Small Cap Value AlphaDEX Fund</t>
  </si>
  <si>
    <t>First Trust South Korea AlphaDEX Fund</t>
  </si>
  <si>
    <t>First Trust SSI Strategic Convertible Securities ETF</t>
  </si>
  <si>
    <t>First Trust Switzerland AlphaDEX Fund</t>
  </si>
  <si>
    <t>Five Oaks Investment Corp.</t>
  </si>
  <si>
    <t>FlexShares Credit-Scored US Corporate Bond Index Fund</t>
  </si>
  <si>
    <t>FlexShares Disciplined Duration MBS Index Fund</t>
  </si>
  <si>
    <t>FlexShares Real Assets Allocation Index Fund</t>
  </si>
  <si>
    <t>Flexsteel Industries, Inc.</t>
  </si>
  <si>
    <t>Flotek Industries, Inc.</t>
  </si>
  <si>
    <t>Fluidigm Corporation</t>
  </si>
  <si>
    <t>FMC Corporation</t>
  </si>
  <si>
    <t>FNB Bancorp</t>
  </si>
  <si>
    <t>Foamix Pharmaceuticals Ltd.</t>
  </si>
  <si>
    <t>Foresight Autonomous Holdings Ltd.</t>
  </si>
  <si>
    <t>Forestar Group Inc</t>
  </si>
  <si>
    <t>Formula Systems (1985) Ltd.</t>
  </si>
  <si>
    <t>Fortis Inc.</t>
  </si>
  <si>
    <t>Fortress Transportation and Infrastructure Investors LLC</t>
  </si>
  <si>
    <t>Fortune Brands Home &amp; Security, Inc.</t>
  </si>
  <si>
    <t>Forward Air Corporation</t>
  </si>
  <si>
    <t>Four Corners Property Trust, Inc.</t>
  </si>
  <si>
    <t>Fox Factory Holding Corp.</t>
  </si>
  <si>
    <t>Franklin Financial Network, Inc.</t>
  </si>
  <si>
    <t>Freeport-McMoran, Inc.</t>
  </si>
  <si>
    <t>Freightcar America, Inc.</t>
  </si>
  <si>
    <t>Frontline Ltd.</t>
  </si>
  <si>
    <t>FS Investment Corporation</t>
  </si>
  <si>
    <t>FTD Companies, Inc.</t>
  </si>
  <si>
    <t>G. Willi-Food International, Ltd.</t>
  </si>
  <si>
    <t>Gabelli Dividend</t>
  </si>
  <si>
    <t>Gabelli Equity Trust, Inc. (The)</t>
  </si>
  <si>
    <t>Gabelli Utility Trust (The)</t>
  </si>
  <si>
    <t>GAIN Capital Holdings, Inc.</t>
  </si>
  <si>
    <t>Galena Biopharma, Inc.</t>
  </si>
  <si>
    <t>Galmed Pharmaceuticals Ltd.</t>
  </si>
  <si>
    <t>GAMCO Natural Resources, Gold &amp; Income Tust</t>
  </si>
  <si>
    <t>Gamestop Corporation</t>
  </si>
  <si>
    <t>GasLog LP.</t>
  </si>
  <si>
    <t>GATX Corporation</t>
  </si>
  <si>
    <t>GCP Applied Technologies Inc.</t>
  </si>
  <si>
    <t>Generac Holdlings Inc.</t>
  </si>
  <si>
    <t>General American Investors, Inc.</t>
  </si>
  <si>
    <t>General Cable Corporation</t>
  </si>
  <si>
    <t>General Communication, Inc.</t>
  </si>
  <si>
    <t>General Finance Corporation</t>
  </si>
  <si>
    <t>General Motors Company</t>
  </si>
  <si>
    <t>Genesco Inc.</t>
  </si>
  <si>
    <t>Genpact Limited</t>
  </si>
  <si>
    <t>Gentex Corporation</t>
  </si>
  <si>
    <t>Genworth Financial Inc</t>
  </si>
  <si>
    <t>Geo Group Inc (The)</t>
  </si>
  <si>
    <t>Geospace Technologies Corporation</t>
  </si>
  <si>
    <t>Geron Corporation</t>
  </si>
  <si>
    <t>Getty Realty Corporation</t>
  </si>
  <si>
    <t>GGP Inc.</t>
  </si>
  <si>
    <t>Gildan Activewear, Inc.</t>
  </si>
  <si>
    <t>Gladstone Capital Corporation</t>
  </si>
  <si>
    <t>Gladstone Commercial Corporation</t>
  </si>
  <si>
    <t>Gladstone Land Corporation</t>
  </si>
  <si>
    <t>Glaukos Corporation</t>
  </si>
  <si>
    <t>GlaxoSmithKline PLC</t>
  </si>
  <si>
    <t>Global Brass and Copper Holdings, Inc.</t>
  </si>
  <si>
    <t>Global Partner Acquisition Corp.</t>
  </si>
  <si>
    <t>Global Partners LP</t>
  </si>
  <si>
    <t>Global Water Resources, Inc.</t>
  </si>
  <si>
    <t>Global X Guru Activist ETF</t>
  </si>
  <si>
    <t>Global X Social Media ETF</t>
  </si>
  <si>
    <t>Global X SuperDividend Alternatives ETF</t>
  </si>
  <si>
    <t>Global X Yieldco Index ETF</t>
  </si>
  <si>
    <t>GNC Holdings, Inc.</t>
  </si>
  <si>
    <t>Gold Fields Limited</t>
  </si>
  <si>
    <t>Goldcorp Inc.</t>
  </si>
  <si>
    <t>Golden Entertainment, Inc.</t>
  </si>
  <si>
    <t>Goldman Sachs BDC, Inc.</t>
  </si>
  <si>
    <t>Goldman Sachs Group, Inc. (The)</t>
  </si>
  <si>
    <t>Goldman Sachs MLP Energy Renaissance Fund</t>
  </si>
  <si>
    <t>Gores Holdings II, Inc.</t>
  </si>
  <si>
    <t>GP Investments Acquisition Corp.</t>
  </si>
  <si>
    <t>GP Strategies Corporation</t>
  </si>
  <si>
    <t>Graham Holdings Company</t>
  </si>
  <si>
    <t>Grana y Montero S.A.A.</t>
  </si>
  <si>
    <t>Great Elm Capital Corp.</t>
  </si>
  <si>
    <t>Great Western Bancorp, Inc.</t>
  </si>
  <si>
    <t>Green Brick Partners, Inc.</t>
  </si>
  <si>
    <t>Green Plains, Inc.</t>
  </si>
  <si>
    <t>Griffon Corporation</t>
  </si>
  <si>
    <t>Group 1 Automotive, Inc.</t>
  </si>
  <si>
    <t>Grupo Aeroportuario Del Pacifico, S.A. de C.V.</t>
  </si>
  <si>
    <t>Grupo Financiero Galicia S.A.</t>
  </si>
  <si>
    <t>Grupo Financiero Santander Mexico S.A. B. de C.V.</t>
  </si>
  <si>
    <t>GSI Technology, Inc.</t>
  </si>
  <si>
    <t>GTY Technology Holdings, Inc.</t>
  </si>
  <si>
    <t>Guaranty Federal Bancshares, Inc.</t>
  </si>
  <si>
    <t>Guess?, Inc.</t>
  </si>
  <si>
    <t>Guggenheim Credit Allocation Fund</t>
  </si>
  <si>
    <t>Guggenheim Enhanced Equity Income Fund</t>
  </si>
  <si>
    <t>Guggenheim Taxable Municipal Managed Duration Trst</t>
  </si>
  <si>
    <t>GW Pharmaceuticals Plc</t>
  </si>
  <si>
    <t>H. B. Fuller Company</t>
  </si>
  <si>
    <t>Halliburton Company</t>
  </si>
  <si>
    <t>Halyard Health, Inc.</t>
  </si>
  <si>
    <t>Hamilton Bancorp, Inc.</t>
  </si>
  <si>
    <t>Hanesbrands Inc.</t>
  </si>
  <si>
    <t>Hanmi Financial Corporation</t>
  </si>
  <si>
    <t>Hardinge Inc.</t>
  </si>
  <si>
    <t>Harmony Merger Corp.</t>
  </si>
  <si>
    <t>Harte-Hanks, Inc.</t>
  </si>
  <si>
    <t>Hartford Financial Services Group, Inc. (The)</t>
  </si>
  <si>
    <t>Harvest Capital Credit Corporation</t>
  </si>
  <si>
    <t>Haverty Furniture Companies, Inc.</t>
  </si>
  <si>
    <t>Hawaiian Holdings, Inc.</t>
  </si>
  <si>
    <t>HC2 Holdings, Inc.</t>
  </si>
  <si>
    <t>HCA Healthcare, Inc.</t>
  </si>
  <si>
    <t>HDFC Bank Limited</t>
  </si>
  <si>
    <t>Heartland Express, Inc.</t>
  </si>
  <si>
    <t>Heico Corporation</t>
  </si>
  <si>
    <t>Helen of Troy Limited</t>
  </si>
  <si>
    <t>Helios and Matheson Analytics Inc</t>
  </si>
  <si>
    <t>Hennessy Advisors, Inc.</t>
  </si>
  <si>
    <t>Heritage Commerce Corp</t>
  </si>
  <si>
    <t>Heska Corporation</t>
  </si>
  <si>
    <t>Hess Corporation</t>
  </si>
  <si>
    <t>Hibbett Sports, Inc.</t>
  </si>
  <si>
    <t>Highwoods Properties, Inc.</t>
  </si>
  <si>
    <t>Hilton Worldwide Holdings Inc.</t>
  </si>
  <si>
    <t>Hingham Institution for Savings</t>
  </si>
  <si>
    <t>HMN Financial, Inc.</t>
  </si>
  <si>
    <t>Holly Energy Partners, L.P.</t>
  </si>
  <si>
    <t>HollyFrontier Corporation</t>
  </si>
  <si>
    <t>Home Bancorp, Inc.</t>
  </si>
  <si>
    <t>Home BancShares, Inc.</t>
  </si>
  <si>
    <t>Honeywell International Inc.</t>
  </si>
  <si>
    <t>Horizons DAX Germany ETF</t>
  </si>
  <si>
    <t>Hortonworks, Inc.</t>
  </si>
  <si>
    <t>Hostess Brands, Inc.</t>
  </si>
  <si>
    <t>Houlihan Lokey, Inc.</t>
  </si>
  <si>
    <t>Howard Bancorp, Inc.</t>
  </si>
  <si>
    <t>HSBC Holdings plc</t>
  </si>
  <si>
    <t>HubSpot, Inc.</t>
  </si>
  <si>
    <t>Hudbay Minerals Inc.</t>
  </si>
  <si>
    <t>Hurco Companies, Inc.</t>
  </si>
  <si>
    <t>Hyster-Yale Materials Handling, Inc.</t>
  </si>
  <si>
    <t>IBERIABANK Corporation</t>
  </si>
  <si>
    <t>ICF International, Inc.</t>
  </si>
  <si>
    <t>ICU Medical, Inc.</t>
  </si>
  <si>
    <t>IDACORP, Inc.</t>
  </si>
  <si>
    <t>Ideal Power Inc.</t>
  </si>
  <si>
    <t>IDEX Corporation</t>
  </si>
  <si>
    <t>IDEXX Laboratories, Inc.</t>
  </si>
  <si>
    <t>IES Holdings, Inc.</t>
  </si>
  <si>
    <t>iKang Healthcare Group, Inc.</t>
  </si>
  <si>
    <t>Image Sensing Systems, Inc.</t>
  </si>
  <si>
    <t>ImmuCell Corporation</t>
  </si>
  <si>
    <t>Immune Design Corp.</t>
  </si>
  <si>
    <t>Immunomedics, Inc.</t>
  </si>
  <si>
    <t>Imperva, Inc.</t>
  </si>
  <si>
    <t>Impinj, Inc.</t>
  </si>
  <si>
    <t>Imprimis Pharmaceuticals, Inc.</t>
  </si>
  <si>
    <t>Incyte Corporation</t>
  </si>
  <si>
    <t>India Fund, Inc. (The)</t>
  </si>
  <si>
    <t>Industrial Services of America, Inc.</t>
  </si>
  <si>
    <t>Infinity Property and Casualty Corporation</t>
  </si>
  <si>
    <t>Information Services Group, Inc.</t>
  </si>
  <si>
    <t>Infosys Limited</t>
  </si>
  <si>
    <t>Innocoll Holdings</t>
  </si>
  <si>
    <t>Innovative Industrial Properties, Inc.</t>
  </si>
  <si>
    <t>Innovative Solutions and Support, Inc.</t>
  </si>
  <si>
    <t>Inotek Pharmaceuticals Corporation</t>
  </si>
  <si>
    <t>Inovio Pharmaceuticals, Inc.</t>
  </si>
  <si>
    <t>Inphi Corporation</t>
  </si>
  <si>
    <t>Insmed, Inc.</t>
  </si>
  <si>
    <t>Installed Building Products, Inc.</t>
  </si>
  <si>
    <t>Insteel Industries, Inc.</t>
  </si>
  <si>
    <t>Intelsat S.A.</t>
  </si>
  <si>
    <t>Inter Parfums, Inc.</t>
  </si>
  <si>
    <t>Interactive Brokers Group, Inc.</t>
  </si>
  <si>
    <t>Intercept Pharmaceuticals, Inc.</t>
  </si>
  <si>
    <t>Interface, Inc.</t>
  </si>
  <si>
    <t>Internap Corporation</t>
  </si>
  <si>
    <t>Internationa Flavors &amp; Fragrances, Inc.</t>
  </si>
  <si>
    <t>International Game Technology</t>
  </si>
  <si>
    <t>Internet Initiative Japan, Inc.</t>
  </si>
  <si>
    <t>Interstate Power and Light Company</t>
  </si>
  <si>
    <t>InterXion Holding N.V.</t>
  </si>
  <si>
    <t>INTL FCStone Inc.</t>
  </si>
  <si>
    <t>Intrawest Resorts Holdings, Inc.</t>
  </si>
  <si>
    <t>Invesco Bond Fund</t>
  </si>
  <si>
    <t>Invesco High Income 2023 Target Term Fund</t>
  </si>
  <si>
    <t>Investors Real Estate Trust</t>
  </si>
  <si>
    <t>Investors Title Company</t>
  </si>
  <si>
    <t>Invitae Corporation</t>
  </si>
  <si>
    <t>Ion Geophysical Corporation</t>
  </si>
  <si>
    <t>iPath US Treasury 2-year Bull ETN</t>
  </si>
  <si>
    <t>iPath US Treasury 5-year Bear ETN</t>
  </si>
  <si>
    <t>iPath US Treasury Flattener ETN</t>
  </si>
  <si>
    <t>iPath US Treasury Steepener ETN</t>
  </si>
  <si>
    <t>iRhythm Technologies, Inc.</t>
  </si>
  <si>
    <t>IRIDEX Corporation</t>
  </si>
  <si>
    <t>Iridium Communications Inc</t>
  </si>
  <si>
    <t>IRSA Inversiones Y Representaciones S.A.</t>
  </si>
  <si>
    <t>IRSA Propiedades Comerciales S.A.</t>
  </si>
  <si>
    <t>iShares Commodities Select Strategy ETF</t>
  </si>
  <si>
    <t>iShares Fallen Angels USD Bond ETF</t>
  </si>
  <si>
    <t>iShares FTSE EPRA/NAREIT Europe Index Fund</t>
  </si>
  <si>
    <t>iShares MSCI ACWI Index Fund</t>
  </si>
  <si>
    <t>iShares MSCI EM ESG Optimized ETF</t>
  </si>
  <si>
    <t>iShares MSCI Europe Financials Sector Index Fund</t>
  </si>
  <si>
    <t>iStar Financial Inc.</t>
  </si>
  <si>
    <t>ITUS Corporation</t>
  </si>
  <si>
    <t>Ivy NextShares</t>
  </si>
  <si>
    <t>J P Morgan Chase &amp; Co</t>
  </si>
  <si>
    <t>J.B. Hunt Transport Services, Inc.</t>
  </si>
  <si>
    <t>J.C. Penney Company, Inc. Holding Company</t>
  </si>
  <si>
    <t>Jagged Peak Energy Inc.</t>
  </si>
  <si>
    <t>Janus Henderson Group plc</t>
  </si>
  <si>
    <t>Janus Henderson SG Global Quality Income ETF</t>
  </si>
  <si>
    <t>Japan Smaller Capitalization Fund Inc</t>
  </si>
  <si>
    <t>Jason Industries, Inc.</t>
  </si>
  <si>
    <t>JELD-WEN Holding, Inc.</t>
  </si>
  <si>
    <t>Jensyn Acquistion Corp.</t>
  </si>
  <si>
    <t>JM Global Holding Company</t>
  </si>
  <si>
    <t>JMP Group LLC</t>
  </si>
  <si>
    <t>John Hancock Financial Opportunities Fund</t>
  </si>
  <si>
    <t>John Hancock Pfd Income Fund II</t>
  </si>
  <si>
    <t>John Hancock Preferred Income Fund III</t>
  </si>
  <si>
    <t>John Wiley &amp; Sons, Inc.</t>
  </si>
  <si>
    <t>Johnson Controls International plc</t>
  </si>
  <si>
    <t>Johnson Outdoors Inc.</t>
  </si>
  <si>
    <t>K12 Inc</t>
  </si>
  <si>
    <t>Kate Spade &amp; Company</t>
  </si>
  <si>
    <t>Kayne Anderson Acquisition Corp.</t>
  </si>
  <si>
    <t>KBL Merger Corp. IV</t>
  </si>
  <si>
    <t>KBR, Inc.</t>
  </si>
  <si>
    <t>KBS Fashion Group Limited</t>
  </si>
  <si>
    <t>KCAP Financial, Inc.</t>
  </si>
  <si>
    <t>Kearny Financial</t>
  </si>
  <si>
    <t>Kellogg Company</t>
  </si>
  <si>
    <t>Kennametal Inc.</t>
  </si>
  <si>
    <t>Keryx Biopharmaceuticals, Inc.</t>
  </si>
  <si>
    <t>Key Energy Services, Inc.</t>
  </si>
  <si>
    <t>Kforce, Inc.</t>
  </si>
  <si>
    <t>Kimberly-Clark Corporation</t>
  </si>
  <si>
    <t>Kindred Healthcare, Inc.</t>
  </si>
  <si>
    <t>Kitov Pharmaceuticals Holdings Ltd.</t>
  </si>
  <si>
    <t>KKR &amp; Co. L.P.</t>
  </si>
  <si>
    <t>Knight Transportation, Inc.</t>
  </si>
  <si>
    <t>Knowles Corporation</t>
  </si>
  <si>
    <t>Kopin Corporation</t>
  </si>
  <si>
    <t>Korea Fund, Inc. (The)</t>
  </si>
  <si>
    <t>Korn/Ferry International</t>
  </si>
  <si>
    <t>Kratos Defense &amp; Security Solutions, Inc.</t>
  </si>
  <si>
    <t>Kronos Worldwide Inc</t>
  </si>
  <si>
    <t>KT Corporation</t>
  </si>
  <si>
    <t>Kulicke and Soffa Industries, Inc.</t>
  </si>
  <si>
    <t>L.S. Starrett Company (The)</t>
  </si>
  <si>
    <t>La Jolla Pharmaceutical Company</t>
  </si>
  <si>
    <t>La Quinta Holdings Inc.</t>
  </si>
  <si>
    <t>Laboratory Corporation of America Holdings</t>
  </si>
  <si>
    <t>Lancaster Colony Corporation</t>
  </si>
  <si>
    <t>Landcadia Holdings, Inc.</t>
  </si>
  <si>
    <t>Landmark Infrastructure Partners LP</t>
  </si>
  <si>
    <t>Lands' End, Inc.</t>
  </si>
  <si>
    <t>LaSalle Hotel Properties</t>
  </si>
  <si>
    <t>Lazard Ltd.</t>
  </si>
  <si>
    <t>Lazard World Dividend &amp; Income Fund, Inc.</t>
  </si>
  <si>
    <t>Leading Brands Inc</t>
  </si>
  <si>
    <t>Lee Enterprises, Incorporated</t>
  </si>
  <si>
    <t>Legacy Reserves LP</t>
  </si>
  <si>
    <t>Legg Mason Developed EX-US Diversified Core ETF</t>
  </si>
  <si>
    <t>Leidos Holdings, Inc.</t>
  </si>
  <si>
    <t>LeMaitre Vascular, Inc.</t>
  </si>
  <si>
    <t>LendingTree, Inc.</t>
  </si>
  <si>
    <t>Level 3 Communications, Inc.</t>
  </si>
  <si>
    <t>Lexicon Pharmaceuticals, Inc.</t>
  </si>
  <si>
    <t>Lexington Realty Trust</t>
  </si>
  <si>
    <t>LG Display Co., Ltd.</t>
  </si>
  <si>
    <t>Lianluo Smart Limited</t>
  </si>
  <si>
    <t>Liberty Broadband Corporation</t>
  </si>
  <si>
    <t>Liberty Global plc</t>
  </si>
  <si>
    <t>Liberty Interactive Corporation</t>
  </si>
  <si>
    <t>Liberty Media Corporation</t>
  </si>
  <si>
    <t>Lifeway Foods, Inc.</t>
  </si>
  <si>
    <t>Ligand Pharmaceuticals Incorporated</t>
  </si>
  <si>
    <t>LightInTheBox Holding Co., Ltd.</t>
  </si>
  <si>
    <t>Limbach Holdings, Inc.</t>
  </si>
  <si>
    <t>Limelight Networks, Inc.</t>
  </si>
  <si>
    <t>Lincoln Electric Holdings, Inc.</t>
  </si>
  <si>
    <t>Lindblad Expeditions Holdings Inc.</t>
  </si>
  <si>
    <t>LINE Corporation</t>
  </si>
  <si>
    <t>Lions Gate Entertainment Corporation</t>
  </si>
  <si>
    <t>Live Nation Entertainment, Inc.</t>
  </si>
  <si>
    <t>LKQ Corporation</t>
  </si>
  <si>
    <t>Lonestar Resources US Inc.</t>
  </si>
  <si>
    <t>LRAD Corporation</t>
  </si>
  <si>
    <t>Lsb Industries Inc.</t>
  </si>
  <si>
    <t>LTC Properties, Inc.</t>
  </si>
  <si>
    <t>lululemon athletica inc.</t>
  </si>
  <si>
    <t>Lydall, Inc.</t>
  </si>
  <si>
    <t>M I Acquisitions, Inc.</t>
  </si>
  <si>
    <t>M III Acquisition Corp.</t>
  </si>
  <si>
    <t>M/I Homes, Inc.</t>
  </si>
  <si>
    <t>Macerich Company (The)</t>
  </si>
  <si>
    <t>Mack-Cali Realty Corporation</t>
  </si>
  <si>
    <t>Macquarie/First Trust Global</t>
  </si>
  <si>
    <t>MacroGenics, Inc.</t>
  </si>
  <si>
    <t>Madison Strategic Sector Premium Fund</t>
  </si>
  <si>
    <t>Madrigal Pharmaceuticals, Inc.</t>
  </si>
  <si>
    <t>Magellan Health, Inc.</t>
  </si>
  <si>
    <t>Magellan Midstream Partners L.P.</t>
  </si>
  <si>
    <t>magicJack VocalTec Ltd</t>
  </si>
  <si>
    <t>Maiden Holdings, Ltd.</t>
  </si>
  <si>
    <t>Malvern Bancorp, Inc.</t>
  </si>
  <si>
    <t>MAM Software Group, Inc.</t>
  </si>
  <si>
    <t>Manchester United Ltd.</t>
  </si>
  <si>
    <t>Manhattan Bridge Capital, Inc</t>
  </si>
  <si>
    <t>ManTech International Corporation</t>
  </si>
  <si>
    <t>Marcus &amp; Millichap, Inc.</t>
  </si>
  <si>
    <t>Marcus Corporation (The)</t>
  </si>
  <si>
    <t>Marin Software Incorporated</t>
  </si>
  <si>
    <t>Marlin Business Services Corp.</t>
  </si>
  <si>
    <t>Masco Corporation</t>
  </si>
  <si>
    <t>Masonite International Corporation</t>
  </si>
  <si>
    <t>Matlin &amp; Partners Acquisition Corporation</t>
  </si>
  <si>
    <t>Matrix Service Company</t>
  </si>
  <si>
    <t>Maximus, Inc.</t>
  </si>
  <si>
    <t>MB Financial Inc.</t>
  </si>
  <si>
    <t>Medical Transcription Billing, Corp.</t>
  </si>
  <si>
    <t>Medigus Ltd.</t>
  </si>
  <si>
    <t>Mellanox Technologies, Ltd.</t>
  </si>
  <si>
    <t>Melrose Bancorp, Inc.</t>
  </si>
  <si>
    <t>MER Telemanagement Solutions Ltd.</t>
  </si>
  <si>
    <t>MercadoLibre, Inc.</t>
  </si>
  <si>
    <t>Meridian Bioscience Inc.</t>
  </si>
  <si>
    <t>Meridian Waste Solutions, Inc</t>
  </si>
  <si>
    <t>Merrill Lynch &amp; Co., Inc.</t>
  </si>
  <si>
    <t>Merus Labs International Inc.</t>
  </si>
  <si>
    <t>Merus N.V.</t>
  </si>
  <si>
    <t>Meta Financial Group, Inc.</t>
  </si>
  <si>
    <t>Methode Electronics, Inc.</t>
  </si>
  <si>
    <t>MFS Government Markets Income Trust</t>
  </si>
  <si>
    <t>MFS Intermediate Income Trust</t>
  </si>
  <si>
    <t>MFS Multimarket Income Trust</t>
  </si>
  <si>
    <t>MGE Energy Inc.</t>
  </si>
  <si>
    <t>MGP Ingredients, Inc.</t>
  </si>
  <si>
    <t>Microsemi Corporation</t>
  </si>
  <si>
    <t>Microsoft Corporation</t>
  </si>
  <si>
    <t>Mid-America Apartment Communities, Inc.</t>
  </si>
  <si>
    <t>Mid-Con Energy Partners, LP</t>
  </si>
  <si>
    <t>Middlesex Water Company</t>
  </si>
  <si>
    <t>MIDSTATES PETROLEUM COMPANY, INC.</t>
  </si>
  <si>
    <t>MidWestOne Financial Group, Inc.</t>
  </si>
  <si>
    <t>Miller Industries, Inc.</t>
  </si>
  <si>
    <t>MiMedx Group, Inc</t>
  </si>
  <si>
    <t>MINDBODY, Inc.</t>
  </si>
  <si>
    <t>Minerva Neurosciences, Inc</t>
  </si>
  <si>
    <t>Mirati Therapeutics, Inc.</t>
  </si>
  <si>
    <t>Mirna Therapeutics, Inc.</t>
  </si>
  <si>
    <t>Mitcham Industries, Inc.</t>
  </si>
  <si>
    <t>Mitel Networks Corporation</t>
  </si>
  <si>
    <t>Mobile Mini, Inc.</t>
  </si>
  <si>
    <t>MOCON, Inc.</t>
  </si>
  <si>
    <t>Molson Coors Brewing Company</t>
  </si>
  <si>
    <t>Mondelez International, Inc.</t>
  </si>
  <si>
    <t>Moneygram International, Inc.</t>
  </si>
  <si>
    <t>Monmouth Real Estate Investment Corporation</t>
  </si>
  <si>
    <t>Monogram Residential Trust, Inc.</t>
  </si>
  <si>
    <t>Monolithic Power Systems, Inc.</t>
  </si>
  <si>
    <t>Monro Muffler Brake, Inc.</t>
  </si>
  <si>
    <t>Monster Digital, Inc.</t>
  </si>
  <si>
    <t>Moog Inc.</t>
  </si>
  <si>
    <t>Morgan Stanley Emerging Markets Fund, Inc.</t>
  </si>
  <si>
    <t>Morningstar, Inc.</t>
  </si>
  <si>
    <t>Motif Bio plc</t>
  </si>
  <si>
    <t>Mountain Province Diamonds Inc.</t>
  </si>
  <si>
    <t>MRC Global Inc.</t>
  </si>
  <si>
    <t>MRV Communications, Inc.</t>
  </si>
  <si>
    <t>MSC Industrial Direct Company, Inc.</t>
  </si>
  <si>
    <t>MSCI Inc</t>
  </si>
  <si>
    <t>MSG Networks Inc.</t>
  </si>
  <si>
    <t>MTGE Investment Corp.</t>
  </si>
  <si>
    <t>Mueller Industries, Inc.</t>
  </si>
  <si>
    <t>Murphy Oil Corporation</t>
  </si>
  <si>
    <t>Myovant Sciences Ltd.</t>
  </si>
  <si>
    <t>Nanometrics Incorporated</t>
  </si>
  <si>
    <t>NantHealth, Inc.</t>
  </si>
  <si>
    <t>NantKwest, Inc.</t>
  </si>
  <si>
    <t>NAPCO Security Technologies, Inc.</t>
  </si>
  <si>
    <t>NASDAQ TEST STOCK</t>
  </si>
  <si>
    <t>National Beverage Corp.</t>
  </si>
  <si>
    <t>National Commerce Corporation</t>
  </si>
  <si>
    <t>National General Holdings Corp</t>
  </si>
  <si>
    <t>National Instruments Corporation</t>
  </si>
  <si>
    <t>National Research Corporation</t>
  </si>
  <si>
    <t>National Retail Properties</t>
  </si>
  <si>
    <t>National Security Group, Inc.</t>
  </si>
  <si>
    <t>Nature's Sunshine Products, Inc.</t>
  </si>
  <si>
    <t>Navient Corporation</t>
  </si>
  <si>
    <t>Navigant Consulting, Inc.</t>
  </si>
  <si>
    <t>Navios Maritime Acquisition Corporation</t>
  </si>
  <si>
    <t>Navios Maritime Holdings Inc.</t>
  </si>
  <si>
    <t>Navios Maritime Midstream Partners LP</t>
  </si>
  <si>
    <t>NBT Bancorp Inc.</t>
  </si>
  <si>
    <t>NCI Building Systems, Inc.</t>
  </si>
  <si>
    <t>NCS Multistage Holdings, Inc.</t>
  </si>
  <si>
    <t>NeoPhotonics Corporation</t>
  </si>
  <si>
    <t>Neovasc Inc.</t>
  </si>
  <si>
    <t>Net Element, Inc.</t>
  </si>
  <si>
    <t>NetApp, Inc.</t>
  </si>
  <si>
    <t>NetScout Systems, Inc.</t>
  </si>
  <si>
    <t>NetSol Technologies Inc.</t>
  </si>
  <si>
    <t>Neurocrine Biosciences, Inc.</t>
  </si>
  <si>
    <t>NeuroMetrix, Inc.</t>
  </si>
  <si>
    <t>Neurotrope, Inc.</t>
  </si>
  <si>
    <t>New York &amp; Company, Inc.</t>
  </si>
  <si>
    <t>New York Community Bancorp, Inc.</t>
  </si>
  <si>
    <t>Newell Brands Inc.</t>
  </si>
  <si>
    <t>NewMarket Corporation</t>
  </si>
  <si>
    <t>Newmont Mining Corporation</t>
  </si>
  <si>
    <t>News Corporation</t>
  </si>
  <si>
    <t>Newtek Business Services Corp.</t>
  </si>
  <si>
    <t>NexPoint Residential Trust, Inc.</t>
  </si>
  <si>
    <t>Nexstar Media Group, Inc.</t>
  </si>
  <si>
    <t>NextEra Energy, Inc.</t>
  </si>
  <si>
    <t>NF Energy Saving Corporation</t>
  </si>
  <si>
    <t>NICE Ltd</t>
  </si>
  <si>
    <t>Nicholas Financial, Inc.</t>
  </si>
  <si>
    <t>Nicolet Bankshares Inc.</t>
  </si>
  <si>
    <t>NL Industries, Inc.</t>
  </si>
  <si>
    <t>Noble Corporation</t>
  </si>
  <si>
    <t>Noble Energy Inc.</t>
  </si>
  <si>
    <t>Nomad Foods Limited</t>
  </si>
  <si>
    <t>Nordic American Tankers Limited</t>
  </si>
  <si>
    <t>Nortech Systems Incorporated</t>
  </si>
  <si>
    <t>North American Energy Partners, Inc.</t>
  </si>
  <si>
    <t>North European Oil Royality Trust</t>
  </si>
  <si>
    <t>Northfield Bancorp, Inc.</t>
  </si>
  <si>
    <t>Northwest Natural Gas Company</t>
  </si>
  <si>
    <t>Northwest Pipe Company</t>
  </si>
  <si>
    <t>NorthWestern Corporation</t>
  </si>
  <si>
    <t>Norwegian Cruise Line Holdings Ltd.</t>
  </si>
  <si>
    <t>Nova Lifestyle, Inc</t>
  </si>
  <si>
    <t>Novanta Inc.</t>
  </si>
  <si>
    <t>NovoCure Limited</t>
  </si>
  <si>
    <t>Novus Therapeutics, Inc.</t>
  </si>
  <si>
    <t>NQ Mobile Inc.</t>
  </si>
  <si>
    <t>NRG Yield, Inc.</t>
  </si>
  <si>
    <t>Nuance Communications, Inc.</t>
  </si>
  <si>
    <t>Nustar Energy L.P.</t>
  </si>
  <si>
    <t>NuStar Logistics, L.P.</t>
  </si>
  <si>
    <t>NuVasive, Inc.</t>
  </si>
  <si>
    <t>Nuveen AMT-Free Municipal Value Fund</t>
  </si>
  <si>
    <t>Nuveen Dow 30SM Dynamic Overwrite Fund</t>
  </si>
  <si>
    <t>Nuveen Enhanced Municipal Value Fund</t>
  </si>
  <si>
    <t>Nuveen Floating Rate Income Opportuntiy Fund</t>
  </si>
  <si>
    <t>Nuveen Georgia Quality Municipal Income Fund</t>
  </si>
  <si>
    <t>Nuveen Minnesota Quality Municipal Income Fund</t>
  </si>
  <si>
    <t>Nuveen Municipal 2021 Target Term Fund</t>
  </si>
  <si>
    <t>Nuveen Municipal Credit Income Fund</t>
  </si>
  <si>
    <t>Nuveen Municipal High Income Opportunity Fund</t>
  </si>
  <si>
    <t>Nuveen NASDAQ 100 Dynamic Overwrite Fund</t>
  </si>
  <si>
    <t>Nuveen Quality Preferred Income Fund 2</t>
  </si>
  <si>
    <t>Nuveen Select Maturities Municipal Fund</t>
  </si>
  <si>
    <t>Nuveen Select Tax Free Income Portfolio</t>
  </si>
  <si>
    <t>Nuveen Texas Quality Municipal Income Fund</t>
  </si>
  <si>
    <t>NXP Semiconductors N.V.</t>
  </si>
  <si>
    <t>NXT-ID Inc.</t>
  </si>
  <si>
    <t>Oasmia Pharmaceutical AB</t>
  </si>
  <si>
    <t>Obalon Therapeutics, Inc.</t>
  </si>
  <si>
    <t>ObsEva SA</t>
  </si>
  <si>
    <t>OceanFirst Financial Corp.</t>
  </si>
  <si>
    <t>Ocera Therapeutics, Inc.</t>
  </si>
  <si>
    <t>OFG Bancorp</t>
  </si>
  <si>
    <t>OGE Energy Corporation</t>
  </si>
  <si>
    <t>Oil States International, Inc.</t>
  </si>
  <si>
    <t>Oil-Dri Corporation Of America</t>
  </si>
  <si>
    <t>Okta, Inc.</t>
  </si>
  <si>
    <t>Olympic Steel, Inc.</t>
  </si>
  <si>
    <t>Omega Flex, Inc.</t>
  </si>
  <si>
    <t>Omega Healthcare Investors, Inc.</t>
  </si>
  <si>
    <t>On Deck Capital, Inc.</t>
  </si>
  <si>
    <t>One Liberty Properties, Inc.</t>
  </si>
  <si>
    <t>Ooma, Inc.</t>
  </si>
  <si>
    <t>Ophthotech Corporation</t>
  </si>
  <si>
    <t>Optibase Ltd.</t>
  </si>
  <si>
    <t>Optical Cable Corporation</t>
  </si>
  <si>
    <t>OptimumBank Holdings, Inc.</t>
  </si>
  <si>
    <t>Opus Bank</t>
  </si>
  <si>
    <t>Origo Acquisition Corporation</t>
  </si>
  <si>
    <t>Ormat Technologies, Inc.</t>
  </si>
  <si>
    <t>Ossen Innovation Co., Ltd.</t>
  </si>
  <si>
    <t>Otelco Inc.</t>
  </si>
  <si>
    <t>Otonomy, Inc.</t>
  </si>
  <si>
    <t>Otter Tail Corporation</t>
  </si>
  <si>
    <t>Overstock.com, Inc.</t>
  </si>
  <si>
    <t>Oxbridge Re Holdings Limited</t>
  </si>
  <si>
    <t>Oxford Immunotec Global PLC</t>
  </si>
  <si>
    <t>Oxford Lane Capital Corp.</t>
  </si>
  <si>
    <t>Pacific Continental Corporation (Ore)</t>
  </si>
  <si>
    <t>Pacific Premier Bancorp Inc</t>
  </si>
  <si>
    <t>Pacific Special Acquisition Corp.</t>
  </si>
  <si>
    <t>Palo Alto Networks, Inc.</t>
  </si>
  <si>
    <t>Pandora Media, Inc.</t>
  </si>
  <si>
    <t>Pangaea Logistics Solutions Ltd.</t>
  </si>
  <si>
    <t>Paramount Group, Inc.</t>
  </si>
  <si>
    <t>Paratek Pharmaceuticals, Inc.</t>
  </si>
  <si>
    <t>Park Hotels &amp; Resorts Inc.</t>
  </si>
  <si>
    <t>Park Sterling Corporation</t>
  </si>
  <si>
    <t>ParkerVision, Inc.</t>
  </si>
  <si>
    <t>PartnerRe Ltd.</t>
  </si>
  <si>
    <t>Pattern Energy Group Inc.</t>
  </si>
  <si>
    <t>PAVmed Inc.</t>
  </si>
  <si>
    <t>Paycom Software, Inc.</t>
  </si>
  <si>
    <t>PBF Energy Inc.</t>
  </si>
  <si>
    <t>PDC Energy, Inc.</t>
  </si>
  <si>
    <t>Peabody Energy Corporation</t>
  </si>
  <si>
    <t>Pegasystems Inc.</t>
  </si>
  <si>
    <t>Penn Virginia Corporation</t>
  </si>
  <si>
    <t>PennantPark Investment Corporation</t>
  </si>
  <si>
    <t>PennyMac Financial Services, Inc.</t>
  </si>
  <si>
    <t>Penumbra, Inc.</t>
  </si>
  <si>
    <t>People's Utah Bancorp</t>
  </si>
  <si>
    <t>Pernix Therapeutics Holdings, Inc.</t>
  </si>
  <si>
    <t>Perry Ellis International Inc.</t>
  </si>
  <si>
    <t>PetMed Express, Inc.</t>
  </si>
  <si>
    <t>Petrobras Argentina S.A.</t>
  </si>
  <si>
    <t>PGT Innovations, Inc.</t>
  </si>
  <si>
    <t>Pharmerica Corporation</t>
  </si>
  <si>
    <t>PHH Corp</t>
  </si>
  <si>
    <t>Philip Morris International Inc</t>
  </si>
  <si>
    <t>Phoenix New Media Limited</t>
  </si>
  <si>
    <t>Pilgrim's Pride Corporation</t>
  </si>
  <si>
    <t>PIMCO Dynamic Income Fund</t>
  </si>
  <si>
    <t>PIMCO Income Strategy Fund II</t>
  </si>
  <si>
    <t>PIMCO Municipal Income Fund III</t>
  </si>
  <si>
    <t>Pimco New York Municipal Income Fund II</t>
  </si>
  <si>
    <t>PIMCO Strategic Income Fund, Inc.</t>
  </si>
  <si>
    <t>Pingtan Marine Enterprise Ltd.</t>
  </si>
  <si>
    <t>Pioneer Municipal High Income Advantage Trust</t>
  </si>
  <si>
    <t>Piper Jaffray Companies</t>
  </si>
  <si>
    <t>Pitney Bowes Inc.</t>
  </si>
  <si>
    <t>PJT Partners Inc.</t>
  </si>
  <si>
    <t>Planet Payment, Inc.</t>
  </si>
  <si>
    <t>PLDT Inc.</t>
  </si>
  <si>
    <t>Pluristem Therapeutics, Inc.</t>
  </si>
  <si>
    <t>PLx Pharma Inc.</t>
  </si>
  <si>
    <t>PNC Financial Services Group, Inc. (The)</t>
  </si>
  <si>
    <t>Pointer Telocation Ltd.</t>
  </si>
  <si>
    <t>Points International, Ltd.</t>
  </si>
  <si>
    <t>Popular, Inc.</t>
  </si>
  <si>
    <t>Porter Bancorp, Inc.</t>
  </si>
  <si>
    <t>Portland General Electric Company</t>
  </si>
  <si>
    <t>Portola Pharmaceuticals, Inc.</t>
  </si>
  <si>
    <t>Potash Corporation of Saskatchewan Inc.</t>
  </si>
  <si>
    <t>Potbelly Corporation</t>
  </si>
  <si>
    <t>PowerShares DWA Basic Materials Momentum Portfolio</t>
  </si>
  <si>
    <t>PowerShares DWA Consumer Staples Momentum Portfolio</t>
  </si>
  <si>
    <t>PowerShares DWA Developed Markets Momentum Portfolio</t>
  </si>
  <si>
    <t>PowerShares DWA Industrials Momentum Portfolio</t>
  </si>
  <si>
    <t>PowerShares DWA Momentum &amp; Low Volatility Rotation Portfolio</t>
  </si>
  <si>
    <t>PowerShares DWA Tactical Sector Rotation Portfolio</t>
  </si>
  <si>
    <t>PowerShares Golden Dragon China Portfolio</t>
  </si>
  <si>
    <t>PowerShares LadderRite 0-5 Year Corporate Bond Portfolio</t>
  </si>
  <si>
    <t>PowerShares Russell 1000 Low Beta Equal Weight Portfolio</t>
  </si>
  <si>
    <t>PowerShares S&amp;P SmallCap Consumer Discretionary Portfolio</t>
  </si>
  <si>
    <t>PowerShares S&amp;P SmallCap Consumer Staples Portfolio</t>
  </si>
  <si>
    <t>PowerShares S&amp;P SmallCap Financials Portfolio</t>
  </si>
  <si>
    <t>PowerShares S&amp;P SmallCap Industrials Portfolio</t>
  </si>
  <si>
    <t>PPL Capital Funding, Inc.</t>
  </si>
  <si>
    <t>PPL Corporation</t>
  </si>
  <si>
    <t>PPlus Trust</t>
  </si>
  <si>
    <t>PRA Health Sciences, Inc.</t>
  </si>
  <si>
    <t>Preferred Apartment Communities, Inc.</t>
  </si>
  <si>
    <t>Preformed Line Products Company</t>
  </si>
  <si>
    <t>Premier, Inc.</t>
  </si>
  <si>
    <t>Presbia PLC</t>
  </si>
  <si>
    <t>Primero Mining Corp</t>
  </si>
  <si>
    <t>Principal Millennials Index ETF</t>
  </si>
  <si>
    <t>Principal Real Estate Income Fund</t>
  </si>
  <si>
    <t>Principal Shareholder Yield Index ETF</t>
  </si>
  <si>
    <t>Principal U.S. Small Cap Index ETF</t>
  </si>
  <si>
    <t>ProAssurance Corporation</t>
  </si>
  <si>
    <t>Professional Diversity Network, Inc.</t>
  </si>
  <si>
    <t>Proofpoint, Inc.</t>
  </si>
  <si>
    <t>ProShares Ultra Nasdaq Biotechnology</t>
  </si>
  <si>
    <t>Proshares UltraPro Nasdaq Biotechnology</t>
  </si>
  <si>
    <t>ProShares UltraPro QQQ</t>
  </si>
  <si>
    <t>Proteon Therapeutics, Inc.</t>
  </si>
  <si>
    <t>Proteostasis Therapeutics, Inc.</t>
  </si>
  <si>
    <t>Prudential Bancorp, Inc.</t>
  </si>
  <si>
    <t>Prudential Global Short Duration High Yield Fund, Inc.</t>
  </si>
  <si>
    <t>Prudential Short Duration High Yield Fund, Inc.</t>
  </si>
  <si>
    <t>PS Business Parks, Inc.</t>
  </si>
  <si>
    <t>PT Telekomunikasi Indonesia, Tbk</t>
  </si>
  <si>
    <t>Public Storage</t>
  </si>
  <si>
    <t>PulteGroup, Inc.</t>
  </si>
  <si>
    <t>Puma Biotechnology Inc</t>
  </si>
  <si>
    <t>Purefunds Solactive FinTech ETF</t>
  </si>
  <si>
    <t>Putnam Municipal Opportunities Trust</t>
  </si>
  <si>
    <t>Putnam Premier Income Trust</t>
  </si>
  <si>
    <t>PVH Corp.</t>
  </si>
  <si>
    <t>Pyxis Tankers Inc.</t>
  </si>
  <si>
    <t>QEP Resources, Inc.</t>
  </si>
  <si>
    <t>QUALCOMM Incorporated</t>
  </si>
  <si>
    <t>Quality Care Properties, Inc.</t>
  </si>
  <si>
    <t>Quality Systems, Inc.</t>
  </si>
  <si>
    <t>Quanex Building Products Corporation</t>
  </si>
  <si>
    <t>Quanta Services, Inc.</t>
  </si>
  <si>
    <t>Quarterhill Inc.</t>
  </si>
  <si>
    <t>Quest Resource Holding Corporation.</t>
  </si>
  <si>
    <t>Quinpario Acquisition Corp. 2</t>
  </si>
  <si>
    <t>Qumu Corporation</t>
  </si>
  <si>
    <t>Ra Pharmaceuticals, Inc.</t>
  </si>
  <si>
    <t>RadNet, Inc.</t>
  </si>
  <si>
    <t>Radware Ltd.</t>
  </si>
  <si>
    <t>RAIT Financial Trust</t>
  </si>
  <si>
    <t>Ralph Lauren Corporation</t>
  </si>
  <si>
    <t>Ramco-Gershenson Properties Trust</t>
  </si>
  <si>
    <t>Rand Logistics, Inc.</t>
  </si>
  <si>
    <t>Raymond James Financial, Inc.</t>
  </si>
  <si>
    <t>Rayonier Inc.</t>
  </si>
  <si>
    <t>RCI Hospitality Holdings, Inc.</t>
  </si>
  <si>
    <t>RCM Technologies, Inc.</t>
  </si>
  <si>
    <t>RE/MAX Holdings, Inc.</t>
  </si>
  <si>
    <t>Reading International Inc</t>
  </si>
  <si>
    <t>RealPage, Inc.</t>
  </si>
  <si>
    <t>Reata Pharmaceuticals, Inc.</t>
  </si>
  <si>
    <t>Recon Technology, Ltd.</t>
  </si>
  <si>
    <t>Red Robin Gourmet Burgers, Inc.</t>
  </si>
  <si>
    <t>Regency Centers Corporation</t>
  </si>
  <si>
    <t>RELX PLC</t>
  </si>
  <si>
    <t>Remark Holdings, Inc.</t>
  </si>
  <si>
    <t>RenaissanceRe Holdings Ltd.</t>
  </si>
  <si>
    <t>Repligen Corporation</t>
  </si>
  <si>
    <t>ResMed Inc.</t>
  </si>
  <si>
    <t>Resource Capital Corp.</t>
  </si>
  <si>
    <t>Resources Connection, Inc.</t>
  </si>
  <si>
    <t>REV Group, Inc.</t>
  </si>
  <si>
    <t>Reven Housing REIT, Inc.</t>
  </si>
  <si>
    <t>Rexford Industrial Realty, Inc.</t>
  </si>
  <si>
    <t>RH</t>
  </si>
  <si>
    <t>Rice Energy Inc.</t>
  </si>
  <si>
    <t>Rice Midstream Partners LP</t>
  </si>
  <si>
    <t>Richardson Electronics, Ltd.</t>
  </si>
  <si>
    <t>Rigel Pharmaceuticals, Inc.</t>
  </si>
  <si>
    <t>RigNet, Inc.</t>
  </si>
  <si>
    <t>Ritter Pharmaceuticals, Inc.</t>
  </si>
  <si>
    <t>RMG Networks Holding Corporation</t>
  </si>
  <si>
    <t>ROBO Global Robotics and Automation Index ETF</t>
  </si>
  <si>
    <t>Rocky Mountain Chocolate Factory, Inc.</t>
  </si>
  <si>
    <t>Roka Bioscience, Inc.</t>
  </si>
  <si>
    <t>Royal Bancshares of Pennsylvania, Inc.</t>
  </si>
  <si>
    <t>Royal Bank Scotland plc (The)</t>
  </si>
  <si>
    <t>Royce Global Value Trust, Inc.</t>
  </si>
  <si>
    <t>RPM International Inc.</t>
  </si>
  <si>
    <t>Rush Enterprises, Inc.</t>
  </si>
  <si>
    <t>Ruth's Hospitality Group, Inc.</t>
  </si>
  <si>
    <t>Ryanair Holdings plc</t>
  </si>
  <si>
    <t>Ryerson Holding Corporation</t>
  </si>
  <si>
    <t>Saban Capital Acquisition Corp.</t>
  </si>
  <si>
    <t>Sabra Healthcare REIT, Inc.</t>
  </si>
  <si>
    <t>SAExploration Holdings, Inc.</t>
  </si>
  <si>
    <t>Saia, Inc.</t>
  </si>
  <si>
    <t>San Juan Basin Royalty Trust</t>
  </si>
  <si>
    <t>Sandy Spring Bancorp, Inc.</t>
  </si>
  <si>
    <t>Sanmina Corporation</t>
  </si>
  <si>
    <t>Sanofi</t>
  </si>
  <si>
    <t>Santander Consumer USA Holdings Inc.</t>
  </si>
  <si>
    <t>SAP SE</t>
  </si>
  <si>
    <t>Saratoga Investment Corp</t>
  </si>
  <si>
    <t>Saul Centers, Inc.</t>
  </si>
  <si>
    <t>SB Financial Group, Inc.</t>
  </si>
  <si>
    <t>SBA Communications Corporation</t>
  </si>
  <si>
    <t>ScanSource, Inc.</t>
  </si>
  <si>
    <t>Schweitzer-Mauduit International, Inc.</t>
  </si>
  <si>
    <t>Scorpio Tankers Inc.</t>
  </si>
  <si>
    <t>Seabridge Gold, Inc.</t>
  </si>
  <si>
    <t>SEACOR Holdings, Inc.</t>
  </si>
  <si>
    <t>SEACOR Marine Holdings Inc.</t>
  </si>
  <si>
    <t>Sealed Air Corporation</t>
  </si>
  <si>
    <t>Sears Canada Inc.</t>
  </si>
  <si>
    <t>Sears Holdings Corporation</t>
  </si>
  <si>
    <t>Sears Hometown and Outlet Stores, Inc.</t>
  </si>
  <si>
    <t>Seaspan Corporation</t>
  </si>
  <si>
    <t>Seattle Genetics, Inc.</t>
  </si>
  <si>
    <t>Second Sight Medical Products, Inc.</t>
  </si>
  <si>
    <t>SecureWorks Corp.</t>
  </si>
  <si>
    <t>Security National Financial Corporation</t>
  </si>
  <si>
    <t>Select Asset Inc.</t>
  </si>
  <si>
    <t>Select Bancorp, Inc.</t>
  </si>
  <si>
    <t>Select Income REIT</t>
  </si>
  <si>
    <t>Select Medical Holdings Corporation</t>
  </si>
  <si>
    <t>Semiconductor Manufacturing International Corporation</t>
  </si>
  <si>
    <t>SemiLEDS Corporation</t>
  </si>
  <si>
    <t>Sequential Brands Group, Inc.</t>
  </si>
  <si>
    <t>Service Corporation International</t>
  </si>
  <si>
    <t>ServiceNow, Inc.</t>
  </si>
  <si>
    <t>ServisFirst Bancshares, Inc.</t>
  </si>
  <si>
    <t>Severn Bancorp Inc</t>
  </si>
  <si>
    <t>Shake Shack, Inc.</t>
  </si>
  <si>
    <t>Shaw Communications Inc.</t>
  </si>
  <si>
    <t>Shiloh Industries, Inc.</t>
  </si>
  <si>
    <t>ShotSpotter, Inc.</t>
  </si>
  <si>
    <t>Sientra, Inc.</t>
  </si>
  <si>
    <t>Sierra Bancorp</t>
  </si>
  <si>
    <t>Sigma Labs, Inc.</t>
  </si>
  <si>
    <t>Signature Bank</t>
  </si>
  <si>
    <t>Signet Jewelers Limited</t>
  </si>
  <si>
    <t>Silgan Holdings Inc.</t>
  </si>
  <si>
    <t>Silicon Motion Technology Corporation</t>
  </si>
  <si>
    <t>Silver Spring Networks, Inc.</t>
  </si>
  <si>
    <t>SilverBow Resorces, Inc.</t>
  </si>
  <si>
    <t>Simpson Manufacturing Company, Inc.</t>
  </si>
  <si>
    <t>Sina Corporation</t>
  </si>
  <si>
    <t>Sinclair Broadcast Group, Inc.</t>
  </si>
  <si>
    <t>Sky Solar Holdings, Ltd.</t>
  </si>
  <si>
    <t>SL Green Realty Corporation</t>
  </si>
  <si>
    <t>Smart</t>
  </si>
  <si>
    <t>Smith (A.O.) Corporation</t>
  </si>
  <si>
    <t>Smith Micro Software, Inc.</t>
  </si>
  <si>
    <t>Social Reality, Inc.</t>
  </si>
  <si>
    <t>Solar Capital Ltd.</t>
  </si>
  <si>
    <t>Solaris Oilfield Infrastructure, Inc.</t>
  </si>
  <si>
    <t>Soligenix, Inc.</t>
  </si>
  <si>
    <t>Sonic Automotive, Inc.</t>
  </si>
  <si>
    <t>Sonic Foundry, Inc.</t>
  </si>
  <si>
    <t>Sonoma Pharmaceuticals, Inc.</t>
  </si>
  <si>
    <t>Sonus Networks, Inc.</t>
  </si>
  <si>
    <t>SORL Auto Parts, Inc.</t>
  </si>
  <si>
    <t>Southern Company (The)</t>
  </si>
  <si>
    <t>Southern First Bancshares, Inc.</t>
  </si>
  <si>
    <t>Southside Bancshares, Inc.</t>
  </si>
  <si>
    <t>Southwest Bancorp, Inc.</t>
  </si>
  <si>
    <t>Southwestern Energy Company</t>
  </si>
  <si>
    <t>Sparton Corporation</t>
  </si>
  <si>
    <t>Special Opportunities Fund Inc.</t>
  </si>
  <si>
    <t>St. Joe Company (The)</t>
  </si>
  <si>
    <t>Stanley Black &amp; Decker, Inc.</t>
  </si>
  <si>
    <t>Star Bulk Carriers Corp.</t>
  </si>
  <si>
    <t>State Street Corporation</t>
  </si>
  <si>
    <t>SteadyMed Ltd.</t>
  </si>
  <si>
    <t>Stericycle, Inc.</t>
  </si>
  <si>
    <t>Stifel Financial Corporation</t>
  </si>
  <si>
    <t>Stock Yards Bancorp, Inc.</t>
  </si>
  <si>
    <t>StoneCastle Financial Corp</t>
  </si>
  <si>
    <t>StoneMor Partners L.P.</t>
  </si>
  <si>
    <t>Stratasys, Ltd.</t>
  </si>
  <si>
    <t>STRATS Trust</t>
  </si>
  <si>
    <t>Strattec Security Corporation</t>
  </si>
  <si>
    <t>Student Transportation Inc</t>
  </si>
  <si>
    <t>Sturm, Ruger &amp; Company, Inc.</t>
  </si>
  <si>
    <t>Summit Materials, Inc.</t>
  </si>
  <si>
    <t>Summit Midstream Partners, LP</t>
  </si>
  <si>
    <t>Summit State Bank</t>
  </si>
  <si>
    <t>Summit Therapeutics plc</t>
  </si>
  <si>
    <t>SunCoke Energy Partners, L.P.</t>
  </si>
  <si>
    <t>SunCoke Energy, Inc.</t>
  </si>
  <si>
    <t>Sunoco LP</t>
  </si>
  <si>
    <t>SunOpta, Inc.</t>
  </si>
  <si>
    <t>SunTrust Banks, Inc.</t>
  </si>
  <si>
    <t>Super Micro Computer, Inc.</t>
  </si>
  <si>
    <t>Superior Industries International, Inc.</t>
  </si>
  <si>
    <t>Supernus Pharmaceuticals, Inc.</t>
  </si>
  <si>
    <t>SuperValu Inc.</t>
  </si>
  <si>
    <t>Surgery Partners, Inc.</t>
  </si>
  <si>
    <t>Synnex Corporation</t>
  </si>
  <si>
    <t>Synovus Financial Corp.</t>
  </si>
  <si>
    <t>Synthetic Fixed-Income Securities, Inc.</t>
  </si>
  <si>
    <t>Sypris Solutions, Inc.</t>
  </si>
  <si>
    <t>Tahoe Resources, Inc.</t>
  </si>
  <si>
    <t>Taitron Components Incorporated</t>
  </si>
  <si>
    <t>Take-Two Interactive Software, Inc.</t>
  </si>
  <si>
    <t>Tandy Leather Factory, Inc.</t>
  </si>
  <si>
    <t>Taylor Morrison Home Corporation</t>
  </si>
  <si>
    <t>TCF Financial Corporation</t>
  </si>
  <si>
    <t>TCG BDC, Inc.</t>
  </si>
  <si>
    <t>TE Connectivity Ltd.</t>
  </si>
  <si>
    <t>TearLab Corporation</t>
  </si>
  <si>
    <t>Technical Communications Corporation</t>
  </si>
  <si>
    <t>TechnipFMC plc</t>
  </si>
  <si>
    <t>Tejon Ranch Co</t>
  </si>
  <si>
    <t>Teleflex Incorporated</t>
  </si>
  <si>
    <t>Telefonica SA</t>
  </si>
  <si>
    <t>Teligent, Inc.</t>
  </si>
  <si>
    <t>TELUS Corporation</t>
  </si>
  <si>
    <t>Templeton Emerging Markets Fund</t>
  </si>
  <si>
    <t>Tempur Sealy International, Inc.</t>
  </si>
  <si>
    <t>Tenax Therapeutics, Inc.</t>
  </si>
  <si>
    <t>Tennessee Valley Authority</t>
  </si>
  <si>
    <t>Terra Nitrogen Company, L.P.</t>
  </si>
  <si>
    <t>TerraForm Global, Inc.</t>
  </si>
  <si>
    <t>TerraForm Power, Inc.</t>
  </si>
  <si>
    <t>TerraVia Holdings, Inc.</t>
  </si>
  <si>
    <t>Terreno Realty Corporation</t>
  </si>
  <si>
    <t>Tesoro Corporation</t>
  </si>
  <si>
    <t>TESSCO Technologies Incorporated</t>
  </si>
  <si>
    <t>Texas Capital Bancshares, Inc.</t>
  </si>
  <si>
    <t>Texas Instruments Incorporated</t>
  </si>
  <si>
    <t>Texas Roadhouse, Inc.</t>
  </si>
  <si>
    <t>Thai Fund, Inc. (The)</t>
  </si>
  <si>
    <t>The Bancorp, Inc.</t>
  </si>
  <si>
    <t>The Blackstone Group L.P.</t>
  </si>
  <si>
    <t>The Bon-Ton Stores, Inc.</t>
  </si>
  <si>
    <t>The Charles Schwab Corporation</t>
  </si>
  <si>
    <t>The Cheesecake Factory Incorporated</t>
  </si>
  <si>
    <t>The Chefs' Warehouse, Inc.</t>
  </si>
  <si>
    <t>The Cushing MLP Total Return Fund</t>
  </si>
  <si>
    <t>The Finish Line, Inc.</t>
  </si>
  <si>
    <t>The First Bancshares, Inc.</t>
  </si>
  <si>
    <t>The Gabelli Healthcare &amp; Wellness Trust</t>
  </si>
  <si>
    <t>The GDL Fund</t>
  </si>
  <si>
    <t>The Goodyear Tire &amp; Rubber Company</t>
  </si>
  <si>
    <t>The Hackett Group, Inc.</t>
  </si>
  <si>
    <t>The Herzfeld Caribbean Basin Fund, Inc.</t>
  </si>
  <si>
    <t>The KEYW Holding Corporation</t>
  </si>
  <si>
    <t>The Medicines Company</t>
  </si>
  <si>
    <t>The Priceline Group Inc.</t>
  </si>
  <si>
    <t>The Rubicon Project, Inc.</t>
  </si>
  <si>
    <t>The Trade Desk, Inc.</t>
  </si>
  <si>
    <t>The9 Limited</t>
  </si>
  <si>
    <t>Therapix Biosciences Ltd.</t>
  </si>
  <si>
    <t>Third Point Reinsurance Ltd.</t>
  </si>
  <si>
    <t>Thomson Reuters Corp</t>
  </si>
  <si>
    <t>TIER REIT, Inc.</t>
  </si>
  <si>
    <t>Tile Shop Hldgs, Inc.</t>
  </si>
  <si>
    <t>Till Capital Ltd.</t>
  </si>
  <si>
    <t>Tilly's, Inc.</t>
  </si>
  <si>
    <t>Titan Machinery Inc.</t>
  </si>
  <si>
    <t>TiVo Corporation</t>
  </si>
  <si>
    <t>Tocagen Inc.</t>
  </si>
  <si>
    <t>Toll Brothers Inc.</t>
  </si>
  <si>
    <t>TOP Ships Inc.</t>
  </si>
  <si>
    <t>TopBuild Corp.</t>
  </si>
  <si>
    <t>TOR Minerals International Inc</t>
  </si>
  <si>
    <t>Torchmark Corporation</t>
  </si>
  <si>
    <t>Toro Company (The)</t>
  </si>
  <si>
    <t>Toronto Dominion Bank (The)</t>
  </si>
  <si>
    <t>Tortoise Energy Independence Fund, Inc.</t>
  </si>
  <si>
    <t>Tortoise Energy Infrastructure Corporation</t>
  </si>
  <si>
    <t>Tortoise Power and Energy Infrastructure Fund, Inc</t>
  </si>
  <si>
    <t>TPG Pace Energy Holdings Corp.</t>
  </si>
  <si>
    <t>TransAct Technologies Incorporated</t>
  </si>
  <si>
    <t>Transcontinental Realty Investors, Inc.</t>
  </si>
  <si>
    <t>TransMontaigne Partners L.P.</t>
  </si>
  <si>
    <t>Transocean Ltd.</t>
  </si>
  <si>
    <t>TravelCenters of America LLC</t>
  </si>
  <si>
    <t>TRC Companies, Inc.</t>
  </si>
  <si>
    <t>Trecora Resources</t>
  </si>
  <si>
    <t>Trex Company, Inc.</t>
  </si>
  <si>
    <t>Tri Continental Corporation</t>
  </si>
  <si>
    <t>TRI Pointe Group, Inc.</t>
  </si>
  <si>
    <t>TriCo Bancshares</t>
  </si>
  <si>
    <t>Trimble Inc.</t>
  </si>
  <si>
    <t>TriNet Group, Inc.</t>
  </si>
  <si>
    <t>Trinseo S.A.</t>
  </si>
  <si>
    <t>TripAdvisor, Inc.</t>
  </si>
  <si>
    <t>Triple-S Management Corporation</t>
  </si>
  <si>
    <t>TriplePoint Venture Growth BDC Corp.</t>
  </si>
  <si>
    <t>TriState Capital Holdings, Inc.</t>
  </si>
  <si>
    <t>Triumph Group, Inc.</t>
  </si>
  <si>
    <t>trivago N.V.</t>
  </si>
  <si>
    <t>tronc, Inc.</t>
  </si>
  <si>
    <t>TrueCar, Inc.</t>
  </si>
  <si>
    <t>Truett-Hurst, Inc.</t>
  </si>
  <si>
    <t>TrustCo Bank Corp NY</t>
  </si>
  <si>
    <t>Trustmark Corporation</t>
  </si>
  <si>
    <t>Tsakos Energy Navigation Ltd</t>
  </si>
  <si>
    <t>Tucows Inc.</t>
  </si>
  <si>
    <t>Tuesday Morning Corp.</t>
  </si>
  <si>
    <t>Turquoise Hill Resources Ltd.</t>
  </si>
  <si>
    <t>Twenty-First Century Fox, Inc.</t>
  </si>
  <si>
    <t>Two Harbors Investments Corp</t>
  </si>
  <si>
    <t>Two River Bancorp</t>
  </si>
  <si>
    <t>Tyson Foods, Inc.</t>
  </si>
  <si>
    <t>U S Concrete, Inc.</t>
  </si>
  <si>
    <t>U.S. Bancorp</t>
  </si>
  <si>
    <t>Ulta Beauty, Inc.</t>
  </si>
  <si>
    <t>Ultra Clean Holdings, Inc.</t>
  </si>
  <si>
    <t>UMH Properties, Inc.</t>
  </si>
  <si>
    <t>Umpqua Holdings Corporation</t>
  </si>
  <si>
    <t>Under Armour, Inc.</t>
  </si>
  <si>
    <t>Uni-Pixel, Inc.</t>
  </si>
  <si>
    <t>Unico American Corporation</t>
  </si>
  <si>
    <t>Unifirst Corporation</t>
  </si>
  <si>
    <t>Union Bankshares Corporation</t>
  </si>
  <si>
    <t>uniQure N.V.</t>
  </si>
  <si>
    <t>Unisys Corporation</t>
  </si>
  <si>
    <t>United States Lime &amp; Minerals, Inc.</t>
  </si>
  <si>
    <t>UNITIL Corporation</t>
  </si>
  <si>
    <t>Universal Health Realty Income Trust</t>
  </si>
  <si>
    <t>Universal Health Services, Inc.</t>
  </si>
  <si>
    <t>Universal Logistics Holdings, Inc.</t>
  </si>
  <si>
    <t>Urban Edge Properties</t>
  </si>
  <si>
    <t>Urstadt Biddle Properties Inc.</t>
  </si>
  <si>
    <t>US Foods Holding Corp.</t>
  </si>
  <si>
    <t>USA Technologies, Inc.</t>
  </si>
  <si>
    <t>UTStarcom Holdings Corp</t>
  </si>
  <si>
    <t>VALE S.A.</t>
  </si>
  <si>
    <t>Validus Holdings, Ltd.</t>
  </si>
  <si>
    <t>Valley National Bancorp</t>
  </si>
  <si>
    <t>Value Line, Inc.</t>
  </si>
  <si>
    <t>Valvoline Inc.</t>
  </si>
  <si>
    <t>Vanguard Intermediate -Term Government Bond ETF</t>
  </si>
  <si>
    <t>Vanguard International Dividend Appreciation ETF</t>
  </si>
  <si>
    <t>Vanguard International High Dividend Yield ETF</t>
  </si>
  <si>
    <t>Vanguard Russell 1000 ETF</t>
  </si>
  <si>
    <t>Vanguard Russell 1000 Value ETF</t>
  </si>
  <si>
    <t>Vanguard Russell 2000 Value ETF</t>
  </si>
  <si>
    <t>Vantage Energy Acquisition Corp.</t>
  </si>
  <si>
    <t>Varex Imaging Corporation</t>
  </si>
  <si>
    <t>Vectrus, Inc.</t>
  </si>
  <si>
    <t>Veeco Instruments Inc.</t>
  </si>
  <si>
    <t>VelocityShares Daily Inverse VIX Medium-Term ETN</t>
  </si>
  <si>
    <t>Veracyte, Inc.</t>
  </si>
  <si>
    <t>VEREIT Inc.</t>
  </si>
  <si>
    <t>VeriSign, Inc.</t>
  </si>
  <si>
    <t>Veritone, Inc.</t>
  </si>
  <si>
    <t>Versartis, Inc.</t>
  </si>
  <si>
    <t>Viavi Solutions Inc.</t>
  </si>
  <si>
    <t>VictoryShares International High Div Volatility Wtd ETF</t>
  </si>
  <si>
    <t>VictoryShares International Volatility Wtd ETF</t>
  </si>
  <si>
    <t>VictoryShares US Discovery Enhanced Volatility Wtd ETF</t>
  </si>
  <si>
    <t>VictoryShares US EQ Income Enhanced Volatility Wtd ETF</t>
  </si>
  <si>
    <t>VictoryShares US Small Cap High Div Volatility Wtd ETF</t>
  </si>
  <si>
    <t>Vident Core US Equity ETF</t>
  </si>
  <si>
    <t>Videocon d2h Limited</t>
  </si>
  <si>
    <t>ViewRay, Inc.</t>
  </si>
  <si>
    <t>Vina Concha Y Toro</t>
  </si>
  <si>
    <t>Vince Holding Corp.</t>
  </si>
  <si>
    <t>Virco Manufacturing Corporation</t>
  </si>
  <si>
    <t>Virtu Financial, Inc.</t>
  </si>
  <si>
    <t>Virtus Global Multi-Sector Income Fund</t>
  </si>
  <si>
    <t>Virtus Total Return Fund Inc.</t>
  </si>
  <si>
    <t>Virtusa Corporation</t>
  </si>
  <si>
    <t>Vital Therapies, Inc.</t>
  </si>
  <si>
    <t>Vmware, Inc.</t>
  </si>
  <si>
    <t>Vornado Realty Trust</t>
  </si>
  <si>
    <t>voxeljet AG</t>
  </si>
  <si>
    <t>Voya Asia Pacific High Dividend Equity Income Fund</t>
  </si>
  <si>
    <t>Voya Emerging Markets High Income Dividend Equity Fund</t>
  </si>
  <si>
    <t>Voya Financial, Inc.</t>
  </si>
  <si>
    <t>Voya Infrastructure, Industrials and Materials Fund</t>
  </si>
  <si>
    <t>Voya International High Dividend Equity Income Fund</t>
  </si>
  <si>
    <t>Voyager Therapeutics, Inc.</t>
  </si>
  <si>
    <t>VTTI Energy Partners LP</t>
  </si>
  <si>
    <t>Vulcan Materials Company</t>
  </si>
  <si>
    <t>Vuzix Corporation</t>
  </si>
  <si>
    <t>W.P. Carey Inc.</t>
  </si>
  <si>
    <t>W.R. Berkley Corporation</t>
  </si>
  <si>
    <t>W.R. Grace &amp; Co.</t>
  </si>
  <si>
    <t>W&amp;T Offshore, Inc.</t>
  </si>
  <si>
    <t>Wabash National Corporation</t>
  </si>
  <si>
    <t>Walgreens Boots Alliance, Inc.</t>
  </si>
  <si>
    <t>Walter Investment Management Corp.</t>
  </si>
  <si>
    <t>Washington Real Estate Investment Trust</t>
  </si>
  <si>
    <t>Washington Trust Bancorp, Inc.</t>
  </si>
  <si>
    <t>Wayfair Inc.</t>
  </si>
  <si>
    <t>Wayside Technology Group, Inc.</t>
  </si>
  <si>
    <t>WD-40 Company</t>
  </si>
  <si>
    <t>Weatherford International plc</t>
  </si>
  <si>
    <t>WeatherStorm Forensic Accounting Long Short ETF</t>
  </si>
  <si>
    <t>WebMD Health Corp</t>
  </si>
  <si>
    <t>WEC Energy Group, Inc.</t>
  </si>
  <si>
    <t>Weibo Corporation</t>
  </si>
  <si>
    <t>Weight Watchers International Inc</t>
  </si>
  <si>
    <t>Weis Markets, Inc.</t>
  </si>
  <si>
    <t>WellCare Health Plans, Inc.</t>
  </si>
  <si>
    <t>Wells Fargo &amp; Company</t>
  </si>
  <si>
    <t>Welltower Inc.</t>
  </si>
  <si>
    <t>Wendy's Company (The)</t>
  </si>
  <si>
    <t>Westar Energy, Inc.</t>
  </si>
  <si>
    <t>Westbury Bancorp, Inc.</t>
  </si>
  <si>
    <t>Western Asset Corporate Loan Fund Inc</t>
  </si>
  <si>
    <t>Western Asset Global Corporate Defined Opportunity Fund Inc.</t>
  </si>
  <si>
    <t>Western Asset Global High Income Fund Inc</t>
  </si>
  <si>
    <t>Western Asset High Income Opportunity Fund, Inc.</t>
  </si>
  <si>
    <t>Western Asset Municipal Defined Opportunity Trust Inc</t>
  </si>
  <si>
    <t>Western Asset/Claymore U.S Treasury Inflation Prot Secs Fd 2</t>
  </si>
  <si>
    <t>Western New England Bancorp, Inc.</t>
  </si>
  <si>
    <t>Western Refining Logistics, LP</t>
  </si>
  <si>
    <t>Westpac Banking Corporation</t>
  </si>
  <si>
    <t>Westport Fuel Systems Inc</t>
  </si>
  <si>
    <t>Wheeler Real Estate Investment Trust, Inc.</t>
  </si>
  <si>
    <t>WhiteHorse Finance, Inc.</t>
  </si>
  <si>
    <t>WideOpenWest, Inc.</t>
  </si>
  <si>
    <t>Willamette Valley Vineyards, Inc.</t>
  </si>
  <si>
    <t>Willis Towers Watson Public Limited Company</t>
  </si>
  <si>
    <t>Windstream Holdings, Inc.</t>
  </si>
  <si>
    <t>Wintrust Financial Corporation</t>
  </si>
  <si>
    <t>WisdomTree Barclays Negative Duration U.S. Aggregate Bond Fund</t>
  </si>
  <si>
    <t>WisdomTree Emerging Markets Consumer Growth Fund</t>
  </si>
  <si>
    <t>WisdomTree Negative Duration High Yield Bond Fund</t>
  </si>
  <si>
    <t>WisdomTree U.S. Quality Dividend Growth Fund</t>
  </si>
  <si>
    <t>WisdomTree U.S. SmallCap Quality Dividend Growth Fund</t>
  </si>
  <si>
    <t>WisdomTree Western Asset Unconstrained Bond Fund</t>
  </si>
  <si>
    <t>Wix.com Ltd.</t>
  </si>
  <si>
    <t>WMIH Corp.</t>
  </si>
  <si>
    <t>Woori Bank</t>
  </si>
  <si>
    <t>WPCS International Incorporated</t>
  </si>
  <si>
    <t>WPP plc</t>
  </si>
  <si>
    <t>Wright Medical Group N.V.</t>
  </si>
  <si>
    <t>Xcel Energy Inc.</t>
  </si>
  <si>
    <t>Xcerra Corporation</t>
  </si>
  <si>
    <t>Xenia Hotels &amp; Resorts, Inc.</t>
  </si>
  <si>
    <t>XG Technology, Inc</t>
  </si>
  <si>
    <t>XO Group, Inc.</t>
  </si>
  <si>
    <t>XOMA Corporation</t>
  </si>
  <si>
    <t>XTL Biopharmaceuticals Ltd.</t>
  </si>
  <si>
    <t>Yamana Gold Inc.</t>
  </si>
  <si>
    <t>Yandex N.V.</t>
  </si>
  <si>
    <t>Yield10 Bioscience, Inc.</t>
  </si>
  <si>
    <t>Yintech Investment Holdings Limited</t>
  </si>
  <si>
    <t>YuMe, Inc.</t>
  </si>
  <si>
    <t>YY Inc.</t>
  </si>
  <si>
    <t>Zillow Group, Inc.</t>
  </si>
  <si>
    <t>Zion Oil &amp; Gas Inc</t>
  </si>
  <si>
    <t>Zions Bancorporation</t>
  </si>
  <si>
    <t>Zoetis Inc.</t>
  </si>
  <si>
    <t>Zosano Pharma Corporation</t>
  </si>
  <si>
    <t>ZTO Express (Cayman) Inc.</t>
  </si>
  <si>
    <t>Zumiez Inc.</t>
  </si>
  <si>
    <t>Zymeworks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</si>
</sst>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2">
        <f t="shared" ref="A3:A21" si="1">A2+1</f>
        <v>2</v>
      </c>
      <c r="B3" s="2" t="s">
        <v>3</v>
      </c>
    </row>
    <row r="4">
      <c r="A4" s="2">
        <f t="shared" si="1"/>
        <v>3</v>
      </c>
      <c r="B4" s="2" t="s">
        <v>4</v>
      </c>
    </row>
    <row r="5">
      <c r="A5" s="2">
        <f t="shared" si="1"/>
        <v>4</v>
      </c>
      <c r="B5" s="2" t="s">
        <v>5</v>
      </c>
    </row>
    <row r="6">
      <c r="A6" s="2">
        <f t="shared" si="1"/>
        <v>5</v>
      </c>
      <c r="B6" s="2" t="s">
        <v>6</v>
      </c>
    </row>
    <row r="7">
      <c r="A7" s="2">
        <f t="shared" si="1"/>
        <v>6</v>
      </c>
      <c r="B7" s="2" t="s">
        <v>7</v>
      </c>
    </row>
    <row r="8">
      <c r="A8" s="2">
        <f t="shared" si="1"/>
        <v>7</v>
      </c>
      <c r="B8" s="2" t="s">
        <v>8</v>
      </c>
    </row>
    <row r="9">
      <c r="A9" s="2">
        <f t="shared" si="1"/>
        <v>8</v>
      </c>
      <c r="B9" s="2" t="s">
        <v>9</v>
      </c>
    </row>
    <row r="10">
      <c r="A10" s="2">
        <f t="shared" si="1"/>
        <v>9</v>
      </c>
      <c r="B10" s="2" t="s">
        <v>10</v>
      </c>
    </row>
    <row r="11">
      <c r="A11" s="2">
        <f t="shared" si="1"/>
        <v>10</v>
      </c>
      <c r="B11" s="2" t="s">
        <v>11</v>
      </c>
    </row>
    <row r="12">
      <c r="A12" s="2">
        <f t="shared" si="1"/>
        <v>11</v>
      </c>
      <c r="B12" s="2" t="s">
        <v>12</v>
      </c>
    </row>
    <row r="13">
      <c r="A13" s="2">
        <f t="shared" si="1"/>
        <v>12</v>
      </c>
      <c r="B13" s="2" t="s">
        <v>13</v>
      </c>
    </row>
    <row r="14">
      <c r="A14" s="2">
        <f t="shared" si="1"/>
        <v>13</v>
      </c>
      <c r="B14" s="2" t="s">
        <v>14</v>
      </c>
    </row>
    <row r="15">
      <c r="A15" s="2">
        <f t="shared" si="1"/>
        <v>14</v>
      </c>
      <c r="B15" s="2" t="s">
        <v>15</v>
      </c>
    </row>
    <row r="16">
      <c r="A16" s="2">
        <f t="shared" si="1"/>
        <v>15</v>
      </c>
      <c r="B16" s="2" t="s">
        <v>16</v>
      </c>
    </row>
    <row r="17">
      <c r="A17" s="2">
        <f t="shared" si="1"/>
        <v>16</v>
      </c>
      <c r="B17" s="2" t="s">
        <v>17</v>
      </c>
    </row>
    <row r="18">
      <c r="A18" s="2">
        <f t="shared" si="1"/>
        <v>17</v>
      </c>
      <c r="B18" s="2" t="s">
        <v>18</v>
      </c>
    </row>
    <row r="19">
      <c r="A19" s="2">
        <f t="shared" si="1"/>
        <v>18</v>
      </c>
      <c r="B19" s="2" t="s">
        <v>19</v>
      </c>
    </row>
    <row r="20">
      <c r="A20" s="2">
        <f t="shared" si="1"/>
        <v>19</v>
      </c>
      <c r="B20" s="2" t="s">
        <v>20</v>
      </c>
    </row>
    <row r="21">
      <c r="A21" s="2">
        <f t="shared" si="1"/>
        <v>20</v>
      </c>
      <c r="B21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</row>
    <row r="2">
      <c r="A2" s="3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3" t="s">
        <v>37</v>
      </c>
      <c r="B1" s="1" t="s">
        <v>38</v>
      </c>
    </row>
    <row r="2">
      <c r="A2" s="2" t="s">
        <v>39</v>
      </c>
      <c r="B2" s="1">
        <v>1.0</v>
      </c>
    </row>
    <row r="3">
      <c r="A3" s="2" t="s">
        <v>40</v>
      </c>
      <c r="B3" s="2">
        <v>2.0</v>
      </c>
    </row>
    <row r="4">
      <c r="A4" s="2" t="s">
        <v>41</v>
      </c>
      <c r="B4" s="2">
        <v>3.0</v>
      </c>
    </row>
    <row r="5">
      <c r="A5" s="2" t="s">
        <v>42</v>
      </c>
      <c r="B5" s="2">
        <v>4.0</v>
      </c>
    </row>
    <row r="6">
      <c r="A6" s="2" t="s">
        <v>43</v>
      </c>
      <c r="B6" s="2">
        <v>5.0</v>
      </c>
    </row>
    <row r="7">
      <c r="A7" s="2" t="s">
        <v>44</v>
      </c>
      <c r="B7" s="2">
        <v>6.0</v>
      </c>
    </row>
    <row r="8">
      <c r="A8" s="2" t="s">
        <v>45</v>
      </c>
      <c r="B8" s="2">
        <v>7.0</v>
      </c>
    </row>
    <row r="9">
      <c r="A9" s="2" t="s">
        <v>46</v>
      </c>
      <c r="B9" s="2">
        <v>8.0</v>
      </c>
    </row>
    <row r="10">
      <c r="A10" s="2" t="s">
        <v>47</v>
      </c>
      <c r="B10" s="2">
        <v>9.0</v>
      </c>
    </row>
    <row r="11">
      <c r="A11" s="2" t="s">
        <v>48</v>
      </c>
      <c r="B11" s="2">
        <v>10.0</v>
      </c>
    </row>
    <row r="12">
      <c r="A12" s="2" t="s">
        <v>49</v>
      </c>
      <c r="B12" s="2">
        <v>11.0</v>
      </c>
    </row>
    <row r="13">
      <c r="A13" s="2" t="s">
        <v>50</v>
      </c>
      <c r="B13" s="2">
        <v>12.0</v>
      </c>
    </row>
    <row r="14">
      <c r="A14" s="2" t="s">
        <v>51</v>
      </c>
      <c r="B14" s="2">
        <v>13.0</v>
      </c>
    </row>
    <row r="15">
      <c r="A15" s="2" t="s">
        <v>52</v>
      </c>
      <c r="B15" s="2">
        <v>14.0</v>
      </c>
    </row>
    <row r="16">
      <c r="A16" s="2" t="s">
        <v>53</v>
      </c>
      <c r="B16" s="2">
        <v>15.0</v>
      </c>
    </row>
    <row r="17">
      <c r="A17" s="2" t="s">
        <v>54</v>
      </c>
      <c r="B17" s="2">
        <v>16.0</v>
      </c>
    </row>
    <row r="18">
      <c r="A18" s="2" t="s">
        <v>55</v>
      </c>
      <c r="B18" s="2">
        <v>17.0</v>
      </c>
    </row>
    <row r="19">
      <c r="A19" s="2" t="s">
        <v>56</v>
      </c>
      <c r="B19" s="2">
        <v>18.0</v>
      </c>
    </row>
    <row r="20">
      <c r="A20" s="2" t="s">
        <v>57</v>
      </c>
      <c r="B20" s="2">
        <v>19.0</v>
      </c>
    </row>
    <row r="21">
      <c r="A21" s="2" t="s">
        <v>58</v>
      </c>
      <c r="B21" s="2">
        <v>20.0</v>
      </c>
    </row>
    <row r="22">
      <c r="A22" s="2" t="s">
        <v>59</v>
      </c>
      <c r="B22" s="2">
        <v>21.0</v>
      </c>
    </row>
    <row r="23">
      <c r="A23" s="2" t="s">
        <v>60</v>
      </c>
      <c r="B23" s="2">
        <v>22.0</v>
      </c>
    </row>
    <row r="24">
      <c r="A24" s="2" t="s">
        <v>61</v>
      </c>
      <c r="B24" s="2">
        <v>23.0</v>
      </c>
    </row>
    <row r="25">
      <c r="A25" s="2" t="s">
        <v>62</v>
      </c>
      <c r="B25" s="2">
        <v>24.0</v>
      </c>
    </row>
    <row r="26">
      <c r="A26" s="2" t="s">
        <v>63</v>
      </c>
      <c r="B26" s="2">
        <v>25.0</v>
      </c>
    </row>
    <row r="27">
      <c r="A27" s="2" t="s">
        <v>64</v>
      </c>
      <c r="B27" s="2">
        <v>26.0</v>
      </c>
    </row>
    <row r="28">
      <c r="A28" s="2" t="s">
        <v>65</v>
      </c>
      <c r="B28" s="2">
        <v>27.0</v>
      </c>
    </row>
    <row r="29">
      <c r="A29" s="2" t="s">
        <v>66</v>
      </c>
      <c r="B29" s="2">
        <v>28.0</v>
      </c>
    </row>
    <row r="30">
      <c r="A30" s="2" t="s">
        <v>67</v>
      </c>
      <c r="B30" s="2">
        <v>29.0</v>
      </c>
    </row>
    <row r="31">
      <c r="A31" s="2" t="s">
        <v>68</v>
      </c>
      <c r="B31" s="2">
        <v>30.0</v>
      </c>
    </row>
    <row r="32">
      <c r="A32" s="2" t="s">
        <v>69</v>
      </c>
      <c r="B32" s="2">
        <v>31.0</v>
      </c>
    </row>
    <row r="33">
      <c r="A33" s="2" t="s">
        <v>70</v>
      </c>
      <c r="B33" s="2">
        <v>32.0</v>
      </c>
    </row>
    <row r="34">
      <c r="A34" s="2" t="s">
        <v>71</v>
      </c>
      <c r="B34" s="2">
        <v>33.0</v>
      </c>
    </row>
    <row r="35">
      <c r="A35" s="2" t="s">
        <v>72</v>
      </c>
      <c r="B35" s="2">
        <v>34.0</v>
      </c>
    </row>
    <row r="36">
      <c r="A36" s="2" t="s">
        <v>73</v>
      </c>
      <c r="B36" s="2">
        <v>35.0</v>
      </c>
    </row>
    <row r="37">
      <c r="A37" s="2" t="s">
        <v>74</v>
      </c>
      <c r="B37" s="2">
        <v>36.0</v>
      </c>
    </row>
    <row r="38">
      <c r="A38" s="2" t="s">
        <v>75</v>
      </c>
      <c r="B38" s="2">
        <v>37.0</v>
      </c>
    </row>
    <row r="39">
      <c r="A39" s="2" t="s">
        <v>76</v>
      </c>
      <c r="B39" s="2">
        <v>38.0</v>
      </c>
    </row>
    <row r="40">
      <c r="A40" s="2" t="s">
        <v>77</v>
      </c>
      <c r="B40" s="2">
        <v>39.0</v>
      </c>
    </row>
    <row r="41">
      <c r="A41" s="2" t="s">
        <v>78</v>
      </c>
      <c r="B41" s="2">
        <v>40.0</v>
      </c>
    </row>
    <row r="42">
      <c r="A42" s="2" t="s">
        <v>79</v>
      </c>
      <c r="B42" s="2">
        <v>41.0</v>
      </c>
    </row>
    <row r="43">
      <c r="A43" s="2" t="s">
        <v>80</v>
      </c>
      <c r="B43" s="2">
        <v>42.0</v>
      </c>
    </row>
    <row r="44">
      <c r="A44" s="2" t="s">
        <v>81</v>
      </c>
      <c r="B44" s="2">
        <v>43.0</v>
      </c>
    </row>
    <row r="45">
      <c r="A45" s="2" t="s">
        <v>82</v>
      </c>
      <c r="B45" s="2">
        <v>44.0</v>
      </c>
    </row>
    <row r="46">
      <c r="A46" s="2" t="s">
        <v>83</v>
      </c>
      <c r="B46" s="2">
        <v>45.0</v>
      </c>
    </row>
    <row r="47">
      <c r="A47" s="2" t="s">
        <v>84</v>
      </c>
      <c r="B47" s="2">
        <v>46.0</v>
      </c>
    </row>
    <row r="48">
      <c r="A48" s="2" t="s">
        <v>85</v>
      </c>
      <c r="B48" s="2">
        <v>47.0</v>
      </c>
    </row>
    <row r="49">
      <c r="A49" s="2" t="s">
        <v>86</v>
      </c>
      <c r="B49" s="2">
        <v>48.0</v>
      </c>
    </row>
    <row r="50">
      <c r="A50" s="2" t="s">
        <v>87</v>
      </c>
      <c r="B50" s="2">
        <v>49.0</v>
      </c>
    </row>
    <row r="51">
      <c r="A51" s="2" t="s">
        <v>88</v>
      </c>
      <c r="B51" s="2">
        <v>50.0</v>
      </c>
    </row>
    <row r="52">
      <c r="A52" s="2" t="s">
        <v>89</v>
      </c>
      <c r="B52" s="2">
        <v>51.0</v>
      </c>
    </row>
    <row r="53">
      <c r="A53" s="2" t="s">
        <v>90</v>
      </c>
      <c r="B53" s="2">
        <v>52.0</v>
      </c>
    </row>
    <row r="54">
      <c r="A54" s="2" t="s">
        <v>91</v>
      </c>
      <c r="B54" s="2">
        <v>53.0</v>
      </c>
    </row>
    <row r="55">
      <c r="A55" s="2" t="s">
        <v>92</v>
      </c>
      <c r="B55" s="2">
        <v>54.0</v>
      </c>
    </row>
    <row r="56">
      <c r="A56" s="2" t="s">
        <v>93</v>
      </c>
      <c r="B56" s="2">
        <v>55.0</v>
      </c>
    </row>
    <row r="57">
      <c r="A57" s="2" t="s">
        <v>94</v>
      </c>
      <c r="B57" s="2">
        <v>56.0</v>
      </c>
    </row>
    <row r="58">
      <c r="A58" s="2" t="s">
        <v>95</v>
      </c>
      <c r="B58" s="2">
        <v>57.0</v>
      </c>
    </row>
    <row r="59">
      <c r="A59" s="2" t="s">
        <v>96</v>
      </c>
      <c r="B59" s="2">
        <v>58.0</v>
      </c>
    </row>
    <row r="60">
      <c r="A60" s="2" t="s">
        <v>97</v>
      </c>
      <c r="B60" s="2">
        <v>59.0</v>
      </c>
    </row>
    <row r="61">
      <c r="A61" s="2" t="s">
        <v>98</v>
      </c>
      <c r="B61" s="2">
        <v>60.0</v>
      </c>
    </row>
    <row r="62">
      <c r="A62" s="2" t="s">
        <v>99</v>
      </c>
      <c r="B62" s="2">
        <v>61.0</v>
      </c>
    </row>
    <row r="63">
      <c r="A63" s="2" t="s">
        <v>100</v>
      </c>
      <c r="B63" s="2">
        <v>62.0</v>
      </c>
    </row>
    <row r="64">
      <c r="A64" s="2" t="s">
        <v>101</v>
      </c>
      <c r="B64" s="2">
        <v>63.0</v>
      </c>
    </row>
    <row r="65">
      <c r="A65" s="2" t="s">
        <v>102</v>
      </c>
      <c r="B65" s="2">
        <v>64.0</v>
      </c>
    </row>
    <row r="66">
      <c r="A66" s="2" t="s">
        <v>103</v>
      </c>
      <c r="B66" s="2">
        <v>65.0</v>
      </c>
    </row>
    <row r="67">
      <c r="A67" s="2" t="s">
        <v>104</v>
      </c>
      <c r="B67" s="2">
        <v>66.0</v>
      </c>
    </row>
    <row r="68">
      <c r="A68" s="2" t="s">
        <v>105</v>
      </c>
      <c r="B68" s="2">
        <v>67.0</v>
      </c>
    </row>
    <row r="69">
      <c r="A69" s="2" t="s">
        <v>106</v>
      </c>
      <c r="B69" s="2">
        <v>68.0</v>
      </c>
    </row>
    <row r="70">
      <c r="A70" s="2" t="s">
        <v>107</v>
      </c>
      <c r="B70" s="2">
        <v>69.0</v>
      </c>
    </row>
    <row r="71">
      <c r="A71" s="2" t="s">
        <v>108</v>
      </c>
      <c r="B71" s="2">
        <v>70.0</v>
      </c>
    </row>
    <row r="72">
      <c r="A72" s="2" t="s">
        <v>109</v>
      </c>
      <c r="B72" s="2">
        <v>71.0</v>
      </c>
    </row>
    <row r="73">
      <c r="A73" s="2" t="s">
        <v>110</v>
      </c>
      <c r="B73" s="2">
        <v>72.0</v>
      </c>
    </row>
    <row r="74">
      <c r="A74" s="2" t="s">
        <v>111</v>
      </c>
      <c r="B74" s="2">
        <v>73.0</v>
      </c>
    </row>
    <row r="75">
      <c r="A75" s="2" t="s">
        <v>112</v>
      </c>
      <c r="B75" s="2">
        <v>74.0</v>
      </c>
    </row>
    <row r="76">
      <c r="A76" s="2" t="s">
        <v>113</v>
      </c>
      <c r="B76" s="2">
        <v>75.0</v>
      </c>
    </row>
    <row r="77">
      <c r="A77" s="2" t="s">
        <v>35</v>
      </c>
      <c r="B77" s="2">
        <v>76.0</v>
      </c>
    </row>
    <row r="78">
      <c r="A78" s="2" t="s">
        <v>114</v>
      </c>
      <c r="B78" s="2">
        <v>77.0</v>
      </c>
    </row>
    <row r="79">
      <c r="A79" s="2" t="s">
        <v>115</v>
      </c>
      <c r="B79" s="2">
        <v>78.0</v>
      </c>
    </row>
    <row r="80">
      <c r="A80" s="2" t="s">
        <v>116</v>
      </c>
      <c r="B80" s="2">
        <v>79.0</v>
      </c>
    </row>
    <row r="81">
      <c r="A81" s="2" t="s">
        <v>117</v>
      </c>
      <c r="B81" s="2">
        <v>80.0</v>
      </c>
    </row>
    <row r="82">
      <c r="A82" s="2" t="s">
        <v>25</v>
      </c>
      <c r="B82" s="2">
        <v>81.0</v>
      </c>
    </row>
    <row r="83">
      <c r="A83" s="2" t="s">
        <v>118</v>
      </c>
      <c r="B83" s="2">
        <v>82.0</v>
      </c>
    </row>
    <row r="84">
      <c r="A84" s="2" t="s">
        <v>119</v>
      </c>
      <c r="B84" s="2">
        <v>83.0</v>
      </c>
    </row>
    <row r="85">
      <c r="A85" s="2" t="s">
        <v>120</v>
      </c>
      <c r="B85" s="2">
        <v>84.0</v>
      </c>
    </row>
    <row r="86">
      <c r="A86" s="2" t="s">
        <v>121</v>
      </c>
      <c r="B86" s="2">
        <v>85.0</v>
      </c>
    </row>
    <row r="87">
      <c r="A87" s="2" t="s">
        <v>122</v>
      </c>
      <c r="B87" s="2">
        <v>86.0</v>
      </c>
    </row>
    <row r="88">
      <c r="A88" s="2" t="s">
        <v>123</v>
      </c>
      <c r="B88" s="2">
        <v>87.0</v>
      </c>
    </row>
    <row r="89">
      <c r="A89" s="2" t="s">
        <v>124</v>
      </c>
      <c r="B89" s="2">
        <v>88.0</v>
      </c>
    </row>
    <row r="90">
      <c r="A90" s="2" t="s">
        <v>125</v>
      </c>
      <c r="B90" s="2">
        <v>89.0</v>
      </c>
    </row>
    <row r="91">
      <c r="A91" s="2" t="s">
        <v>126</v>
      </c>
      <c r="B91" s="2">
        <v>90.0</v>
      </c>
    </row>
    <row r="92">
      <c r="A92" s="2" t="s">
        <v>127</v>
      </c>
      <c r="B92" s="2">
        <v>91.0</v>
      </c>
    </row>
    <row r="93">
      <c r="A93" s="2" t="s">
        <v>128</v>
      </c>
      <c r="B93" s="2">
        <v>92.0</v>
      </c>
    </row>
    <row r="94">
      <c r="A94" s="2" t="s">
        <v>129</v>
      </c>
      <c r="B94" s="2">
        <v>93.0</v>
      </c>
    </row>
    <row r="95">
      <c r="A95" s="2" t="s">
        <v>130</v>
      </c>
      <c r="B95" s="2">
        <v>94.0</v>
      </c>
    </row>
    <row r="96">
      <c r="A96" s="2" t="s">
        <v>131</v>
      </c>
      <c r="B96" s="2">
        <v>95.0</v>
      </c>
    </row>
    <row r="97">
      <c r="A97" s="2" t="s">
        <v>132</v>
      </c>
      <c r="B97" s="2">
        <v>96.0</v>
      </c>
    </row>
    <row r="98">
      <c r="A98" s="2" t="s">
        <v>133</v>
      </c>
      <c r="B98" s="2">
        <v>97.0</v>
      </c>
    </row>
    <row r="99">
      <c r="A99" s="2" t="s">
        <v>134</v>
      </c>
      <c r="B99" s="2">
        <v>98.0</v>
      </c>
    </row>
    <row r="100">
      <c r="A100" s="2" t="s">
        <v>135</v>
      </c>
      <c r="B100" s="2">
        <v>99.0</v>
      </c>
    </row>
    <row r="101">
      <c r="A101" s="2" t="s">
        <v>136</v>
      </c>
      <c r="B101" s="2">
        <v>100.0</v>
      </c>
    </row>
    <row r="102">
      <c r="A102" s="2" t="s">
        <v>137</v>
      </c>
      <c r="B102" s="2">
        <v>101.0</v>
      </c>
    </row>
    <row r="103">
      <c r="A103" s="2" t="s">
        <v>138</v>
      </c>
      <c r="B103" s="2">
        <v>102.0</v>
      </c>
    </row>
    <row r="104">
      <c r="A104" s="2" t="s">
        <v>139</v>
      </c>
      <c r="B104" s="2">
        <v>103.0</v>
      </c>
    </row>
    <row r="105">
      <c r="A105" s="2" t="s">
        <v>140</v>
      </c>
      <c r="B105" s="2">
        <v>104.0</v>
      </c>
    </row>
    <row r="106">
      <c r="A106" s="2" t="s">
        <v>141</v>
      </c>
      <c r="B106" s="2">
        <v>105.0</v>
      </c>
    </row>
    <row r="107">
      <c r="A107" s="2" t="s">
        <v>142</v>
      </c>
      <c r="B107" s="2">
        <v>106.0</v>
      </c>
    </row>
    <row r="108">
      <c r="A108" s="2" t="s">
        <v>143</v>
      </c>
      <c r="B108" s="2">
        <v>107.0</v>
      </c>
    </row>
    <row r="109">
      <c r="A109" s="2" t="s">
        <v>144</v>
      </c>
      <c r="B109" s="2">
        <v>108.0</v>
      </c>
    </row>
    <row r="110">
      <c r="A110" s="2" t="s">
        <v>145</v>
      </c>
      <c r="B110" s="2">
        <v>109.0</v>
      </c>
    </row>
    <row r="111">
      <c r="A111" s="2" t="s">
        <v>146</v>
      </c>
      <c r="B111" s="2">
        <v>110.0</v>
      </c>
    </row>
    <row r="112">
      <c r="A112" s="2" t="s">
        <v>147</v>
      </c>
      <c r="B112" s="2">
        <v>111.0</v>
      </c>
    </row>
    <row r="113">
      <c r="A113" s="2" t="s">
        <v>148</v>
      </c>
      <c r="B113" s="2">
        <v>112.0</v>
      </c>
    </row>
    <row r="114">
      <c r="A114" s="2" t="s">
        <v>149</v>
      </c>
      <c r="B114" s="2">
        <v>113.0</v>
      </c>
    </row>
    <row r="115">
      <c r="A115" s="2" t="s">
        <v>150</v>
      </c>
      <c r="B115" s="2">
        <v>114.0</v>
      </c>
    </row>
    <row r="116">
      <c r="A116" s="2" t="s">
        <v>151</v>
      </c>
      <c r="B116" s="2">
        <v>115.0</v>
      </c>
    </row>
    <row r="117">
      <c r="A117" s="2" t="s">
        <v>152</v>
      </c>
      <c r="B117" s="2">
        <v>116.0</v>
      </c>
    </row>
    <row r="118">
      <c r="A118" s="2" t="s">
        <v>153</v>
      </c>
      <c r="B118" s="2">
        <v>117.0</v>
      </c>
    </row>
    <row r="119">
      <c r="A119" s="2" t="s">
        <v>154</v>
      </c>
      <c r="B119" s="2">
        <v>118.0</v>
      </c>
    </row>
    <row r="120">
      <c r="A120" s="2" t="s">
        <v>155</v>
      </c>
      <c r="B120" s="2">
        <v>119.0</v>
      </c>
    </row>
    <row r="121">
      <c r="A121" s="2" t="s">
        <v>156</v>
      </c>
      <c r="B121" s="2">
        <v>120.0</v>
      </c>
    </row>
    <row r="122">
      <c r="A122" s="2" t="s">
        <v>157</v>
      </c>
      <c r="B122" s="2">
        <v>121.0</v>
      </c>
    </row>
    <row r="123">
      <c r="A123" s="2" t="s">
        <v>158</v>
      </c>
      <c r="B123" s="2">
        <v>122.0</v>
      </c>
    </row>
    <row r="124">
      <c r="A124" s="2" t="s">
        <v>159</v>
      </c>
      <c r="B124" s="2">
        <v>123.0</v>
      </c>
    </row>
    <row r="125">
      <c r="A125" s="2" t="s">
        <v>160</v>
      </c>
      <c r="B125" s="2">
        <v>124.0</v>
      </c>
    </row>
    <row r="126">
      <c r="A126" s="2" t="s">
        <v>161</v>
      </c>
      <c r="B126" s="2">
        <v>125.0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162</v>
      </c>
      <c r="B1" s="1" t="s">
        <v>163</v>
      </c>
    </row>
    <row r="2">
      <c r="A2" s="1">
        <v>1.0</v>
      </c>
      <c r="B2" s="2" t="s">
        <v>164</v>
      </c>
    </row>
    <row r="3">
      <c r="A3" s="2">
        <f t="shared" ref="A3:A161" si="1">A2+1</f>
        <v>2</v>
      </c>
      <c r="B3" s="2" t="s">
        <v>165</v>
      </c>
    </row>
    <row r="4">
      <c r="A4" s="2">
        <f t="shared" si="1"/>
        <v>3</v>
      </c>
      <c r="B4" s="2" t="s">
        <v>166</v>
      </c>
    </row>
    <row r="5">
      <c r="A5" s="2">
        <f t="shared" si="1"/>
        <v>4</v>
      </c>
      <c r="B5" s="2" t="s">
        <v>167</v>
      </c>
    </row>
    <row r="6">
      <c r="A6" s="2">
        <f t="shared" si="1"/>
        <v>5</v>
      </c>
      <c r="B6" s="2" t="s">
        <v>168</v>
      </c>
    </row>
    <row r="7">
      <c r="A7" s="2">
        <f t="shared" si="1"/>
        <v>6</v>
      </c>
      <c r="B7" s="2" t="s">
        <v>169</v>
      </c>
    </row>
    <row r="8">
      <c r="A8" s="2">
        <f t="shared" si="1"/>
        <v>7</v>
      </c>
      <c r="B8" s="2" t="s">
        <v>170</v>
      </c>
    </row>
    <row r="9">
      <c r="A9" s="2">
        <f t="shared" si="1"/>
        <v>8</v>
      </c>
      <c r="B9" s="2" t="s">
        <v>171</v>
      </c>
    </row>
    <row r="10">
      <c r="A10" s="2">
        <f t="shared" si="1"/>
        <v>9</v>
      </c>
      <c r="B10" s="2" t="s">
        <v>172</v>
      </c>
    </row>
    <row r="11">
      <c r="A11" s="2">
        <f t="shared" si="1"/>
        <v>10</v>
      </c>
      <c r="B11" s="2" t="s">
        <v>173</v>
      </c>
    </row>
    <row r="12">
      <c r="A12" s="2">
        <f t="shared" si="1"/>
        <v>11</v>
      </c>
      <c r="B12" s="2" t="s">
        <v>174</v>
      </c>
    </row>
    <row r="13">
      <c r="A13" s="2">
        <f t="shared" si="1"/>
        <v>12</v>
      </c>
      <c r="B13" s="2" t="s">
        <v>175</v>
      </c>
    </row>
    <row r="14">
      <c r="A14" s="2">
        <f t="shared" si="1"/>
        <v>13</v>
      </c>
      <c r="B14" s="2" t="s">
        <v>176</v>
      </c>
    </row>
    <row r="15">
      <c r="A15" s="2">
        <f t="shared" si="1"/>
        <v>14</v>
      </c>
      <c r="B15" s="2" t="s">
        <v>177</v>
      </c>
    </row>
    <row r="16">
      <c r="A16" s="2">
        <f t="shared" si="1"/>
        <v>15</v>
      </c>
      <c r="B16" s="2" t="s">
        <v>178</v>
      </c>
    </row>
    <row r="17">
      <c r="A17" s="2">
        <f t="shared" si="1"/>
        <v>16</v>
      </c>
      <c r="B17" s="2" t="s">
        <v>179</v>
      </c>
    </row>
    <row r="18">
      <c r="A18" s="2">
        <f t="shared" si="1"/>
        <v>17</v>
      </c>
      <c r="B18" s="2" t="s">
        <v>180</v>
      </c>
    </row>
    <row r="19">
      <c r="A19" s="2">
        <f t="shared" si="1"/>
        <v>18</v>
      </c>
      <c r="B19" s="2" t="s">
        <v>181</v>
      </c>
    </row>
    <row r="20">
      <c r="A20" s="2">
        <f t="shared" si="1"/>
        <v>19</v>
      </c>
      <c r="B20" s="2" t="s">
        <v>182</v>
      </c>
    </row>
    <row r="21">
      <c r="A21" s="2">
        <f t="shared" si="1"/>
        <v>20</v>
      </c>
      <c r="B21" s="2" t="s">
        <v>183</v>
      </c>
    </row>
    <row r="22">
      <c r="A22" s="2">
        <f t="shared" si="1"/>
        <v>21</v>
      </c>
      <c r="B22" s="2" t="s">
        <v>184</v>
      </c>
    </row>
    <row r="23">
      <c r="A23" s="2">
        <f t="shared" si="1"/>
        <v>22</v>
      </c>
      <c r="B23" s="2" t="s">
        <v>185</v>
      </c>
    </row>
    <row r="24">
      <c r="A24" s="2">
        <f t="shared" si="1"/>
        <v>23</v>
      </c>
      <c r="B24" s="2" t="s">
        <v>186</v>
      </c>
    </row>
    <row r="25">
      <c r="A25" s="2">
        <f t="shared" si="1"/>
        <v>24</v>
      </c>
      <c r="B25" s="2" t="s">
        <v>187</v>
      </c>
    </row>
    <row r="26">
      <c r="A26" s="2">
        <f t="shared" si="1"/>
        <v>25</v>
      </c>
      <c r="B26" s="2" t="s">
        <v>188</v>
      </c>
    </row>
    <row r="27">
      <c r="A27" s="2">
        <f t="shared" si="1"/>
        <v>26</v>
      </c>
      <c r="B27" s="2" t="s">
        <v>189</v>
      </c>
    </row>
    <row r="28">
      <c r="A28" s="2">
        <f t="shared" si="1"/>
        <v>27</v>
      </c>
      <c r="B28" s="2" t="s">
        <v>190</v>
      </c>
    </row>
    <row r="29">
      <c r="A29" s="2">
        <f t="shared" si="1"/>
        <v>28</v>
      </c>
      <c r="B29" s="2" t="s">
        <v>191</v>
      </c>
    </row>
    <row r="30">
      <c r="A30" s="2">
        <f t="shared" si="1"/>
        <v>29</v>
      </c>
      <c r="B30" s="2" t="s">
        <v>192</v>
      </c>
    </row>
    <row r="31">
      <c r="A31" s="2">
        <f t="shared" si="1"/>
        <v>30</v>
      </c>
      <c r="B31" s="2" t="s">
        <v>193</v>
      </c>
    </row>
    <row r="32">
      <c r="A32" s="2">
        <f t="shared" si="1"/>
        <v>31</v>
      </c>
      <c r="B32" s="2" t="s">
        <v>194</v>
      </c>
    </row>
    <row r="33">
      <c r="A33" s="2">
        <f t="shared" si="1"/>
        <v>32</v>
      </c>
      <c r="B33" s="2" t="s">
        <v>195</v>
      </c>
    </row>
    <row r="34">
      <c r="A34" s="2">
        <f t="shared" si="1"/>
        <v>33</v>
      </c>
      <c r="B34" s="2" t="s">
        <v>196</v>
      </c>
    </row>
    <row r="35">
      <c r="A35" s="2">
        <f t="shared" si="1"/>
        <v>34</v>
      </c>
      <c r="B35" s="2" t="s">
        <v>197</v>
      </c>
    </row>
    <row r="36">
      <c r="A36" s="2">
        <f t="shared" si="1"/>
        <v>35</v>
      </c>
      <c r="B36" s="2" t="s">
        <v>198</v>
      </c>
    </row>
    <row r="37">
      <c r="A37" s="2">
        <f t="shared" si="1"/>
        <v>36</v>
      </c>
      <c r="B37" s="2" t="s">
        <v>199</v>
      </c>
    </row>
    <row r="38">
      <c r="A38" s="2">
        <f t="shared" si="1"/>
        <v>37</v>
      </c>
      <c r="B38" s="2" t="s">
        <v>200</v>
      </c>
    </row>
    <row r="39">
      <c r="A39" s="2">
        <f t="shared" si="1"/>
        <v>38</v>
      </c>
      <c r="B39" s="2" t="s">
        <v>201</v>
      </c>
    </row>
    <row r="40">
      <c r="A40" s="2">
        <f t="shared" si="1"/>
        <v>39</v>
      </c>
      <c r="B40" s="2" t="s">
        <v>202</v>
      </c>
    </row>
    <row r="41">
      <c r="A41" s="2">
        <f t="shared" si="1"/>
        <v>40</v>
      </c>
      <c r="B41" s="2" t="s">
        <v>203</v>
      </c>
    </row>
    <row r="42">
      <c r="A42" s="2">
        <f t="shared" si="1"/>
        <v>41</v>
      </c>
      <c r="B42" s="2" t="s">
        <v>204</v>
      </c>
    </row>
    <row r="43">
      <c r="A43" s="2">
        <f t="shared" si="1"/>
        <v>42</v>
      </c>
      <c r="B43" s="2" t="s">
        <v>205</v>
      </c>
    </row>
    <row r="44">
      <c r="A44" s="2">
        <f t="shared" si="1"/>
        <v>43</v>
      </c>
      <c r="B44" s="2" t="s">
        <v>206</v>
      </c>
    </row>
    <row r="45">
      <c r="A45" s="2">
        <f t="shared" si="1"/>
        <v>44</v>
      </c>
      <c r="B45" s="2" t="s">
        <v>207</v>
      </c>
    </row>
    <row r="46">
      <c r="A46" s="2">
        <f t="shared" si="1"/>
        <v>45</v>
      </c>
      <c r="B46" s="2" t="s">
        <v>208</v>
      </c>
    </row>
    <row r="47">
      <c r="A47" s="2">
        <f t="shared" si="1"/>
        <v>46</v>
      </c>
      <c r="B47" s="2" t="s">
        <v>209</v>
      </c>
    </row>
    <row r="48">
      <c r="A48" s="2">
        <f t="shared" si="1"/>
        <v>47</v>
      </c>
      <c r="B48" s="1" t="s">
        <v>210</v>
      </c>
    </row>
    <row r="49">
      <c r="A49" s="2">
        <f t="shared" si="1"/>
        <v>48</v>
      </c>
      <c r="B49" s="2" t="s">
        <v>211</v>
      </c>
    </row>
    <row r="50">
      <c r="A50" s="2">
        <f t="shared" si="1"/>
        <v>49</v>
      </c>
      <c r="B50" s="2" t="s">
        <v>212</v>
      </c>
    </row>
    <row r="51">
      <c r="A51" s="2">
        <f t="shared" si="1"/>
        <v>50</v>
      </c>
      <c r="B51" s="2" t="s">
        <v>213</v>
      </c>
    </row>
    <row r="52">
      <c r="A52" s="2">
        <f t="shared" si="1"/>
        <v>51</v>
      </c>
      <c r="B52" s="2" t="s">
        <v>214</v>
      </c>
    </row>
    <row r="53">
      <c r="A53" s="2">
        <f t="shared" si="1"/>
        <v>52</v>
      </c>
      <c r="B53" s="2" t="s">
        <v>215</v>
      </c>
    </row>
    <row r="54">
      <c r="A54" s="2">
        <f t="shared" si="1"/>
        <v>53</v>
      </c>
      <c r="B54" s="2" t="s">
        <v>216</v>
      </c>
    </row>
    <row r="55">
      <c r="A55" s="2">
        <f t="shared" si="1"/>
        <v>54</v>
      </c>
      <c r="B55" s="2" t="s">
        <v>217</v>
      </c>
    </row>
    <row r="56">
      <c r="A56" s="2">
        <f t="shared" si="1"/>
        <v>55</v>
      </c>
      <c r="B56" s="2" t="s">
        <v>218</v>
      </c>
    </row>
    <row r="57">
      <c r="A57" s="2">
        <f t="shared" si="1"/>
        <v>56</v>
      </c>
      <c r="B57" s="2" t="s">
        <v>219</v>
      </c>
    </row>
    <row r="58">
      <c r="A58" s="2">
        <f t="shared" si="1"/>
        <v>57</v>
      </c>
      <c r="B58" s="2" t="s">
        <v>220</v>
      </c>
    </row>
    <row r="59">
      <c r="A59" s="2">
        <f t="shared" si="1"/>
        <v>58</v>
      </c>
      <c r="B59" s="2" t="s">
        <v>221</v>
      </c>
    </row>
    <row r="60">
      <c r="A60" s="2">
        <f t="shared" si="1"/>
        <v>59</v>
      </c>
      <c r="B60" s="2" t="s">
        <v>222</v>
      </c>
    </row>
    <row r="61">
      <c r="A61" s="2">
        <f t="shared" si="1"/>
        <v>60</v>
      </c>
      <c r="B61" s="2" t="s">
        <v>223</v>
      </c>
    </row>
    <row r="62">
      <c r="A62" s="2">
        <f t="shared" si="1"/>
        <v>61</v>
      </c>
      <c r="B62" s="2" t="s">
        <v>224</v>
      </c>
    </row>
    <row r="63">
      <c r="A63" s="2">
        <f t="shared" si="1"/>
        <v>62</v>
      </c>
      <c r="B63" s="2" t="s">
        <v>225</v>
      </c>
    </row>
    <row r="64">
      <c r="A64" s="2">
        <f t="shared" si="1"/>
        <v>63</v>
      </c>
      <c r="B64" s="2" t="s">
        <v>226</v>
      </c>
    </row>
    <row r="65">
      <c r="A65" s="2">
        <f t="shared" si="1"/>
        <v>64</v>
      </c>
      <c r="B65" s="2" t="s">
        <v>227</v>
      </c>
    </row>
    <row r="66">
      <c r="A66" s="2">
        <f t="shared" si="1"/>
        <v>65</v>
      </c>
      <c r="B66" s="2" t="s">
        <v>228</v>
      </c>
    </row>
    <row r="67">
      <c r="A67" s="2">
        <f t="shared" si="1"/>
        <v>66</v>
      </c>
      <c r="B67" s="2" t="s">
        <v>229</v>
      </c>
    </row>
    <row r="68">
      <c r="A68" s="2">
        <f t="shared" si="1"/>
        <v>67</v>
      </c>
      <c r="B68" s="2" t="s">
        <v>230</v>
      </c>
    </row>
    <row r="69">
      <c r="A69" s="2">
        <f t="shared" si="1"/>
        <v>68</v>
      </c>
      <c r="B69" s="2" t="s">
        <v>231</v>
      </c>
    </row>
    <row r="70">
      <c r="A70" s="2">
        <f t="shared" si="1"/>
        <v>69</v>
      </c>
      <c r="B70" s="2" t="s">
        <v>232</v>
      </c>
    </row>
    <row r="71">
      <c r="A71" s="2">
        <f t="shared" si="1"/>
        <v>70</v>
      </c>
      <c r="B71" s="2" t="s">
        <v>233</v>
      </c>
    </row>
    <row r="72">
      <c r="A72" s="2">
        <f t="shared" si="1"/>
        <v>71</v>
      </c>
      <c r="B72" s="2" t="s">
        <v>234</v>
      </c>
    </row>
    <row r="73">
      <c r="A73" s="2">
        <f t="shared" si="1"/>
        <v>72</v>
      </c>
      <c r="B73" s="2" t="s">
        <v>235</v>
      </c>
    </row>
    <row r="74">
      <c r="A74" s="2">
        <f t="shared" si="1"/>
        <v>73</v>
      </c>
      <c r="B74" s="2" t="s">
        <v>236</v>
      </c>
    </row>
    <row r="75">
      <c r="A75" s="2">
        <f t="shared" si="1"/>
        <v>74</v>
      </c>
      <c r="B75" s="2" t="s">
        <v>237</v>
      </c>
    </row>
    <row r="76">
      <c r="A76" s="2">
        <f t="shared" si="1"/>
        <v>75</v>
      </c>
      <c r="B76" s="2" t="s">
        <v>238</v>
      </c>
    </row>
    <row r="77">
      <c r="A77" s="2">
        <f t="shared" si="1"/>
        <v>76</v>
      </c>
      <c r="B77" s="2" t="s">
        <v>239</v>
      </c>
    </row>
    <row r="78">
      <c r="A78" s="2">
        <f t="shared" si="1"/>
        <v>77</v>
      </c>
      <c r="B78" s="2" t="s">
        <v>240</v>
      </c>
    </row>
    <row r="79">
      <c r="A79" s="2">
        <f t="shared" si="1"/>
        <v>78</v>
      </c>
      <c r="B79" s="2" t="s">
        <v>241</v>
      </c>
    </row>
    <row r="80">
      <c r="A80" s="2">
        <f t="shared" si="1"/>
        <v>79</v>
      </c>
      <c r="B80" s="2" t="s">
        <v>242</v>
      </c>
    </row>
    <row r="81">
      <c r="A81" s="2">
        <f t="shared" si="1"/>
        <v>80</v>
      </c>
      <c r="B81" s="2" t="s">
        <v>243</v>
      </c>
    </row>
    <row r="82">
      <c r="A82" s="2">
        <f t="shared" si="1"/>
        <v>81</v>
      </c>
      <c r="B82" s="2" t="s">
        <v>244</v>
      </c>
    </row>
    <row r="83">
      <c r="A83" s="2">
        <f t="shared" si="1"/>
        <v>82</v>
      </c>
      <c r="B83" s="2" t="s">
        <v>245</v>
      </c>
    </row>
    <row r="84">
      <c r="A84" s="2">
        <f t="shared" si="1"/>
        <v>83</v>
      </c>
      <c r="B84" s="2" t="s">
        <v>246</v>
      </c>
    </row>
    <row r="85">
      <c r="A85" s="2">
        <f t="shared" si="1"/>
        <v>84</v>
      </c>
      <c r="B85" s="2" t="s">
        <v>247</v>
      </c>
    </row>
    <row r="86">
      <c r="A86" s="2">
        <f t="shared" si="1"/>
        <v>85</v>
      </c>
      <c r="B86" s="2" t="s">
        <v>248</v>
      </c>
    </row>
    <row r="87">
      <c r="A87" s="2">
        <f t="shared" si="1"/>
        <v>86</v>
      </c>
      <c r="B87" s="2" t="s">
        <v>249</v>
      </c>
    </row>
    <row r="88">
      <c r="A88" s="2">
        <f t="shared" si="1"/>
        <v>87</v>
      </c>
      <c r="B88" s="2" t="s">
        <v>250</v>
      </c>
    </row>
    <row r="89">
      <c r="A89" s="2">
        <f t="shared" si="1"/>
        <v>88</v>
      </c>
      <c r="B89" s="2" t="s">
        <v>251</v>
      </c>
    </row>
    <row r="90">
      <c r="A90" s="2">
        <f t="shared" si="1"/>
        <v>89</v>
      </c>
      <c r="B90" s="2" t="s">
        <v>252</v>
      </c>
    </row>
    <row r="91">
      <c r="A91" s="2">
        <f t="shared" si="1"/>
        <v>90</v>
      </c>
      <c r="B91" s="2" t="s">
        <v>253</v>
      </c>
    </row>
    <row r="92">
      <c r="A92" s="2">
        <f t="shared" si="1"/>
        <v>91</v>
      </c>
      <c r="B92" s="2" t="s">
        <v>254</v>
      </c>
    </row>
    <row r="93">
      <c r="A93" s="2">
        <f t="shared" si="1"/>
        <v>92</v>
      </c>
      <c r="B93" s="2" t="s">
        <v>255</v>
      </c>
    </row>
    <row r="94">
      <c r="A94" s="2">
        <f t="shared" si="1"/>
        <v>93</v>
      </c>
      <c r="B94" s="2" t="s">
        <v>256</v>
      </c>
    </row>
    <row r="95">
      <c r="A95" s="2">
        <f t="shared" si="1"/>
        <v>94</v>
      </c>
      <c r="B95" s="2" t="s">
        <v>257</v>
      </c>
    </row>
    <row r="96">
      <c r="A96" s="2">
        <f t="shared" si="1"/>
        <v>95</v>
      </c>
      <c r="B96" s="2" t="s">
        <v>258</v>
      </c>
    </row>
    <row r="97">
      <c r="A97" s="2">
        <f t="shared" si="1"/>
        <v>96</v>
      </c>
      <c r="B97" s="2" t="s">
        <v>259</v>
      </c>
    </row>
    <row r="98">
      <c r="A98" s="2">
        <f t="shared" si="1"/>
        <v>97</v>
      </c>
      <c r="B98" s="2" t="s">
        <v>260</v>
      </c>
    </row>
    <row r="99">
      <c r="A99" s="2">
        <f t="shared" si="1"/>
        <v>98</v>
      </c>
      <c r="B99" s="2" t="s">
        <v>261</v>
      </c>
    </row>
    <row r="100">
      <c r="A100" s="2">
        <f t="shared" si="1"/>
        <v>99</v>
      </c>
      <c r="B100" s="2" t="s">
        <v>262</v>
      </c>
    </row>
    <row r="101">
      <c r="A101" s="2">
        <f t="shared" si="1"/>
        <v>100</v>
      </c>
      <c r="B101" s="2" t="s">
        <v>263</v>
      </c>
    </row>
    <row r="102">
      <c r="A102" s="2">
        <f t="shared" si="1"/>
        <v>101</v>
      </c>
      <c r="B102" s="2" t="s">
        <v>264</v>
      </c>
    </row>
    <row r="103">
      <c r="A103" s="2">
        <f t="shared" si="1"/>
        <v>102</v>
      </c>
      <c r="B103" s="2" t="s">
        <v>265</v>
      </c>
    </row>
    <row r="104">
      <c r="A104" s="2">
        <f t="shared" si="1"/>
        <v>103</v>
      </c>
      <c r="B104" s="2" t="s">
        <v>266</v>
      </c>
    </row>
    <row r="105">
      <c r="A105" s="2">
        <f t="shared" si="1"/>
        <v>104</v>
      </c>
      <c r="B105" s="2" t="s">
        <v>267</v>
      </c>
    </row>
    <row r="106">
      <c r="A106" s="2">
        <f t="shared" si="1"/>
        <v>105</v>
      </c>
      <c r="B106" s="2" t="s">
        <v>268</v>
      </c>
    </row>
    <row r="107">
      <c r="A107" s="2">
        <f t="shared" si="1"/>
        <v>106</v>
      </c>
      <c r="B107" s="2" t="s">
        <v>269</v>
      </c>
    </row>
    <row r="108">
      <c r="A108" s="2">
        <f t="shared" si="1"/>
        <v>107</v>
      </c>
      <c r="B108" s="2" t="s">
        <v>270</v>
      </c>
    </row>
    <row r="109">
      <c r="A109" s="2">
        <f t="shared" si="1"/>
        <v>108</v>
      </c>
      <c r="B109" s="2" t="s">
        <v>271</v>
      </c>
    </row>
    <row r="110">
      <c r="A110" s="2">
        <f t="shared" si="1"/>
        <v>109</v>
      </c>
      <c r="B110" s="2" t="s">
        <v>272</v>
      </c>
    </row>
    <row r="111">
      <c r="A111" s="2">
        <f t="shared" si="1"/>
        <v>110</v>
      </c>
      <c r="B111" s="2" t="s">
        <v>273</v>
      </c>
    </row>
    <row r="112">
      <c r="A112" s="2">
        <f t="shared" si="1"/>
        <v>111</v>
      </c>
      <c r="B112" s="2" t="s">
        <v>274</v>
      </c>
    </row>
    <row r="113">
      <c r="A113" s="2">
        <f t="shared" si="1"/>
        <v>112</v>
      </c>
      <c r="B113" s="2" t="s">
        <v>275</v>
      </c>
    </row>
    <row r="114">
      <c r="A114" s="2">
        <f t="shared" si="1"/>
        <v>113</v>
      </c>
      <c r="B114" s="2" t="s">
        <v>276</v>
      </c>
    </row>
    <row r="115">
      <c r="A115" s="2">
        <f t="shared" si="1"/>
        <v>114</v>
      </c>
      <c r="B115" s="2" t="s">
        <v>277</v>
      </c>
    </row>
    <row r="116">
      <c r="A116" s="2">
        <f t="shared" si="1"/>
        <v>115</v>
      </c>
      <c r="B116" s="2" t="s">
        <v>278</v>
      </c>
    </row>
    <row r="117">
      <c r="A117" s="2">
        <f t="shared" si="1"/>
        <v>116</v>
      </c>
      <c r="B117" s="2" t="s">
        <v>279</v>
      </c>
    </row>
    <row r="118">
      <c r="A118" s="2">
        <f t="shared" si="1"/>
        <v>117</v>
      </c>
      <c r="B118" s="2" t="s">
        <v>280</v>
      </c>
    </row>
    <row r="119">
      <c r="A119" s="2">
        <f t="shared" si="1"/>
        <v>118</v>
      </c>
      <c r="B119" s="2" t="s">
        <v>281</v>
      </c>
    </row>
    <row r="120">
      <c r="A120" s="2">
        <f t="shared" si="1"/>
        <v>119</v>
      </c>
      <c r="B120" s="2" t="s">
        <v>282</v>
      </c>
    </row>
    <row r="121">
      <c r="A121" s="2">
        <f t="shared" si="1"/>
        <v>120</v>
      </c>
      <c r="B121" s="2" t="s">
        <v>283</v>
      </c>
    </row>
    <row r="122">
      <c r="A122" s="2">
        <f t="shared" si="1"/>
        <v>121</v>
      </c>
      <c r="B122" s="2" t="s">
        <v>284</v>
      </c>
    </row>
    <row r="123">
      <c r="A123" s="2">
        <f t="shared" si="1"/>
        <v>122</v>
      </c>
      <c r="B123" s="2" t="s">
        <v>285</v>
      </c>
    </row>
    <row r="124">
      <c r="A124" s="2">
        <f t="shared" si="1"/>
        <v>123</v>
      </c>
      <c r="B124" s="2" t="s">
        <v>286</v>
      </c>
    </row>
    <row r="125">
      <c r="A125" s="2">
        <f t="shared" si="1"/>
        <v>124</v>
      </c>
      <c r="B125" s="2" t="s">
        <v>287</v>
      </c>
    </row>
    <row r="126">
      <c r="A126" s="2">
        <f t="shared" si="1"/>
        <v>125</v>
      </c>
      <c r="B126" s="2" t="s">
        <v>288</v>
      </c>
    </row>
    <row r="127">
      <c r="A127" s="2">
        <f t="shared" si="1"/>
        <v>126</v>
      </c>
      <c r="B127" s="2" t="s">
        <v>289</v>
      </c>
    </row>
    <row r="128">
      <c r="A128" s="2">
        <f t="shared" si="1"/>
        <v>127</v>
      </c>
      <c r="B128" s="2" t="s">
        <v>290</v>
      </c>
    </row>
    <row r="129">
      <c r="A129" s="2">
        <f t="shared" si="1"/>
        <v>128</v>
      </c>
      <c r="B129" s="2" t="s">
        <v>291</v>
      </c>
    </row>
    <row r="130">
      <c r="A130" s="2">
        <f t="shared" si="1"/>
        <v>129</v>
      </c>
      <c r="B130" s="2" t="s">
        <v>292</v>
      </c>
    </row>
    <row r="131">
      <c r="A131" s="2">
        <f t="shared" si="1"/>
        <v>130</v>
      </c>
      <c r="B131" s="2" t="s">
        <v>293</v>
      </c>
    </row>
    <row r="132">
      <c r="A132" s="2">
        <f t="shared" si="1"/>
        <v>131</v>
      </c>
      <c r="B132" s="2" t="s">
        <v>294</v>
      </c>
    </row>
    <row r="133">
      <c r="A133" s="2">
        <f t="shared" si="1"/>
        <v>132</v>
      </c>
      <c r="B133" s="2" t="s">
        <v>295</v>
      </c>
    </row>
    <row r="134">
      <c r="A134" s="2">
        <f t="shared" si="1"/>
        <v>133</v>
      </c>
      <c r="B134" s="2" t="s">
        <v>296</v>
      </c>
    </row>
    <row r="135">
      <c r="A135" s="2">
        <f t="shared" si="1"/>
        <v>134</v>
      </c>
      <c r="B135" s="2" t="s">
        <v>297</v>
      </c>
    </row>
    <row r="136">
      <c r="A136" s="2">
        <f t="shared" si="1"/>
        <v>135</v>
      </c>
      <c r="B136" s="2" t="s">
        <v>298</v>
      </c>
    </row>
    <row r="137">
      <c r="A137" s="2">
        <f t="shared" si="1"/>
        <v>136</v>
      </c>
      <c r="B137" s="2" t="s">
        <v>299</v>
      </c>
    </row>
    <row r="138">
      <c r="A138" s="2">
        <f t="shared" si="1"/>
        <v>137</v>
      </c>
      <c r="B138" s="2" t="s">
        <v>300</v>
      </c>
    </row>
    <row r="139">
      <c r="A139" s="2">
        <f t="shared" si="1"/>
        <v>138</v>
      </c>
      <c r="B139" s="2" t="s">
        <v>301</v>
      </c>
    </row>
    <row r="140">
      <c r="A140" s="2">
        <f t="shared" si="1"/>
        <v>139</v>
      </c>
      <c r="B140" s="2" t="s">
        <v>302</v>
      </c>
    </row>
    <row r="141">
      <c r="A141" s="2">
        <f t="shared" si="1"/>
        <v>140</v>
      </c>
      <c r="B141" s="2" t="s">
        <v>303</v>
      </c>
    </row>
    <row r="142">
      <c r="A142" s="2">
        <f t="shared" si="1"/>
        <v>141</v>
      </c>
      <c r="B142" s="2" t="s">
        <v>304</v>
      </c>
    </row>
    <row r="143">
      <c r="A143" s="2">
        <f t="shared" si="1"/>
        <v>142</v>
      </c>
      <c r="B143" s="2" t="s">
        <v>305</v>
      </c>
    </row>
    <row r="144">
      <c r="A144" s="2">
        <f t="shared" si="1"/>
        <v>143</v>
      </c>
      <c r="B144" s="2" t="s">
        <v>306</v>
      </c>
    </row>
    <row r="145">
      <c r="A145" s="2">
        <f t="shared" si="1"/>
        <v>144</v>
      </c>
      <c r="B145" s="2" t="s">
        <v>307</v>
      </c>
    </row>
    <row r="146">
      <c r="A146" s="2">
        <f t="shared" si="1"/>
        <v>145</v>
      </c>
      <c r="B146" s="2" t="s">
        <v>308</v>
      </c>
    </row>
    <row r="147">
      <c r="A147" s="2">
        <f t="shared" si="1"/>
        <v>146</v>
      </c>
      <c r="B147" s="2" t="s">
        <v>309</v>
      </c>
    </row>
    <row r="148">
      <c r="A148" s="2">
        <f t="shared" si="1"/>
        <v>147</v>
      </c>
      <c r="B148" s="2" t="s">
        <v>310</v>
      </c>
    </row>
    <row r="149">
      <c r="A149" s="2">
        <f t="shared" si="1"/>
        <v>148</v>
      </c>
      <c r="B149" s="2" t="s">
        <v>311</v>
      </c>
    </row>
    <row r="150">
      <c r="A150" s="2">
        <f t="shared" si="1"/>
        <v>149</v>
      </c>
      <c r="B150" s="2" t="s">
        <v>312</v>
      </c>
    </row>
    <row r="151">
      <c r="A151" s="2">
        <f t="shared" si="1"/>
        <v>150</v>
      </c>
      <c r="B151" s="2" t="s">
        <v>313</v>
      </c>
    </row>
    <row r="152">
      <c r="A152" s="2">
        <f t="shared" si="1"/>
        <v>151</v>
      </c>
      <c r="B152" s="2" t="s">
        <v>314</v>
      </c>
    </row>
    <row r="153">
      <c r="A153" s="2">
        <f t="shared" si="1"/>
        <v>152</v>
      </c>
      <c r="B153" s="2" t="s">
        <v>315</v>
      </c>
    </row>
    <row r="154">
      <c r="A154" s="2">
        <f t="shared" si="1"/>
        <v>153</v>
      </c>
      <c r="B154" s="2" t="s">
        <v>316</v>
      </c>
    </row>
    <row r="155">
      <c r="A155" s="2">
        <f t="shared" si="1"/>
        <v>154</v>
      </c>
      <c r="B155" s="2" t="s">
        <v>317</v>
      </c>
    </row>
    <row r="156">
      <c r="A156" s="2">
        <f t="shared" si="1"/>
        <v>155</v>
      </c>
      <c r="B156" s="2" t="s">
        <v>318</v>
      </c>
    </row>
    <row r="157">
      <c r="A157" s="2">
        <f t="shared" si="1"/>
        <v>156</v>
      </c>
      <c r="B157" s="2" t="s">
        <v>319</v>
      </c>
    </row>
    <row r="158">
      <c r="A158" s="2">
        <f t="shared" si="1"/>
        <v>157</v>
      </c>
      <c r="B158" s="2" t="s">
        <v>320</v>
      </c>
    </row>
    <row r="159">
      <c r="A159" s="2">
        <f t="shared" si="1"/>
        <v>158</v>
      </c>
      <c r="B159" s="2" t="s">
        <v>321</v>
      </c>
    </row>
    <row r="160">
      <c r="A160" s="2">
        <f t="shared" si="1"/>
        <v>159</v>
      </c>
      <c r="B160" s="2" t="s">
        <v>322</v>
      </c>
    </row>
    <row r="161">
      <c r="A161" s="2">
        <f t="shared" si="1"/>
        <v>160</v>
      </c>
      <c r="B161" s="2" t="s">
        <v>323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324</v>
      </c>
      <c r="B1" s="1" t="s">
        <v>325</v>
      </c>
    </row>
    <row r="2">
      <c r="A2" s="1">
        <v>1.0</v>
      </c>
      <c r="B2" s="1" t="s">
        <v>326</v>
      </c>
    </row>
    <row r="3">
      <c r="A3" s="1">
        <v>2.0</v>
      </c>
      <c r="B3" s="1" t="s">
        <v>327</v>
      </c>
    </row>
    <row r="4">
      <c r="A4" s="1">
        <v>3.0</v>
      </c>
      <c r="B4" s="1" t="s">
        <v>328</v>
      </c>
    </row>
    <row r="5">
      <c r="A5" s="1">
        <v>4.0</v>
      </c>
      <c r="B5" s="1" t="s">
        <v>329</v>
      </c>
    </row>
    <row r="6">
      <c r="A6" s="1">
        <v>5.0</v>
      </c>
      <c r="B6" s="1" t="s">
        <v>330</v>
      </c>
    </row>
    <row r="7">
      <c r="A7" s="1">
        <v>6.0</v>
      </c>
      <c r="B7" s="1" t="s">
        <v>331</v>
      </c>
    </row>
    <row r="8">
      <c r="A8" s="1">
        <v>7.0</v>
      </c>
      <c r="B8" s="1" t="s">
        <v>332</v>
      </c>
    </row>
    <row r="9">
      <c r="A9" s="1">
        <v>8.0</v>
      </c>
      <c r="B9" s="1" t="s">
        <v>333</v>
      </c>
    </row>
    <row r="10">
      <c r="A10" s="1">
        <v>9.0</v>
      </c>
      <c r="B10" s="1" t="s">
        <v>334</v>
      </c>
    </row>
    <row r="11">
      <c r="A11" s="1">
        <v>10.0</v>
      </c>
      <c r="B11" s="1" t="s">
        <v>335</v>
      </c>
    </row>
    <row r="12">
      <c r="A12" s="1">
        <v>11.0</v>
      </c>
      <c r="B12" s="1" t="s">
        <v>336</v>
      </c>
    </row>
    <row r="13">
      <c r="A13" s="1">
        <v>12.0</v>
      </c>
      <c r="B13" s="1" t="s">
        <v>337</v>
      </c>
    </row>
    <row r="14">
      <c r="A14" s="1">
        <v>13.0</v>
      </c>
      <c r="B14" s="1" t="s">
        <v>338</v>
      </c>
    </row>
    <row r="15">
      <c r="A15" s="1">
        <v>14.0</v>
      </c>
      <c r="B15" s="1" t="s">
        <v>339</v>
      </c>
    </row>
    <row r="16">
      <c r="A16" s="1">
        <v>15.0</v>
      </c>
      <c r="B16" s="1" t="s">
        <v>340</v>
      </c>
    </row>
    <row r="17">
      <c r="A17" s="1">
        <v>16.0</v>
      </c>
      <c r="B17" s="1" t="s">
        <v>341</v>
      </c>
    </row>
    <row r="18">
      <c r="A18" s="1">
        <v>17.0</v>
      </c>
      <c r="B18" s="1" t="s">
        <v>342</v>
      </c>
    </row>
    <row r="19">
      <c r="A19" s="1">
        <v>18.0</v>
      </c>
      <c r="B19" s="1" t="s">
        <v>343</v>
      </c>
    </row>
    <row r="20">
      <c r="A20" s="1">
        <v>19.0</v>
      </c>
      <c r="B20" s="1" t="s">
        <v>344</v>
      </c>
    </row>
    <row r="21">
      <c r="A21" s="1">
        <v>20.0</v>
      </c>
      <c r="B21" s="1" t="s">
        <v>345</v>
      </c>
    </row>
    <row r="22">
      <c r="A22" s="1">
        <v>21.0</v>
      </c>
      <c r="B22" s="1" t="s">
        <v>346</v>
      </c>
    </row>
    <row r="23">
      <c r="A23" s="1">
        <v>22.0</v>
      </c>
      <c r="B23" s="1" t="s">
        <v>347</v>
      </c>
    </row>
    <row r="24">
      <c r="A24" s="1">
        <v>23.0</v>
      </c>
      <c r="B24" s="1" t="s">
        <v>348</v>
      </c>
    </row>
    <row r="25">
      <c r="A25" s="1">
        <v>24.0</v>
      </c>
      <c r="B25" s="1" t="s">
        <v>349</v>
      </c>
    </row>
    <row r="26">
      <c r="A26" s="1">
        <v>25.0</v>
      </c>
      <c r="B26" s="1" t="s">
        <v>350</v>
      </c>
    </row>
    <row r="27">
      <c r="A27" s="1">
        <v>26.0</v>
      </c>
      <c r="B27" s="1" t="s">
        <v>351</v>
      </c>
    </row>
    <row r="28">
      <c r="A28" s="1">
        <v>27.0</v>
      </c>
      <c r="B28" s="1" t="s">
        <v>352</v>
      </c>
    </row>
    <row r="29">
      <c r="A29" s="1">
        <v>28.0</v>
      </c>
      <c r="B29" s="1" t="s">
        <v>353</v>
      </c>
    </row>
    <row r="30">
      <c r="A30" s="1">
        <v>29.0</v>
      </c>
      <c r="B30" s="1" t="s">
        <v>354</v>
      </c>
    </row>
    <row r="31">
      <c r="A31" s="1">
        <v>30.0</v>
      </c>
      <c r="B31" s="1" t="s">
        <v>355</v>
      </c>
    </row>
    <row r="32">
      <c r="A32" s="1">
        <v>31.0</v>
      </c>
      <c r="B32" s="1" t="s">
        <v>356</v>
      </c>
    </row>
    <row r="33">
      <c r="A33" s="1">
        <v>32.0</v>
      </c>
      <c r="B33" s="1" t="s">
        <v>357</v>
      </c>
    </row>
    <row r="34">
      <c r="A34" s="1">
        <v>33.0</v>
      </c>
      <c r="B34" s="1" t="s">
        <v>358</v>
      </c>
    </row>
    <row r="35">
      <c r="A35" s="1">
        <v>34.0</v>
      </c>
      <c r="B35" s="1" t="s">
        <v>359</v>
      </c>
    </row>
    <row r="36">
      <c r="A36" s="1">
        <v>35.0</v>
      </c>
      <c r="B36" s="1" t="s">
        <v>360</v>
      </c>
    </row>
    <row r="37">
      <c r="A37" s="1">
        <v>36.0</v>
      </c>
      <c r="B37" s="1" t="s">
        <v>361</v>
      </c>
    </row>
    <row r="38">
      <c r="A38" s="1">
        <v>37.0</v>
      </c>
      <c r="B38" s="1" t="s">
        <v>362</v>
      </c>
    </row>
    <row r="39">
      <c r="A39" s="1">
        <v>38.0</v>
      </c>
      <c r="B39" s="1" t="s">
        <v>363</v>
      </c>
    </row>
    <row r="40">
      <c r="A40" s="1">
        <v>39.0</v>
      </c>
      <c r="B40" s="1" t="s">
        <v>364</v>
      </c>
    </row>
    <row r="41">
      <c r="A41" s="1">
        <v>40.0</v>
      </c>
      <c r="B41" s="1" t="s">
        <v>365</v>
      </c>
    </row>
    <row r="42">
      <c r="A42" s="1">
        <v>41.0</v>
      </c>
      <c r="B42" s="1" t="s">
        <v>366</v>
      </c>
    </row>
    <row r="43">
      <c r="A43" s="1">
        <v>42.0</v>
      </c>
      <c r="B43" s="1" t="s">
        <v>367</v>
      </c>
    </row>
    <row r="44">
      <c r="A44" s="1">
        <v>43.0</v>
      </c>
      <c r="B44" s="1" t="s">
        <v>368</v>
      </c>
    </row>
    <row r="45">
      <c r="A45" s="1">
        <v>44.0</v>
      </c>
      <c r="B45" s="1" t="s">
        <v>369</v>
      </c>
    </row>
    <row r="46">
      <c r="A46" s="1">
        <v>45.0</v>
      </c>
      <c r="B46" s="1" t="s">
        <v>370</v>
      </c>
    </row>
    <row r="47">
      <c r="A47" s="1">
        <v>46.0</v>
      </c>
      <c r="B47" s="1" t="s">
        <v>371</v>
      </c>
    </row>
    <row r="48">
      <c r="A48" s="1">
        <v>47.0</v>
      </c>
      <c r="B48" s="1" t="s">
        <v>372</v>
      </c>
    </row>
    <row r="49">
      <c r="A49" s="1">
        <v>48.0</v>
      </c>
      <c r="B49" s="1" t="s">
        <v>373</v>
      </c>
    </row>
    <row r="50">
      <c r="A50" s="1">
        <v>49.0</v>
      </c>
      <c r="B50" s="1" t="s">
        <v>374</v>
      </c>
    </row>
    <row r="51">
      <c r="A51" s="1">
        <v>50.0</v>
      </c>
      <c r="B51" s="1" t="s">
        <v>375</v>
      </c>
    </row>
    <row r="52">
      <c r="A52" s="1">
        <v>51.0</v>
      </c>
      <c r="B52" s="1" t="s">
        <v>376</v>
      </c>
    </row>
    <row r="53">
      <c r="A53" s="1">
        <v>52.0</v>
      </c>
      <c r="B53" s="1" t="s">
        <v>377</v>
      </c>
    </row>
    <row r="54">
      <c r="A54" s="1">
        <v>53.0</v>
      </c>
      <c r="B54" s="1" t="s">
        <v>378</v>
      </c>
    </row>
    <row r="55">
      <c r="A55" s="1">
        <v>54.0</v>
      </c>
      <c r="B55" s="1" t="s">
        <v>379</v>
      </c>
    </row>
    <row r="56">
      <c r="A56" s="1">
        <v>55.0</v>
      </c>
      <c r="B56" s="1" t="s">
        <v>380</v>
      </c>
    </row>
    <row r="57">
      <c r="A57" s="1">
        <v>56.0</v>
      </c>
      <c r="B57" s="1" t="s">
        <v>381</v>
      </c>
    </row>
    <row r="58">
      <c r="A58" s="1">
        <v>57.0</v>
      </c>
      <c r="B58" s="1" t="s">
        <v>382</v>
      </c>
    </row>
    <row r="59">
      <c r="A59" s="1">
        <v>58.0</v>
      </c>
      <c r="B59" s="1" t="s">
        <v>383</v>
      </c>
    </row>
    <row r="60">
      <c r="A60" s="1">
        <v>59.0</v>
      </c>
      <c r="B60" s="1" t="s">
        <v>384</v>
      </c>
    </row>
    <row r="61">
      <c r="A61" s="1">
        <v>60.0</v>
      </c>
      <c r="B61" s="1" t="s">
        <v>385</v>
      </c>
    </row>
    <row r="62">
      <c r="A62" s="1">
        <v>61.0</v>
      </c>
      <c r="B62" s="1" t="s">
        <v>386</v>
      </c>
    </row>
    <row r="63">
      <c r="A63" s="1">
        <v>62.0</v>
      </c>
      <c r="B63" s="1" t="s">
        <v>387</v>
      </c>
    </row>
    <row r="64">
      <c r="A64" s="1">
        <v>63.0</v>
      </c>
      <c r="B64" s="1" t="s">
        <v>388</v>
      </c>
    </row>
    <row r="65">
      <c r="A65" s="1">
        <v>64.0</v>
      </c>
      <c r="B65" s="1" t="s">
        <v>389</v>
      </c>
    </row>
    <row r="66">
      <c r="A66" s="1">
        <v>65.0</v>
      </c>
      <c r="B66" s="1" t="s">
        <v>390</v>
      </c>
    </row>
    <row r="67">
      <c r="A67" s="1">
        <v>66.0</v>
      </c>
      <c r="B67" s="1" t="s">
        <v>391</v>
      </c>
    </row>
    <row r="68">
      <c r="A68" s="1">
        <v>67.0</v>
      </c>
      <c r="B68" s="1" t="s">
        <v>392</v>
      </c>
    </row>
    <row r="69">
      <c r="A69" s="1">
        <v>68.0</v>
      </c>
      <c r="B69" s="1" t="s">
        <v>393</v>
      </c>
    </row>
    <row r="70">
      <c r="A70" s="1">
        <v>69.0</v>
      </c>
      <c r="B70" s="1" t="s">
        <v>394</v>
      </c>
    </row>
    <row r="71">
      <c r="A71" s="1">
        <v>70.0</v>
      </c>
      <c r="B71" s="1" t="s">
        <v>395</v>
      </c>
    </row>
    <row r="72">
      <c r="A72" s="1">
        <v>71.0</v>
      </c>
      <c r="B72" s="1" t="s">
        <v>396</v>
      </c>
    </row>
    <row r="73">
      <c r="A73" s="1">
        <v>72.0</v>
      </c>
      <c r="B73" s="1" t="s">
        <v>397</v>
      </c>
    </row>
    <row r="74">
      <c r="A74" s="1">
        <v>73.0</v>
      </c>
      <c r="B74" s="1" t="s">
        <v>398</v>
      </c>
    </row>
    <row r="75">
      <c r="A75" s="1">
        <v>74.0</v>
      </c>
      <c r="B75" s="1" t="s">
        <v>399</v>
      </c>
    </row>
    <row r="76">
      <c r="A76" s="1">
        <v>75.0</v>
      </c>
      <c r="B76" s="1" t="s">
        <v>400</v>
      </c>
    </row>
    <row r="77">
      <c r="A77" s="1">
        <v>76.0</v>
      </c>
      <c r="B77" s="1" t="s">
        <v>401</v>
      </c>
    </row>
    <row r="78">
      <c r="A78" s="1">
        <v>77.0</v>
      </c>
      <c r="B78" s="1" t="s">
        <v>402</v>
      </c>
    </row>
    <row r="79">
      <c r="A79" s="1">
        <v>78.0</v>
      </c>
      <c r="B79" s="1" t="s">
        <v>403</v>
      </c>
    </row>
    <row r="80">
      <c r="A80" s="1">
        <v>79.0</v>
      </c>
      <c r="B80" s="1" t="s">
        <v>404</v>
      </c>
    </row>
    <row r="81">
      <c r="A81" s="1">
        <v>80.0</v>
      </c>
      <c r="B81" s="1" t="s">
        <v>405</v>
      </c>
    </row>
    <row r="82">
      <c r="A82" s="1">
        <v>81.0</v>
      </c>
      <c r="B82" s="1" t="s">
        <v>406</v>
      </c>
    </row>
    <row r="83">
      <c r="A83" s="1">
        <v>82.0</v>
      </c>
      <c r="B83" s="1" t="s">
        <v>407</v>
      </c>
    </row>
    <row r="84">
      <c r="A84" s="1">
        <v>83.0</v>
      </c>
      <c r="B84" s="1" t="s">
        <v>408</v>
      </c>
    </row>
    <row r="85">
      <c r="A85" s="1">
        <v>84.0</v>
      </c>
      <c r="B85" s="1" t="s">
        <v>409</v>
      </c>
    </row>
    <row r="86">
      <c r="A86" s="1">
        <v>85.0</v>
      </c>
      <c r="B86" s="1" t="s">
        <v>410</v>
      </c>
    </row>
    <row r="87">
      <c r="A87" s="1">
        <v>86.0</v>
      </c>
      <c r="B87" s="1" t="s">
        <v>411</v>
      </c>
    </row>
    <row r="88">
      <c r="A88" s="1">
        <v>87.0</v>
      </c>
      <c r="B88" s="1" t="s">
        <v>412</v>
      </c>
    </row>
    <row r="89">
      <c r="A89" s="1">
        <v>88.0</v>
      </c>
      <c r="B89" s="1" t="s">
        <v>413</v>
      </c>
    </row>
    <row r="90">
      <c r="A90" s="1">
        <v>89.0</v>
      </c>
      <c r="B90" s="1" t="s">
        <v>414</v>
      </c>
    </row>
    <row r="91">
      <c r="A91" s="1">
        <v>90.0</v>
      </c>
      <c r="B91" s="1" t="s">
        <v>415</v>
      </c>
    </row>
    <row r="92">
      <c r="A92" s="1">
        <v>91.0</v>
      </c>
      <c r="B92" s="1" t="s">
        <v>416</v>
      </c>
    </row>
    <row r="93">
      <c r="A93" s="1">
        <v>92.0</v>
      </c>
      <c r="B93" s="1" t="s">
        <v>417</v>
      </c>
    </row>
    <row r="94">
      <c r="A94" s="1">
        <v>93.0</v>
      </c>
      <c r="B94" s="1" t="s">
        <v>418</v>
      </c>
    </row>
    <row r="95">
      <c r="A95" s="1">
        <v>94.0</v>
      </c>
      <c r="B95" s="1" t="s">
        <v>419</v>
      </c>
    </row>
    <row r="96">
      <c r="A96" s="1">
        <v>95.0</v>
      </c>
      <c r="B96" s="1" t="s">
        <v>420</v>
      </c>
    </row>
    <row r="97">
      <c r="A97" s="1">
        <v>96.0</v>
      </c>
      <c r="B97" s="1" t="s">
        <v>421</v>
      </c>
    </row>
    <row r="98">
      <c r="A98" s="1">
        <v>97.0</v>
      </c>
      <c r="B98" s="1" t="s">
        <v>422</v>
      </c>
    </row>
    <row r="99">
      <c r="A99" s="1">
        <v>98.0</v>
      </c>
      <c r="B99" s="1" t="s">
        <v>423</v>
      </c>
    </row>
    <row r="100">
      <c r="A100" s="1">
        <v>99.0</v>
      </c>
      <c r="B100" s="1" t="s">
        <v>424</v>
      </c>
    </row>
    <row r="101">
      <c r="A101" s="1">
        <v>100.0</v>
      </c>
      <c r="B101" s="1" t="s">
        <v>425</v>
      </c>
    </row>
    <row r="102">
      <c r="A102" s="1">
        <v>101.0</v>
      </c>
      <c r="B102" s="1" t="s">
        <v>426</v>
      </c>
    </row>
    <row r="103">
      <c r="A103" s="1">
        <v>102.0</v>
      </c>
      <c r="B103" s="1" t="s">
        <v>427</v>
      </c>
    </row>
    <row r="104">
      <c r="A104" s="1">
        <v>103.0</v>
      </c>
      <c r="B104" s="1" t="s">
        <v>428</v>
      </c>
    </row>
    <row r="105">
      <c r="A105" s="1">
        <v>104.0</v>
      </c>
      <c r="B105" s="1" t="s">
        <v>429</v>
      </c>
    </row>
    <row r="106">
      <c r="A106" s="1">
        <v>105.0</v>
      </c>
      <c r="B106" s="1" t="s">
        <v>430</v>
      </c>
    </row>
    <row r="107">
      <c r="A107" s="1">
        <v>106.0</v>
      </c>
      <c r="B107" s="1" t="s">
        <v>431</v>
      </c>
    </row>
    <row r="108">
      <c r="A108" s="1">
        <v>107.0</v>
      </c>
      <c r="B108" s="1" t="s">
        <v>432</v>
      </c>
    </row>
    <row r="109">
      <c r="A109" s="1">
        <v>108.0</v>
      </c>
      <c r="B109" s="1" t="s">
        <v>433</v>
      </c>
    </row>
    <row r="110">
      <c r="A110" s="1">
        <v>109.0</v>
      </c>
      <c r="B110" s="1" t="s">
        <v>434</v>
      </c>
    </row>
    <row r="111">
      <c r="A111" s="1">
        <v>110.0</v>
      </c>
      <c r="B111" s="1" t="s">
        <v>435</v>
      </c>
    </row>
    <row r="112">
      <c r="A112" s="1">
        <v>111.0</v>
      </c>
      <c r="B112" s="1" t="s">
        <v>436</v>
      </c>
    </row>
    <row r="113">
      <c r="A113" s="1">
        <v>112.0</v>
      </c>
      <c r="B113" s="1" t="s">
        <v>437</v>
      </c>
    </row>
    <row r="114">
      <c r="A114" s="1">
        <v>113.0</v>
      </c>
      <c r="B114" s="1" t="s">
        <v>438</v>
      </c>
    </row>
    <row r="115">
      <c r="A115" s="1">
        <v>114.0</v>
      </c>
      <c r="B115" s="1" t="s">
        <v>439</v>
      </c>
    </row>
    <row r="116">
      <c r="A116" s="1">
        <v>115.0</v>
      </c>
      <c r="B116" s="1" t="s">
        <v>440</v>
      </c>
    </row>
    <row r="117">
      <c r="A117" s="1">
        <v>116.0</v>
      </c>
      <c r="B117" s="1" t="s">
        <v>441</v>
      </c>
    </row>
    <row r="118">
      <c r="A118" s="1">
        <v>117.0</v>
      </c>
      <c r="B118" s="1" t="s">
        <v>442</v>
      </c>
    </row>
    <row r="119">
      <c r="A119" s="1">
        <v>118.0</v>
      </c>
      <c r="B119" s="1" t="s">
        <v>443</v>
      </c>
    </row>
    <row r="120">
      <c r="A120" s="1">
        <v>119.0</v>
      </c>
      <c r="B120" s="1" t="s">
        <v>444</v>
      </c>
    </row>
    <row r="121">
      <c r="A121" s="1">
        <v>120.0</v>
      </c>
      <c r="B121" s="1" t="s">
        <v>445</v>
      </c>
    </row>
    <row r="122">
      <c r="A122" s="1">
        <v>121.0</v>
      </c>
      <c r="B122" s="1" t="s">
        <v>446</v>
      </c>
    </row>
    <row r="123">
      <c r="A123" s="1">
        <v>122.0</v>
      </c>
      <c r="B123" s="1" t="s">
        <v>447</v>
      </c>
    </row>
    <row r="124">
      <c r="A124" s="1">
        <v>123.0</v>
      </c>
      <c r="B124" s="1" t="s">
        <v>448</v>
      </c>
    </row>
    <row r="125">
      <c r="A125" s="1">
        <v>124.0</v>
      </c>
      <c r="B125" s="1" t="s">
        <v>449</v>
      </c>
    </row>
    <row r="126">
      <c r="A126" s="1">
        <v>125.0</v>
      </c>
      <c r="B126" s="1" t="s">
        <v>450</v>
      </c>
    </row>
    <row r="127">
      <c r="A127" s="1">
        <v>126.0</v>
      </c>
      <c r="B127" s="1" t="s">
        <v>451</v>
      </c>
    </row>
    <row r="128">
      <c r="A128" s="1">
        <v>127.0</v>
      </c>
      <c r="B128" s="1" t="s">
        <v>452</v>
      </c>
    </row>
    <row r="129">
      <c r="A129" s="1">
        <v>128.0</v>
      </c>
      <c r="B129" s="1" t="s">
        <v>453</v>
      </c>
    </row>
    <row r="130">
      <c r="A130" s="1">
        <v>129.0</v>
      </c>
      <c r="B130" s="1" t="s">
        <v>454</v>
      </c>
    </row>
    <row r="131">
      <c r="A131" s="1">
        <v>130.0</v>
      </c>
      <c r="B131" s="1" t="s">
        <v>455</v>
      </c>
    </row>
    <row r="132">
      <c r="A132" s="1">
        <v>131.0</v>
      </c>
      <c r="B132" s="1" t="s">
        <v>456</v>
      </c>
    </row>
    <row r="133">
      <c r="A133" s="1">
        <v>132.0</v>
      </c>
      <c r="B133" s="1" t="s">
        <v>457</v>
      </c>
    </row>
    <row r="134">
      <c r="A134" s="1">
        <v>133.0</v>
      </c>
      <c r="B134" s="1" t="s">
        <v>458</v>
      </c>
    </row>
    <row r="135">
      <c r="A135" s="1">
        <v>134.0</v>
      </c>
      <c r="B135" s="1" t="s">
        <v>459</v>
      </c>
    </row>
    <row r="136">
      <c r="A136" s="1">
        <v>135.0</v>
      </c>
      <c r="B136" s="1" t="s">
        <v>460</v>
      </c>
    </row>
    <row r="137">
      <c r="A137" s="1">
        <v>136.0</v>
      </c>
      <c r="B137" s="1" t="s">
        <v>461</v>
      </c>
    </row>
    <row r="138">
      <c r="A138" s="1">
        <v>137.0</v>
      </c>
      <c r="B138" s="1" t="s">
        <v>462</v>
      </c>
    </row>
    <row r="139">
      <c r="A139" s="1">
        <v>138.0</v>
      </c>
      <c r="B139" s="1" t="s">
        <v>463</v>
      </c>
    </row>
    <row r="140">
      <c r="A140" s="1">
        <v>139.0</v>
      </c>
      <c r="B140" s="1" t="s">
        <v>464</v>
      </c>
    </row>
    <row r="141">
      <c r="A141" s="1">
        <v>140.0</v>
      </c>
      <c r="B141" s="1" t="s">
        <v>465</v>
      </c>
    </row>
    <row r="142">
      <c r="A142" s="1">
        <v>141.0</v>
      </c>
      <c r="B142" s="1" t="s">
        <v>466</v>
      </c>
    </row>
    <row r="143">
      <c r="A143" s="1">
        <v>142.0</v>
      </c>
      <c r="B143" s="1" t="s">
        <v>467</v>
      </c>
    </row>
    <row r="144">
      <c r="A144" s="1">
        <v>143.0</v>
      </c>
      <c r="B144" s="1" t="s">
        <v>468</v>
      </c>
    </row>
    <row r="145">
      <c r="A145" s="1">
        <v>144.0</v>
      </c>
      <c r="B145" s="1" t="s">
        <v>469</v>
      </c>
    </row>
    <row r="146">
      <c r="A146" s="1">
        <v>145.0</v>
      </c>
      <c r="B146" s="1" t="s">
        <v>470</v>
      </c>
    </row>
    <row r="147">
      <c r="A147" s="1">
        <v>146.0</v>
      </c>
      <c r="B147" s="1" t="s">
        <v>471</v>
      </c>
    </row>
    <row r="148">
      <c r="A148" s="1">
        <v>147.0</v>
      </c>
      <c r="B148" s="1" t="s">
        <v>472</v>
      </c>
    </row>
    <row r="149">
      <c r="A149" s="1">
        <v>148.0</v>
      </c>
      <c r="B149" s="1" t="s">
        <v>473</v>
      </c>
    </row>
    <row r="150">
      <c r="A150" s="1">
        <v>149.0</v>
      </c>
      <c r="B150" s="1" t="s">
        <v>474</v>
      </c>
    </row>
    <row r="151">
      <c r="A151" s="1">
        <v>150.0</v>
      </c>
      <c r="B151" s="1" t="s">
        <v>475</v>
      </c>
    </row>
    <row r="152">
      <c r="A152" s="1">
        <v>151.0</v>
      </c>
      <c r="B152" s="1" t="s">
        <v>476</v>
      </c>
    </row>
    <row r="153">
      <c r="A153" s="1">
        <v>152.0</v>
      </c>
      <c r="B153" s="1" t="s">
        <v>477</v>
      </c>
    </row>
    <row r="154">
      <c r="A154" s="1">
        <v>153.0</v>
      </c>
      <c r="B154" s="1" t="s">
        <v>478</v>
      </c>
    </row>
    <row r="155">
      <c r="A155" s="1">
        <v>154.0</v>
      </c>
      <c r="B155" s="1" t="s">
        <v>479</v>
      </c>
    </row>
    <row r="156">
      <c r="A156" s="1">
        <v>155.0</v>
      </c>
      <c r="B156" s="1" t="s">
        <v>480</v>
      </c>
    </row>
    <row r="157">
      <c r="A157" s="1">
        <v>156.0</v>
      </c>
      <c r="B157" s="1" t="s">
        <v>481</v>
      </c>
    </row>
    <row r="158">
      <c r="A158" s="1">
        <v>157.0</v>
      </c>
      <c r="B158" s="1" t="s">
        <v>482</v>
      </c>
    </row>
    <row r="159">
      <c r="A159" s="1">
        <v>158.0</v>
      </c>
      <c r="B159" s="1" t="s">
        <v>483</v>
      </c>
    </row>
    <row r="160">
      <c r="A160" s="1">
        <v>159.0</v>
      </c>
      <c r="B160" s="1" t="s">
        <v>484</v>
      </c>
    </row>
    <row r="161">
      <c r="A161" s="1">
        <v>160.0</v>
      </c>
      <c r="B161" s="1" t="s">
        <v>485</v>
      </c>
    </row>
    <row r="162">
      <c r="A162" s="1">
        <v>161.0</v>
      </c>
      <c r="B162" s="1" t="s">
        <v>486</v>
      </c>
    </row>
    <row r="163">
      <c r="A163" s="1">
        <v>162.0</v>
      </c>
      <c r="B163" s="1" t="s">
        <v>487</v>
      </c>
    </row>
    <row r="164">
      <c r="A164" s="1">
        <v>163.0</v>
      </c>
      <c r="B164" s="1" t="s">
        <v>488</v>
      </c>
    </row>
    <row r="165">
      <c r="A165" s="1">
        <v>164.0</v>
      </c>
      <c r="B165" s="1" t="s">
        <v>489</v>
      </c>
    </row>
    <row r="166">
      <c r="A166" s="1">
        <v>165.0</v>
      </c>
      <c r="B166" s="1" t="s">
        <v>490</v>
      </c>
    </row>
    <row r="167">
      <c r="A167" s="1">
        <v>166.0</v>
      </c>
      <c r="B167" s="1" t="s">
        <v>491</v>
      </c>
    </row>
    <row r="168">
      <c r="A168" s="1">
        <v>167.0</v>
      </c>
      <c r="B168" s="1" t="s">
        <v>492</v>
      </c>
    </row>
    <row r="169">
      <c r="A169" s="1">
        <v>168.0</v>
      </c>
      <c r="B169" s="1" t="s">
        <v>493</v>
      </c>
    </row>
    <row r="170">
      <c r="A170" s="1">
        <v>169.0</v>
      </c>
      <c r="B170" s="1" t="s">
        <v>494</v>
      </c>
    </row>
    <row r="171">
      <c r="A171" s="1">
        <v>170.0</v>
      </c>
      <c r="B171" s="1" t="s">
        <v>495</v>
      </c>
    </row>
    <row r="172">
      <c r="A172" s="1">
        <v>171.0</v>
      </c>
      <c r="B172" s="1" t="s">
        <v>496</v>
      </c>
    </row>
    <row r="173">
      <c r="A173" s="1">
        <v>172.0</v>
      </c>
      <c r="B173" s="1" t="s">
        <v>497</v>
      </c>
    </row>
    <row r="174">
      <c r="A174" s="1">
        <v>173.0</v>
      </c>
      <c r="B174" s="1" t="s">
        <v>498</v>
      </c>
    </row>
    <row r="175">
      <c r="A175" s="1">
        <v>174.0</v>
      </c>
      <c r="B175" s="1" t="s">
        <v>499</v>
      </c>
    </row>
    <row r="176">
      <c r="A176" s="1">
        <v>175.0</v>
      </c>
      <c r="B176" s="1" t="s">
        <v>500</v>
      </c>
    </row>
    <row r="177">
      <c r="A177" s="1">
        <v>176.0</v>
      </c>
      <c r="B177" s="1" t="s">
        <v>501</v>
      </c>
    </row>
    <row r="178">
      <c r="A178" s="1">
        <v>177.0</v>
      </c>
      <c r="B178" s="1" t="s">
        <v>502</v>
      </c>
    </row>
    <row r="179">
      <c r="A179" s="1">
        <v>178.0</v>
      </c>
      <c r="B179" s="1" t="s">
        <v>503</v>
      </c>
    </row>
    <row r="180">
      <c r="A180" s="1">
        <v>179.0</v>
      </c>
      <c r="B180" s="1" t="s">
        <v>504</v>
      </c>
    </row>
    <row r="181">
      <c r="A181" s="1">
        <v>180.0</v>
      </c>
      <c r="B181" s="1" t="s">
        <v>505</v>
      </c>
    </row>
    <row r="182">
      <c r="A182" s="1">
        <v>181.0</v>
      </c>
      <c r="B182" s="1" t="s">
        <v>506</v>
      </c>
    </row>
    <row r="183">
      <c r="A183" s="1">
        <v>182.0</v>
      </c>
      <c r="B183" s="1" t="s">
        <v>507</v>
      </c>
    </row>
    <row r="184">
      <c r="A184" s="1">
        <v>183.0</v>
      </c>
      <c r="B184" s="1" t="s">
        <v>508</v>
      </c>
    </row>
    <row r="185">
      <c r="A185" s="1">
        <v>184.0</v>
      </c>
      <c r="B185" s="1" t="s">
        <v>509</v>
      </c>
    </row>
    <row r="186">
      <c r="A186" s="1">
        <v>185.0</v>
      </c>
      <c r="B186" s="1" t="s">
        <v>510</v>
      </c>
    </row>
    <row r="187">
      <c r="A187" s="1">
        <v>186.0</v>
      </c>
      <c r="B187" s="1" t="s">
        <v>511</v>
      </c>
    </row>
    <row r="188">
      <c r="A188" s="1">
        <v>187.0</v>
      </c>
      <c r="B188" s="1" t="s">
        <v>512</v>
      </c>
    </row>
    <row r="189">
      <c r="A189" s="1">
        <v>188.0</v>
      </c>
      <c r="B189" s="1" t="s">
        <v>513</v>
      </c>
    </row>
    <row r="190">
      <c r="A190" s="1">
        <v>189.0</v>
      </c>
      <c r="B190" s="1" t="s">
        <v>514</v>
      </c>
    </row>
    <row r="191">
      <c r="A191" s="1">
        <v>190.0</v>
      </c>
      <c r="B191" s="1" t="s">
        <v>515</v>
      </c>
    </row>
    <row r="192">
      <c r="A192" s="1">
        <v>191.0</v>
      </c>
      <c r="B192" s="1" t="s">
        <v>516</v>
      </c>
    </row>
    <row r="193">
      <c r="A193" s="1">
        <v>192.0</v>
      </c>
      <c r="B193" s="1" t="s">
        <v>517</v>
      </c>
    </row>
    <row r="194">
      <c r="A194" s="1">
        <v>193.0</v>
      </c>
      <c r="B194" s="1" t="s">
        <v>518</v>
      </c>
    </row>
    <row r="195">
      <c r="A195" s="1">
        <v>194.0</v>
      </c>
      <c r="B195" s="1" t="s">
        <v>519</v>
      </c>
    </row>
    <row r="196">
      <c r="A196" s="1">
        <v>195.0</v>
      </c>
      <c r="B196" s="1" t="s">
        <v>520</v>
      </c>
    </row>
    <row r="197">
      <c r="A197" s="1">
        <v>196.0</v>
      </c>
      <c r="B197" s="1" t="s">
        <v>521</v>
      </c>
    </row>
    <row r="198">
      <c r="A198" s="1">
        <v>197.0</v>
      </c>
      <c r="B198" s="1" t="s">
        <v>522</v>
      </c>
    </row>
    <row r="199">
      <c r="A199" s="1">
        <v>198.0</v>
      </c>
      <c r="B199" s="1" t="s">
        <v>523</v>
      </c>
    </row>
    <row r="200">
      <c r="A200" s="1">
        <v>199.0</v>
      </c>
      <c r="B200" s="1" t="s">
        <v>524</v>
      </c>
    </row>
    <row r="201">
      <c r="A201" s="1">
        <v>200.0</v>
      </c>
      <c r="B201" s="1" t="s">
        <v>525</v>
      </c>
    </row>
    <row r="202">
      <c r="A202" s="1">
        <v>201.0</v>
      </c>
      <c r="B202" s="1" t="s">
        <v>526</v>
      </c>
    </row>
    <row r="203">
      <c r="A203" s="1">
        <v>202.0</v>
      </c>
      <c r="B203" s="1" t="s">
        <v>527</v>
      </c>
    </row>
    <row r="204">
      <c r="A204" s="1">
        <v>203.0</v>
      </c>
      <c r="B204" s="1" t="s">
        <v>528</v>
      </c>
    </row>
    <row r="205">
      <c r="A205" s="1">
        <v>204.0</v>
      </c>
      <c r="B205" s="1" t="s">
        <v>529</v>
      </c>
    </row>
    <row r="206">
      <c r="A206" s="1">
        <v>205.0</v>
      </c>
      <c r="B206" s="1" t="s">
        <v>530</v>
      </c>
    </row>
    <row r="207">
      <c r="A207" s="1">
        <v>206.0</v>
      </c>
      <c r="B207" s="1" t="s">
        <v>531</v>
      </c>
    </row>
    <row r="208">
      <c r="A208" s="1">
        <v>207.0</v>
      </c>
      <c r="B208" s="1" t="s">
        <v>532</v>
      </c>
    </row>
    <row r="209">
      <c r="A209" s="1">
        <v>208.0</v>
      </c>
      <c r="B209" s="1" t="s">
        <v>533</v>
      </c>
    </row>
    <row r="210">
      <c r="A210" s="1">
        <v>209.0</v>
      </c>
      <c r="B210" s="1" t="s">
        <v>534</v>
      </c>
    </row>
    <row r="211">
      <c r="A211" s="1">
        <v>210.0</v>
      </c>
      <c r="B211" s="1" t="s">
        <v>535</v>
      </c>
    </row>
    <row r="212">
      <c r="A212" s="1">
        <v>211.0</v>
      </c>
      <c r="B212" s="1" t="s">
        <v>536</v>
      </c>
    </row>
    <row r="213">
      <c r="A213" s="1">
        <v>212.0</v>
      </c>
      <c r="B213" s="1" t="s">
        <v>537</v>
      </c>
    </row>
    <row r="214">
      <c r="A214" s="1">
        <v>213.0</v>
      </c>
      <c r="B214" s="1" t="s">
        <v>538</v>
      </c>
    </row>
    <row r="215">
      <c r="A215" s="1">
        <v>214.0</v>
      </c>
      <c r="B215" s="1" t="s">
        <v>539</v>
      </c>
    </row>
    <row r="216">
      <c r="A216" s="1">
        <v>215.0</v>
      </c>
      <c r="B216" s="1" t="s">
        <v>540</v>
      </c>
    </row>
    <row r="217">
      <c r="A217" s="1">
        <v>216.0</v>
      </c>
      <c r="B217" s="1" t="s">
        <v>541</v>
      </c>
    </row>
    <row r="218">
      <c r="A218" s="1">
        <v>217.0</v>
      </c>
      <c r="B218" s="1" t="s">
        <v>542</v>
      </c>
    </row>
    <row r="219">
      <c r="A219" s="1">
        <v>218.0</v>
      </c>
      <c r="B219" s="1" t="s">
        <v>543</v>
      </c>
    </row>
    <row r="220">
      <c r="A220" s="1">
        <v>219.0</v>
      </c>
      <c r="B220" s="1" t="s">
        <v>544</v>
      </c>
    </row>
    <row r="221">
      <c r="A221" s="1">
        <v>220.0</v>
      </c>
      <c r="B221" s="1" t="s">
        <v>545</v>
      </c>
    </row>
    <row r="222">
      <c r="A222" s="1">
        <v>221.0</v>
      </c>
      <c r="B222" s="1" t="s">
        <v>546</v>
      </c>
    </row>
    <row r="223">
      <c r="A223" s="1">
        <v>222.0</v>
      </c>
      <c r="B223" s="1" t="s">
        <v>547</v>
      </c>
    </row>
    <row r="224">
      <c r="A224" s="1">
        <v>223.0</v>
      </c>
      <c r="B224" s="1" t="s">
        <v>548</v>
      </c>
    </row>
    <row r="225">
      <c r="A225" s="1">
        <v>224.0</v>
      </c>
      <c r="B225" s="1" t="s">
        <v>549</v>
      </c>
    </row>
    <row r="226">
      <c r="A226" s="1">
        <v>225.0</v>
      </c>
      <c r="B226" s="1" t="s">
        <v>550</v>
      </c>
    </row>
    <row r="227">
      <c r="A227" s="1">
        <v>226.0</v>
      </c>
      <c r="B227" s="1" t="s">
        <v>551</v>
      </c>
    </row>
    <row r="228">
      <c r="A228" s="1">
        <v>227.0</v>
      </c>
      <c r="B228" s="1" t="s">
        <v>552</v>
      </c>
    </row>
    <row r="229">
      <c r="A229" s="1">
        <v>228.0</v>
      </c>
      <c r="B229" s="1" t="s">
        <v>553</v>
      </c>
    </row>
    <row r="230">
      <c r="A230" s="1">
        <v>229.0</v>
      </c>
      <c r="B230" s="1" t="s">
        <v>554</v>
      </c>
    </row>
    <row r="231">
      <c r="A231" s="1">
        <v>230.0</v>
      </c>
      <c r="B231" s="1" t="s">
        <v>555</v>
      </c>
    </row>
    <row r="232">
      <c r="A232" s="1">
        <v>231.0</v>
      </c>
      <c r="B232" s="1" t="s">
        <v>556</v>
      </c>
    </row>
    <row r="233">
      <c r="A233" s="1">
        <v>232.0</v>
      </c>
      <c r="B233" s="1" t="s">
        <v>557</v>
      </c>
    </row>
    <row r="234">
      <c r="A234" s="1">
        <v>233.0</v>
      </c>
      <c r="B234" s="1" t="s">
        <v>558</v>
      </c>
    </row>
    <row r="235">
      <c r="A235" s="1">
        <v>234.0</v>
      </c>
      <c r="B235" s="1" t="s">
        <v>559</v>
      </c>
    </row>
    <row r="236">
      <c r="A236" s="1">
        <v>235.0</v>
      </c>
      <c r="B236" s="1" t="s">
        <v>560</v>
      </c>
    </row>
    <row r="237">
      <c r="A237" s="1">
        <v>236.0</v>
      </c>
      <c r="B237" s="1" t="s">
        <v>561</v>
      </c>
    </row>
    <row r="238">
      <c r="A238" s="1">
        <v>237.0</v>
      </c>
      <c r="B238" s="1" t="s">
        <v>562</v>
      </c>
    </row>
    <row r="239">
      <c r="A239" s="1">
        <v>238.0</v>
      </c>
      <c r="B239" s="1" t="s">
        <v>563</v>
      </c>
    </row>
    <row r="240">
      <c r="A240" s="1">
        <v>239.0</v>
      </c>
      <c r="B240" s="1" t="s">
        <v>564</v>
      </c>
    </row>
    <row r="241">
      <c r="A241" s="1">
        <v>240.0</v>
      </c>
      <c r="B241" s="1" t="s">
        <v>565</v>
      </c>
    </row>
    <row r="242">
      <c r="A242" s="1">
        <v>241.0</v>
      </c>
      <c r="B242" s="1" t="s">
        <v>566</v>
      </c>
    </row>
    <row r="243">
      <c r="A243" s="1">
        <v>242.0</v>
      </c>
      <c r="B243" s="1" t="s">
        <v>567</v>
      </c>
    </row>
    <row r="244">
      <c r="A244" s="1">
        <v>243.0</v>
      </c>
      <c r="B244" s="1" t="s">
        <v>568</v>
      </c>
    </row>
    <row r="245">
      <c r="A245" s="1">
        <v>244.0</v>
      </c>
      <c r="B245" s="1" t="s">
        <v>569</v>
      </c>
    </row>
    <row r="246">
      <c r="A246" s="1">
        <v>245.0</v>
      </c>
      <c r="B246" s="1" t="s">
        <v>570</v>
      </c>
    </row>
    <row r="247">
      <c r="A247" s="1">
        <v>246.0</v>
      </c>
      <c r="B247" s="1" t="s">
        <v>571</v>
      </c>
    </row>
    <row r="248">
      <c r="A248" s="1">
        <v>247.0</v>
      </c>
      <c r="B248" s="1" t="s">
        <v>572</v>
      </c>
    </row>
    <row r="249">
      <c r="A249" s="1">
        <v>248.0</v>
      </c>
      <c r="B249" s="1" t="s">
        <v>573</v>
      </c>
    </row>
    <row r="250">
      <c r="A250" s="1">
        <v>249.0</v>
      </c>
      <c r="B250" s="1" t="s">
        <v>574</v>
      </c>
    </row>
    <row r="251">
      <c r="A251" s="1">
        <v>250.0</v>
      </c>
      <c r="B251" s="1" t="s">
        <v>575</v>
      </c>
    </row>
    <row r="252">
      <c r="A252" s="1">
        <v>251.0</v>
      </c>
      <c r="B252" s="1" t="s">
        <v>18</v>
      </c>
    </row>
    <row r="253">
      <c r="A253" s="1">
        <v>252.0</v>
      </c>
      <c r="B253" s="1" t="s">
        <v>576</v>
      </c>
    </row>
    <row r="254">
      <c r="A254" s="1">
        <v>253.0</v>
      </c>
      <c r="B254" s="1" t="s">
        <v>577</v>
      </c>
    </row>
    <row r="255">
      <c r="A255" s="1">
        <v>254.0</v>
      </c>
      <c r="B255" s="1" t="s">
        <v>578</v>
      </c>
    </row>
    <row r="256">
      <c r="A256" s="1">
        <v>255.0</v>
      </c>
      <c r="B256" s="1" t="s">
        <v>579</v>
      </c>
    </row>
    <row r="257">
      <c r="A257" s="1">
        <v>256.0</v>
      </c>
      <c r="B257" s="1" t="s">
        <v>580</v>
      </c>
    </row>
    <row r="258">
      <c r="A258" s="1">
        <v>257.0</v>
      </c>
      <c r="B258" s="1" t="s">
        <v>581</v>
      </c>
    </row>
    <row r="259">
      <c r="A259" s="1">
        <v>258.0</v>
      </c>
      <c r="B259" s="1" t="s">
        <v>582</v>
      </c>
    </row>
    <row r="260">
      <c r="A260" s="1">
        <v>259.0</v>
      </c>
      <c r="B260" s="1" t="s">
        <v>583</v>
      </c>
    </row>
    <row r="261">
      <c r="A261" s="1">
        <v>260.0</v>
      </c>
      <c r="B261" s="1" t="s">
        <v>584</v>
      </c>
    </row>
    <row r="262">
      <c r="A262" s="1">
        <v>261.0</v>
      </c>
      <c r="B262" s="1" t="s">
        <v>585</v>
      </c>
    </row>
    <row r="263">
      <c r="A263" s="1">
        <v>262.0</v>
      </c>
      <c r="B263" s="1" t="s">
        <v>586</v>
      </c>
    </row>
    <row r="264">
      <c r="A264" s="1">
        <v>263.0</v>
      </c>
      <c r="B264" s="1" t="s">
        <v>587</v>
      </c>
    </row>
    <row r="265">
      <c r="A265" s="1">
        <v>264.0</v>
      </c>
      <c r="B265" s="1" t="s">
        <v>588</v>
      </c>
    </row>
    <row r="266">
      <c r="A266" s="1">
        <v>265.0</v>
      </c>
      <c r="B266" s="1" t="s">
        <v>589</v>
      </c>
    </row>
    <row r="267">
      <c r="A267" s="1">
        <v>266.0</v>
      </c>
      <c r="B267" s="1" t="s">
        <v>590</v>
      </c>
    </row>
    <row r="268">
      <c r="A268" s="1">
        <v>267.0</v>
      </c>
      <c r="B268" s="1" t="s">
        <v>591</v>
      </c>
    </row>
    <row r="269">
      <c r="A269" s="1">
        <v>268.0</v>
      </c>
      <c r="B269" s="1" t="s">
        <v>592</v>
      </c>
    </row>
    <row r="270">
      <c r="A270" s="1">
        <v>269.0</v>
      </c>
      <c r="B270" s="1" t="s">
        <v>593</v>
      </c>
    </row>
    <row r="271">
      <c r="A271" s="1">
        <v>270.0</v>
      </c>
      <c r="B271" s="1" t="s">
        <v>594</v>
      </c>
    </row>
    <row r="272">
      <c r="A272" s="1">
        <v>271.0</v>
      </c>
      <c r="B272" s="1" t="s">
        <v>595</v>
      </c>
    </row>
    <row r="273">
      <c r="A273" s="1">
        <v>272.0</v>
      </c>
      <c r="B273" s="1" t="s">
        <v>596</v>
      </c>
    </row>
    <row r="274">
      <c r="A274" s="1">
        <v>273.0</v>
      </c>
      <c r="B274" s="1" t="s">
        <v>597</v>
      </c>
    </row>
    <row r="275">
      <c r="A275" s="1">
        <v>274.0</v>
      </c>
      <c r="B275" s="1" t="s">
        <v>598</v>
      </c>
    </row>
    <row r="276">
      <c r="A276" s="1">
        <v>275.0</v>
      </c>
      <c r="B276" s="1" t="s">
        <v>599</v>
      </c>
    </row>
    <row r="277">
      <c r="A277" s="1">
        <v>276.0</v>
      </c>
      <c r="B277" s="1" t="s">
        <v>600</v>
      </c>
    </row>
    <row r="278">
      <c r="A278" s="1">
        <v>277.0</v>
      </c>
      <c r="B278" s="1" t="s">
        <v>601</v>
      </c>
    </row>
    <row r="279">
      <c r="A279" s="1">
        <v>278.0</v>
      </c>
      <c r="B279" s="1" t="s">
        <v>602</v>
      </c>
    </row>
    <row r="280">
      <c r="A280" s="1">
        <v>279.0</v>
      </c>
      <c r="B280" s="1" t="s">
        <v>603</v>
      </c>
    </row>
    <row r="281">
      <c r="A281" s="1">
        <v>280.0</v>
      </c>
      <c r="B281" s="1" t="s">
        <v>604</v>
      </c>
    </row>
    <row r="282">
      <c r="A282" s="1">
        <v>281.0</v>
      </c>
      <c r="B282" s="1" t="s">
        <v>605</v>
      </c>
    </row>
    <row r="283">
      <c r="A283" s="1">
        <v>282.0</v>
      </c>
      <c r="B283" s="1" t="s">
        <v>606</v>
      </c>
    </row>
    <row r="284">
      <c r="A284" s="1">
        <v>283.0</v>
      </c>
      <c r="B284" s="1" t="s">
        <v>607</v>
      </c>
    </row>
    <row r="285">
      <c r="A285" s="1">
        <v>284.0</v>
      </c>
      <c r="B285" s="1" t="s">
        <v>608</v>
      </c>
    </row>
    <row r="286">
      <c r="A286" s="1">
        <v>285.0</v>
      </c>
      <c r="B286" s="1" t="s">
        <v>609</v>
      </c>
    </row>
    <row r="287">
      <c r="A287" s="1">
        <v>286.0</v>
      </c>
      <c r="B287" s="1" t="s">
        <v>610</v>
      </c>
    </row>
    <row r="288">
      <c r="A288" s="1">
        <v>287.0</v>
      </c>
      <c r="B288" s="1" t="s">
        <v>611</v>
      </c>
    </row>
    <row r="289">
      <c r="A289" s="1">
        <v>288.0</v>
      </c>
      <c r="B289" s="1" t="s">
        <v>612</v>
      </c>
    </row>
    <row r="290">
      <c r="A290" s="1">
        <v>289.0</v>
      </c>
      <c r="B290" s="1" t="s">
        <v>613</v>
      </c>
    </row>
    <row r="291">
      <c r="A291" s="1">
        <v>290.0</v>
      </c>
      <c r="B291" s="1" t="s">
        <v>614</v>
      </c>
    </row>
    <row r="292">
      <c r="A292" s="1">
        <v>291.0</v>
      </c>
      <c r="B292" s="1" t="s">
        <v>615</v>
      </c>
    </row>
    <row r="293">
      <c r="A293" s="1">
        <v>292.0</v>
      </c>
      <c r="B293" s="1" t="s">
        <v>616</v>
      </c>
    </row>
    <row r="294">
      <c r="A294" s="1">
        <v>293.0</v>
      </c>
      <c r="B294" s="1" t="s">
        <v>617</v>
      </c>
    </row>
    <row r="295">
      <c r="A295" s="1">
        <v>294.0</v>
      </c>
      <c r="B295" s="1" t="s">
        <v>618</v>
      </c>
    </row>
    <row r="296">
      <c r="A296" s="1">
        <v>295.0</v>
      </c>
      <c r="B296" s="1" t="s">
        <v>619</v>
      </c>
    </row>
    <row r="297">
      <c r="A297" s="1">
        <v>296.0</v>
      </c>
      <c r="B297" s="1" t="s">
        <v>620</v>
      </c>
    </row>
    <row r="298">
      <c r="A298" s="1">
        <v>297.0</v>
      </c>
      <c r="B298" s="1" t="s">
        <v>621</v>
      </c>
    </row>
    <row r="299">
      <c r="A299" s="1">
        <v>298.0</v>
      </c>
      <c r="B299" s="1" t="s">
        <v>622</v>
      </c>
    </row>
    <row r="300">
      <c r="A300" s="1">
        <v>299.0</v>
      </c>
      <c r="B300" s="1" t="s">
        <v>623</v>
      </c>
    </row>
    <row r="301">
      <c r="A301" s="1">
        <v>300.0</v>
      </c>
      <c r="B301" s="1" t="s">
        <v>624</v>
      </c>
    </row>
    <row r="302">
      <c r="A302" s="1">
        <v>301.0</v>
      </c>
      <c r="B302" s="1" t="s">
        <v>625</v>
      </c>
    </row>
    <row r="303">
      <c r="A303" s="1">
        <v>302.0</v>
      </c>
      <c r="B303" s="1" t="s">
        <v>626</v>
      </c>
    </row>
    <row r="304">
      <c r="A304" s="1">
        <v>303.0</v>
      </c>
      <c r="B304" s="1" t="s">
        <v>627</v>
      </c>
    </row>
    <row r="305">
      <c r="A305" s="1">
        <v>304.0</v>
      </c>
      <c r="B305" s="1" t="s">
        <v>628</v>
      </c>
    </row>
    <row r="306">
      <c r="A306" s="1">
        <v>305.0</v>
      </c>
      <c r="B306" s="1" t="s">
        <v>629</v>
      </c>
    </row>
    <row r="307">
      <c r="A307" s="1">
        <v>306.0</v>
      </c>
      <c r="B307" s="1" t="s">
        <v>630</v>
      </c>
    </row>
    <row r="308">
      <c r="A308" s="1">
        <v>307.0</v>
      </c>
      <c r="B308" s="1" t="s">
        <v>631</v>
      </c>
    </row>
    <row r="309">
      <c r="A309" s="1">
        <v>308.0</v>
      </c>
      <c r="B309" s="1" t="s">
        <v>632</v>
      </c>
    </row>
    <row r="310">
      <c r="A310" s="1">
        <v>309.0</v>
      </c>
      <c r="B310" s="1" t="s">
        <v>633</v>
      </c>
    </row>
    <row r="311">
      <c r="A311" s="1">
        <v>310.0</v>
      </c>
      <c r="B311" s="1" t="s">
        <v>634</v>
      </c>
    </row>
    <row r="312">
      <c r="A312" s="1">
        <v>311.0</v>
      </c>
      <c r="B312" s="1" t="s">
        <v>635</v>
      </c>
    </row>
    <row r="313">
      <c r="A313" s="1">
        <v>312.0</v>
      </c>
      <c r="B313" s="1" t="s">
        <v>636</v>
      </c>
    </row>
    <row r="314">
      <c r="A314" s="1">
        <v>313.0</v>
      </c>
      <c r="B314" s="1" t="s">
        <v>637</v>
      </c>
    </row>
    <row r="315">
      <c r="A315" s="1">
        <v>314.0</v>
      </c>
      <c r="B315" s="1" t="s">
        <v>638</v>
      </c>
    </row>
    <row r="316">
      <c r="A316" s="1">
        <v>315.0</v>
      </c>
      <c r="B316" s="1" t="s">
        <v>639</v>
      </c>
    </row>
    <row r="317">
      <c r="A317" s="1">
        <v>316.0</v>
      </c>
      <c r="B317" s="1" t="s">
        <v>640</v>
      </c>
    </row>
    <row r="318">
      <c r="A318" s="1">
        <v>317.0</v>
      </c>
      <c r="B318" s="1" t="s">
        <v>641</v>
      </c>
    </row>
    <row r="319">
      <c r="A319" s="1">
        <v>318.0</v>
      </c>
      <c r="B319" s="1" t="s">
        <v>642</v>
      </c>
    </row>
    <row r="320">
      <c r="A320" s="1">
        <v>319.0</v>
      </c>
      <c r="B320" s="1" t="s">
        <v>643</v>
      </c>
    </row>
    <row r="321">
      <c r="A321" s="1">
        <v>320.0</v>
      </c>
      <c r="B321" s="1" t="s">
        <v>644</v>
      </c>
    </row>
    <row r="322">
      <c r="A322" s="1">
        <v>321.0</v>
      </c>
      <c r="B322" s="1" t="s">
        <v>645</v>
      </c>
    </row>
    <row r="323">
      <c r="A323" s="1">
        <v>322.0</v>
      </c>
      <c r="B323" s="1" t="s">
        <v>646</v>
      </c>
    </row>
    <row r="324">
      <c r="A324" s="1">
        <v>323.0</v>
      </c>
      <c r="B324" s="1" t="s">
        <v>647</v>
      </c>
    </row>
    <row r="325">
      <c r="A325" s="1">
        <v>324.0</v>
      </c>
      <c r="B325" s="1" t="s">
        <v>648</v>
      </c>
    </row>
    <row r="326">
      <c r="A326" s="1">
        <v>325.0</v>
      </c>
      <c r="B326" s="1" t="s">
        <v>649</v>
      </c>
    </row>
    <row r="327">
      <c r="A327" s="1">
        <v>326.0</v>
      </c>
      <c r="B327" s="1" t="s">
        <v>650</v>
      </c>
    </row>
    <row r="328">
      <c r="A328" s="1">
        <v>327.0</v>
      </c>
      <c r="B328" s="1" t="s">
        <v>651</v>
      </c>
    </row>
    <row r="329">
      <c r="A329" s="1">
        <v>328.0</v>
      </c>
      <c r="B329" s="1" t="s">
        <v>652</v>
      </c>
    </row>
    <row r="330">
      <c r="A330" s="1">
        <v>329.0</v>
      </c>
      <c r="B330" s="1" t="s">
        <v>653</v>
      </c>
    </row>
    <row r="331">
      <c r="A331" s="1">
        <v>330.0</v>
      </c>
      <c r="B331" s="1" t="s">
        <v>654</v>
      </c>
    </row>
    <row r="332">
      <c r="A332" s="1">
        <v>331.0</v>
      </c>
      <c r="B332" s="1" t="s">
        <v>655</v>
      </c>
    </row>
    <row r="333">
      <c r="A333" s="1">
        <v>332.0</v>
      </c>
      <c r="B333" s="1" t="s">
        <v>656</v>
      </c>
    </row>
    <row r="334">
      <c r="A334" s="1">
        <v>333.0</v>
      </c>
      <c r="B334" s="1" t="s">
        <v>657</v>
      </c>
    </row>
    <row r="335">
      <c r="A335" s="1">
        <v>334.0</v>
      </c>
      <c r="B335" s="1" t="s">
        <v>658</v>
      </c>
    </row>
    <row r="336">
      <c r="A336" s="1">
        <v>335.0</v>
      </c>
      <c r="B336" s="1" t="s">
        <v>659</v>
      </c>
    </row>
    <row r="337">
      <c r="A337" s="1">
        <v>336.0</v>
      </c>
      <c r="B337" s="1" t="s">
        <v>660</v>
      </c>
    </row>
    <row r="338">
      <c r="A338" s="1">
        <v>337.0</v>
      </c>
      <c r="B338" s="1" t="s">
        <v>661</v>
      </c>
    </row>
    <row r="339">
      <c r="A339" s="1">
        <v>338.0</v>
      </c>
      <c r="B339" s="1" t="s">
        <v>662</v>
      </c>
    </row>
    <row r="340">
      <c r="A340" s="1">
        <v>339.0</v>
      </c>
      <c r="B340" s="1" t="s">
        <v>663</v>
      </c>
    </row>
    <row r="341">
      <c r="A341" s="1">
        <v>340.0</v>
      </c>
      <c r="B341" s="1" t="s">
        <v>664</v>
      </c>
    </row>
    <row r="342">
      <c r="A342" s="1">
        <v>341.0</v>
      </c>
      <c r="B342" s="1" t="s">
        <v>665</v>
      </c>
    </row>
    <row r="343">
      <c r="A343" s="1">
        <v>342.0</v>
      </c>
      <c r="B343" s="1" t="s">
        <v>666</v>
      </c>
    </row>
    <row r="344">
      <c r="A344" s="1">
        <v>343.0</v>
      </c>
      <c r="B344" s="1" t="s">
        <v>667</v>
      </c>
    </row>
    <row r="345">
      <c r="A345" s="1">
        <v>344.0</v>
      </c>
      <c r="B345" s="1" t="s">
        <v>668</v>
      </c>
    </row>
    <row r="346">
      <c r="A346" s="1">
        <v>345.0</v>
      </c>
      <c r="B346" s="1" t="s">
        <v>669</v>
      </c>
    </row>
    <row r="347">
      <c r="A347" s="1">
        <v>346.0</v>
      </c>
      <c r="B347" s="1" t="s">
        <v>670</v>
      </c>
    </row>
    <row r="348">
      <c r="A348" s="1">
        <v>347.0</v>
      </c>
      <c r="B348" s="1" t="s">
        <v>671</v>
      </c>
    </row>
    <row r="349">
      <c r="A349" s="1">
        <v>348.0</v>
      </c>
      <c r="B349" s="1" t="s">
        <v>672</v>
      </c>
    </row>
    <row r="350">
      <c r="A350" s="1">
        <v>349.0</v>
      </c>
      <c r="B350" s="1" t="s">
        <v>673</v>
      </c>
    </row>
    <row r="351">
      <c r="A351" s="1">
        <v>350.0</v>
      </c>
      <c r="B351" s="1" t="s">
        <v>674</v>
      </c>
    </row>
    <row r="352">
      <c r="A352" s="1">
        <v>351.0</v>
      </c>
      <c r="B352" s="1" t="s">
        <v>675</v>
      </c>
    </row>
    <row r="353">
      <c r="A353" s="1">
        <v>352.0</v>
      </c>
      <c r="B353" s="1" t="s">
        <v>676</v>
      </c>
    </row>
    <row r="354">
      <c r="A354" s="1">
        <v>353.0</v>
      </c>
      <c r="B354" s="1" t="s">
        <v>677</v>
      </c>
    </row>
    <row r="355">
      <c r="A355" s="1">
        <v>354.0</v>
      </c>
      <c r="B355" s="1" t="s">
        <v>678</v>
      </c>
    </row>
    <row r="356">
      <c r="A356" s="1">
        <v>355.0</v>
      </c>
      <c r="B356" s="1" t="s">
        <v>679</v>
      </c>
    </row>
    <row r="357">
      <c r="A357" s="1">
        <v>356.0</v>
      </c>
      <c r="B357" s="1" t="s">
        <v>680</v>
      </c>
    </row>
    <row r="358">
      <c r="A358" s="1">
        <v>357.0</v>
      </c>
      <c r="B358" s="1" t="s">
        <v>681</v>
      </c>
    </row>
    <row r="359">
      <c r="A359" s="1">
        <v>358.0</v>
      </c>
      <c r="B359" s="1" t="s">
        <v>682</v>
      </c>
    </row>
    <row r="360">
      <c r="A360" s="1">
        <v>359.0</v>
      </c>
      <c r="B360" s="1" t="s">
        <v>683</v>
      </c>
    </row>
    <row r="361">
      <c r="A361" s="1">
        <v>360.0</v>
      </c>
      <c r="B361" s="1" t="s">
        <v>684</v>
      </c>
    </row>
    <row r="362">
      <c r="A362" s="1">
        <v>361.0</v>
      </c>
      <c r="B362" s="1" t="s">
        <v>685</v>
      </c>
    </row>
    <row r="363">
      <c r="A363" s="1">
        <v>362.0</v>
      </c>
      <c r="B363" s="1" t="s">
        <v>686</v>
      </c>
    </row>
    <row r="364">
      <c r="A364" s="1">
        <v>363.0</v>
      </c>
      <c r="B364" s="1" t="s">
        <v>687</v>
      </c>
    </row>
    <row r="365">
      <c r="A365" s="1">
        <v>364.0</v>
      </c>
      <c r="B365" s="1" t="s">
        <v>688</v>
      </c>
    </row>
    <row r="366">
      <c r="A366" s="1">
        <v>365.0</v>
      </c>
      <c r="B366" s="1" t="s">
        <v>689</v>
      </c>
    </row>
    <row r="367">
      <c r="A367" s="1">
        <v>366.0</v>
      </c>
      <c r="B367" s="1" t="s">
        <v>690</v>
      </c>
    </row>
    <row r="368">
      <c r="A368" s="1">
        <v>367.0</v>
      </c>
      <c r="B368" s="1" t="s">
        <v>691</v>
      </c>
    </row>
    <row r="369">
      <c r="A369" s="1">
        <v>368.0</v>
      </c>
      <c r="B369" s="1" t="s">
        <v>692</v>
      </c>
    </row>
    <row r="370">
      <c r="A370" s="1">
        <v>369.0</v>
      </c>
      <c r="B370" s="1" t="s">
        <v>693</v>
      </c>
    </row>
    <row r="371">
      <c r="A371" s="1">
        <v>370.0</v>
      </c>
      <c r="B371" s="1" t="s">
        <v>694</v>
      </c>
    </row>
    <row r="372">
      <c r="A372" s="1">
        <v>371.0</v>
      </c>
      <c r="B372" s="1" t="s">
        <v>695</v>
      </c>
    </row>
    <row r="373">
      <c r="A373" s="1">
        <v>372.0</v>
      </c>
      <c r="B373" s="1" t="s">
        <v>696</v>
      </c>
    </row>
    <row r="374">
      <c r="A374" s="1">
        <v>373.0</v>
      </c>
      <c r="B374" s="1" t="s">
        <v>697</v>
      </c>
    </row>
    <row r="375">
      <c r="A375" s="1">
        <v>374.0</v>
      </c>
      <c r="B375" s="1" t="s">
        <v>698</v>
      </c>
    </row>
    <row r="376">
      <c r="A376" s="1">
        <v>375.0</v>
      </c>
      <c r="B376" s="1" t="s">
        <v>699</v>
      </c>
    </row>
    <row r="377">
      <c r="A377" s="1">
        <v>376.0</v>
      </c>
      <c r="B377" s="1" t="s">
        <v>700</v>
      </c>
    </row>
    <row r="378">
      <c r="A378" s="1">
        <v>377.0</v>
      </c>
      <c r="B378" s="1" t="s">
        <v>701</v>
      </c>
    </row>
    <row r="379">
      <c r="A379" s="1">
        <v>378.0</v>
      </c>
      <c r="B379" s="1" t="s">
        <v>702</v>
      </c>
    </row>
    <row r="380">
      <c r="A380" s="1">
        <v>379.0</v>
      </c>
      <c r="B380" s="1" t="s">
        <v>703</v>
      </c>
    </row>
    <row r="381">
      <c r="A381" s="1">
        <v>380.0</v>
      </c>
      <c r="B381" s="1" t="s">
        <v>704</v>
      </c>
    </row>
    <row r="382">
      <c r="A382" s="1">
        <v>381.0</v>
      </c>
      <c r="B382" s="1" t="s">
        <v>705</v>
      </c>
    </row>
    <row r="383">
      <c r="A383" s="1">
        <v>382.0</v>
      </c>
      <c r="B383" s="1" t="s">
        <v>706</v>
      </c>
    </row>
    <row r="384">
      <c r="A384" s="1">
        <v>383.0</v>
      </c>
      <c r="B384" s="1" t="s">
        <v>707</v>
      </c>
    </row>
    <row r="385">
      <c r="A385" s="1">
        <v>384.0</v>
      </c>
      <c r="B385" s="1" t="s">
        <v>708</v>
      </c>
    </row>
    <row r="386">
      <c r="A386" s="1">
        <v>385.0</v>
      </c>
      <c r="B386" s="1" t="s">
        <v>709</v>
      </c>
    </row>
    <row r="387">
      <c r="A387" s="1">
        <v>386.0</v>
      </c>
      <c r="B387" s="1" t="s">
        <v>710</v>
      </c>
    </row>
    <row r="388">
      <c r="A388" s="1">
        <v>387.0</v>
      </c>
      <c r="B388" s="1" t="s">
        <v>711</v>
      </c>
    </row>
    <row r="389">
      <c r="A389" s="1">
        <v>388.0</v>
      </c>
      <c r="B389" s="1" t="s">
        <v>712</v>
      </c>
    </row>
    <row r="390">
      <c r="A390" s="1">
        <v>389.0</v>
      </c>
      <c r="B390" s="1" t="s">
        <v>713</v>
      </c>
    </row>
    <row r="391">
      <c r="A391" s="1">
        <v>390.0</v>
      </c>
      <c r="B391" s="1" t="s">
        <v>714</v>
      </c>
    </row>
    <row r="392">
      <c r="A392" s="1">
        <v>391.0</v>
      </c>
      <c r="B392" s="1" t="s">
        <v>715</v>
      </c>
    </row>
    <row r="393">
      <c r="A393" s="1">
        <v>392.0</v>
      </c>
      <c r="B393" s="1" t="s">
        <v>716</v>
      </c>
    </row>
    <row r="394">
      <c r="A394" s="1">
        <v>393.0</v>
      </c>
      <c r="B394" s="1" t="s">
        <v>717</v>
      </c>
    </row>
    <row r="395">
      <c r="A395" s="1">
        <v>394.0</v>
      </c>
      <c r="B395" s="1" t="s">
        <v>718</v>
      </c>
    </row>
    <row r="396">
      <c r="A396" s="1">
        <v>395.0</v>
      </c>
      <c r="B396" s="1" t="s">
        <v>719</v>
      </c>
    </row>
    <row r="397">
      <c r="A397" s="1">
        <v>396.0</v>
      </c>
      <c r="B397" s="1" t="s">
        <v>720</v>
      </c>
    </row>
    <row r="398">
      <c r="A398" s="1">
        <v>397.0</v>
      </c>
      <c r="B398" s="1" t="s">
        <v>721</v>
      </c>
    </row>
    <row r="399">
      <c r="A399" s="1">
        <v>398.0</v>
      </c>
      <c r="B399" s="1" t="s">
        <v>722</v>
      </c>
    </row>
    <row r="400">
      <c r="A400" s="1">
        <v>399.0</v>
      </c>
      <c r="B400" s="1" t="s">
        <v>723</v>
      </c>
    </row>
    <row r="401">
      <c r="A401" s="1">
        <v>400.0</v>
      </c>
      <c r="B401" s="1" t="s">
        <v>724</v>
      </c>
    </row>
    <row r="402">
      <c r="A402" s="1">
        <v>401.0</v>
      </c>
      <c r="B402" s="1" t="s">
        <v>725</v>
      </c>
    </row>
    <row r="403">
      <c r="A403" s="1">
        <v>402.0</v>
      </c>
      <c r="B403" s="1" t="s">
        <v>726</v>
      </c>
    </row>
    <row r="404">
      <c r="A404" s="1">
        <v>403.0</v>
      </c>
      <c r="B404" s="1" t="s">
        <v>727</v>
      </c>
    </row>
    <row r="405">
      <c r="A405" s="1">
        <v>404.0</v>
      </c>
      <c r="B405" s="1" t="s">
        <v>728</v>
      </c>
    </row>
    <row r="406">
      <c r="A406" s="1">
        <v>405.0</v>
      </c>
      <c r="B406" s="1" t="s">
        <v>729</v>
      </c>
    </row>
    <row r="407">
      <c r="A407" s="1">
        <v>406.0</v>
      </c>
      <c r="B407" s="1" t="s">
        <v>730</v>
      </c>
    </row>
    <row r="408">
      <c r="A408" s="1">
        <v>407.0</v>
      </c>
      <c r="B408" s="1" t="s">
        <v>731</v>
      </c>
    </row>
    <row r="409">
      <c r="A409" s="1">
        <v>408.0</v>
      </c>
      <c r="B409" s="1" t="s">
        <v>732</v>
      </c>
    </row>
    <row r="410">
      <c r="A410" s="1">
        <v>409.0</v>
      </c>
      <c r="B410" s="1" t="s">
        <v>733</v>
      </c>
    </row>
    <row r="411">
      <c r="A411" s="1">
        <v>410.0</v>
      </c>
      <c r="B411" s="1" t="s">
        <v>734</v>
      </c>
    </row>
    <row r="412">
      <c r="A412" s="1">
        <v>411.0</v>
      </c>
      <c r="B412" s="1" t="s">
        <v>735</v>
      </c>
    </row>
    <row r="413">
      <c r="A413" s="1">
        <v>412.0</v>
      </c>
      <c r="B413" s="1" t="s">
        <v>736</v>
      </c>
    </row>
    <row r="414">
      <c r="A414" s="1">
        <v>413.0</v>
      </c>
      <c r="B414" s="1" t="s">
        <v>737</v>
      </c>
    </row>
    <row r="415">
      <c r="A415" s="1">
        <v>414.0</v>
      </c>
      <c r="B415" s="1" t="s">
        <v>738</v>
      </c>
    </row>
    <row r="416">
      <c r="A416" s="1">
        <v>415.0</v>
      </c>
      <c r="B416" s="1" t="s">
        <v>739</v>
      </c>
    </row>
    <row r="417">
      <c r="A417" s="1">
        <v>416.0</v>
      </c>
      <c r="B417" s="1" t="s">
        <v>740</v>
      </c>
    </row>
    <row r="418">
      <c r="A418" s="1">
        <v>417.0</v>
      </c>
      <c r="B418" s="1" t="s">
        <v>741</v>
      </c>
    </row>
    <row r="419">
      <c r="A419" s="1">
        <v>418.0</v>
      </c>
      <c r="B419" s="1" t="s">
        <v>742</v>
      </c>
    </row>
    <row r="420">
      <c r="A420" s="1">
        <v>419.0</v>
      </c>
      <c r="B420" s="1" t="s">
        <v>743</v>
      </c>
    </row>
    <row r="421">
      <c r="A421" s="1">
        <v>420.0</v>
      </c>
      <c r="B421" s="1" t="s">
        <v>744</v>
      </c>
    </row>
    <row r="422">
      <c r="A422" s="1">
        <v>421.0</v>
      </c>
      <c r="B422" s="1" t="s">
        <v>745</v>
      </c>
    </row>
    <row r="423">
      <c r="A423" s="1">
        <v>422.0</v>
      </c>
      <c r="B423" s="1" t="s">
        <v>746</v>
      </c>
    </row>
    <row r="424">
      <c r="A424" s="1">
        <v>423.0</v>
      </c>
      <c r="B424" s="1" t="s">
        <v>747</v>
      </c>
    </row>
    <row r="425">
      <c r="A425" s="1">
        <v>424.0</v>
      </c>
      <c r="B425" s="1" t="s">
        <v>748</v>
      </c>
    </row>
    <row r="426">
      <c r="A426" s="1">
        <v>425.0</v>
      </c>
      <c r="B426" s="1" t="s">
        <v>749</v>
      </c>
    </row>
    <row r="427">
      <c r="A427" s="1">
        <v>426.0</v>
      </c>
      <c r="B427" s="1" t="s">
        <v>750</v>
      </c>
    </row>
    <row r="428">
      <c r="A428" s="1">
        <v>427.0</v>
      </c>
      <c r="B428" s="1" t="s">
        <v>751</v>
      </c>
    </row>
    <row r="429">
      <c r="A429" s="1">
        <v>428.0</v>
      </c>
      <c r="B429" s="1" t="s">
        <v>752</v>
      </c>
    </row>
    <row r="430">
      <c r="A430" s="1">
        <v>429.0</v>
      </c>
      <c r="B430" s="1" t="s">
        <v>753</v>
      </c>
    </row>
    <row r="431">
      <c r="A431" s="1">
        <v>430.0</v>
      </c>
      <c r="B431" s="1" t="s">
        <v>754</v>
      </c>
    </row>
    <row r="432">
      <c r="A432" s="1">
        <v>431.0</v>
      </c>
      <c r="B432" s="1" t="s">
        <v>755</v>
      </c>
    </row>
    <row r="433">
      <c r="A433" s="1">
        <v>432.0</v>
      </c>
      <c r="B433" s="1" t="s">
        <v>756</v>
      </c>
    </row>
    <row r="434">
      <c r="A434" s="1">
        <v>433.0</v>
      </c>
      <c r="B434" s="1" t="s">
        <v>757</v>
      </c>
    </row>
    <row r="435">
      <c r="A435" s="1">
        <v>434.0</v>
      </c>
      <c r="B435" s="1" t="s">
        <v>758</v>
      </c>
    </row>
    <row r="436">
      <c r="A436" s="1">
        <v>435.0</v>
      </c>
      <c r="B436" s="1" t="s">
        <v>759</v>
      </c>
    </row>
    <row r="437">
      <c r="A437" s="1">
        <v>436.0</v>
      </c>
      <c r="B437" s="1" t="s">
        <v>760</v>
      </c>
    </row>
    <row r="438">
      <c r="A438" s="1">
        <v>437.0</v>
      </c>
      <c r="B438" s="1" t="s">
        <v>761</v>
      </c>
    </row>
    <row r="439">
      <c r="A439" s="1">
        <v>438.0</v>
      </c>
      <c r="B439" s="1" t="s">
        <v>762</v>
      </c>
    </row>
    <row r="440">
      <c r="A440" s="1">
        <v>439.0</v>
      </c>
      <c r="B440" s="1" t="s">
        <v>763</v>
      </c>
    </row>
    <row r="441">
      <c r="A441" s="1">
        <v>440.0</v>
      </c>
      <c r="B441" s="1" t="s">
        <v>764</v>
      </c>
    </row>
    <row r="442">
      <c r="A442" s="1">
        <v>441.0</v>
      </c>
      <c r="B442" s="1" t="s">
        <v>765</v>
      </c>
    </row>
    <row r="443">
      <c r="A443" s="1">
        <v>442.0</v>
      </c>
      <c r="B443" s="1" t="s">
        <v>766</v>
      </c>
    </row>
    <row r="444">
      <c r="A444" s="1">
        <v>443.0</v>
      </c>
      <c r="B444" s="1" t="s">
        <v>767</v>
      </c>
    </row>
    <row r="445">
      <c r="A445" s="1">
        <v>444.0</v>
      </c>
      <c r="B445" s="1" t="s">
        <v>768</v>
      </c>
    </row>
    <row r="446">
      <c r="A446" s="1">
        <v>445.0</v>
      </c>
      <c r="B446" s="1" t="s">
        <v>769</v>
      </c>
    </row>
    <row r="447">
      <c r="A447" s="1">
        <v>446.0</v>
      </c>
      <c r="B447" s="1" t="s">
        <v>770</v>
      </c>
    </row>
    <row r="448">
      <c r="A448" s="1">
        <v>447.0</v>
      </c>
      <c r="B448" s="1" t="s">
        <v>771</v>
      </c>
    </row>
    <row r="449">
      <c r="A449" s="1">
        <v>448.0</v>
      </c>
      <c r="B449" s="1" t="s">
        <v>772</v>
      </c>
    </row>
    <row r="450">
      <c r="A450" s="1">
        <v>449.0</v>
      </c>
      <c r="B450" s="1" t="s">
        <v>773</v>
      </c>
    </row>
    <row r="451">
      <c r="A451" s="1">
        <v>450.0</v>
      </c>
      <c r="B451" s="1" t="s">
        <v>774</v>
      </c>
    </row>
    <row r="452">
      <c r="A452" s="1">
        <v>451.0</v>
      </c>
      <c r="B452" s="1" t="s">
        <v>775</v>
      </c>
    </row>
    <row r="453">
      <c r="A453" s="1">
        <v>452.0</v>
      </c>
      <c r="B453" s="1" t="s">
        <v>776</v>
      </c>
    </row>
    <row r="454">
      <c r="A454" s="1">
        <v>453.0</v>
      </c>
      <c r="B454" s="1" t="s">
        <v>777</v>
      </c>
    </row>
    <row r="455">
      <c r="A455" s="1">
        <v>454.0</v>
      </c>
      <c r="B455" s="1" t="s">
        <v>778</v>
      </c>
    </row>
    <row r="456">
      <c r="A456" s="1">
        <v>455.0</v>
      </c>
      <c r="B456" s="1" t="s">
        <v>779</v>
      </c>
    </row>
    <row r="457">
      <c r="A457" s="1">
        <v>456.0</v>
      </c>
      <c r="B457" s="1" t="s">
        <v>780</v>
      </c>
    </row>
    <row r="458">
      <c r="A458" s="1">
        <v>457.0</v>
      </c>
      <c r="B458" s="1" t="s">
        <v>781</v>
      </c>
    </row>
    <row r="459">
      <c r="A459" s="1">
        <v>458.0</v>
      </c>
      <c r="B459" s="1" t="s">
        <v>782</v>
      </c>
    </row>
    <row r="460">
      <c r="A460" s="1">
        <v>459.0</v>
      </c>
      <c r="B460" s="1" t="s">
        <v>783</v>
      </c>
    </row>
    <row r="461">
      <c r="A461" s="1">
        <v>460.0</v>
      </c>
      <c r="B461" s="1" t="s">
        <v>784</v>
      </c>
    </row>
    <row r="462">
      <c r="A462" s="1">
        <v>461.0</v>
      </c>
      <c r="B462" s="1" t="s">
        <v>785</v>
      </c>
    </row>
    <row r="463">
      <c r="A463" s="1">
        <v>462.0</v>
      </c>
      <c r="B463" s="1" t="s">
        <v>786</v>
      </c>
    </row>
    <row r="464">
      <c r="A464" s="1">
        <v>463.0</v>
      </c>
      <c r="B464" s="1" t="s">
        <v>787</v>
      </c>
    </row>
    <row r="465">
      <c r="A465" s="1">
        <v>464.0</v>
      </c>
      <c r="B465" s="1" t="s">
        <v>788</v>
      </c>
    </row>
    <row r="466">
      <c r="A466" s="1">
        <v>465.0</v>
      </c>
      <c r="B466" s="1" t="s">
        <v>789</v>
      </c>
    </row>
    <row r="467">
      <c r="A467" s="1">
        <v>466.0</v>
      </c>
      <c r="B467" s="1" t="s">
        <v>790</v>
      </c>
    </row>
    <row r="468">
      <c r="A468" s="1">
        <v>467.0</v>
      </c>
      <c r="B468" s="1" t="s">
        <v>791</v>
      </c>
    </row>
    <row r="469">
      <c r="A469" s="1">
        <v>468.0</v>
      </c>
      <c r="B469" s="1" t="s">
        <v>792</v>
      </c>
    </row>
    <row r="470">
      <c r="A470" s="1">
        <v>469.0</v>
      </c>
      <c r="B470" s="1" t="s">
        <v>793</v>
      </c>
    </row>
    <row r="471">
      <c r="A471" s="1">
        <v>470.0</v>
      </c>
      <c r="B471" s="1" t="s">
        <v>794</v>
      </c>
    </row>
    <row r="472">
      <c r="A472" s="1">
        <v>471.0</v>
      </c>
      <c r="B472" s="1" t="s">
        <v>795</v>
      </c>
    </row>
    <row r="473">
      <c r="A473" s="1">
        <v>472.0</v>
      </c>
      <c r="B473" s="1" t="s">
        <v>796</v>
      </c>
    </row>
    <row r="474">
      <c r="A474" s="1">
        <v>473.0</v>
      </c>
      <c r="B474" s="1" t="s">
        <v>797</v>
      </c>
    </row>
    <row r="475">
      <c r="A475" s="1">
        <v>474.0</v>
      </c>
      <c r="B475" s="1" t="s">
        <v>798</v>
      </c>
    </row>
    <row r="476">
      <c r="A476" s="1">
        <v>475.0</v>
      </c>
      <c r="B476" s="1" t="s">
        <v>799</v>
      </c>
    </row>
    <row r="477">
      <c r="A477" s="1">
        <v>476.0</v>
      </c>
      <c r="B477" s="1" t="s">
        <v>800</v>
      </c>
    </row>
    <row r="478">
      <c r="A478" s="1">
        <v>477.0</v>
      </c>
      <c r="B478" s="1" t="s">
        <v>801</v>
      </c>
    </row>
    <row r="479">
      <c r="A479" s="1">
        <v>478.0</v>
      </c>
      <c r="B479" s="1" t="s">
        <v>802</v>
      </c>
    </row>
    <row r="480">
      <c r="A480" s="1">
        <v>479.0</v>
      </c>
      <c r="B480" s="1" t="s">
        <v>803</v>
      </c>
    </row>
    <row r="481">
      <c r="A481" s="1">
        <v>480.0</v>
      </c>
      <c r="B481" s="1" t="s">
        <v>804</v>
      </c>
    </row>
    <row r="482">
      <c r="A482" s="1">
        <v>481.0</v>
      </c>
      <c r="B482" s="1" t="s">
        <v>805</v>
      </c>
    </row>
    <row r="483">
      <c r="A483" s="1">
        <v>482.0</v>
      </c>
      <c r="B483" s="1" t="s">
        <v>806</v>
      </c>
    </row>
    <row r="484">
      <c r="A484" s="1">
        <v>483.0</v>
      </c>
      <c r="B484" s="1" t="s">
        <v>807</v>
      </c>
    </row>
    <row r="485">
      <c r="A485" s="1">
        <v>484.0</v>
      </c>
      <c r="B485" s="1" t="s">
        <v>808</v>
      </c>
    </row>
    <row r="486">
      <c r="A486" s="1">
        <v>485.0</v>
      </c>
      <c r="B486" s="1" t="s">
        <v>809</v>
      </c>
    </row>
    <row r="487">
      <c r="A487" s="1">
        <v>486.0</v>
      </c>
      <c r="B487" s="1" t="s">
        <v>810</v>
      </c>
    </row>
    <row r="488">
      <c r="A488" s="1">
        <v>487.0</v>
      </c>
      <c r="B488" s="1" t="s">
        <v>811</v>
      </c>
    </row>
    <row r="489">
      <c r="A489" s="1">
        <v>488.0</v>
      </c>
      <c r="B489" s="1" t="s">
        <v>812</v>
      </c>
    </row>
    <row r="490">
      <c r="A490" s="1">
        <v>489.0</v>
      </c>
      <c r="B490" s="1" t="s">
        <v>813</v>
      </c>
    </row>
    <row r="491">
      <c r="A491" s="1">
        <v>490.0</v>
      </c>
      <c r="B491" s="1" t="s">
        <v>814</v>
      </c>
    </row>
    <row r="492">
      <c r="A492" s="1">
        <v>491.0</v>
      </c>
      <c r="B492" s="1" t="s">
        <v>815</v>
      </c>
    </row>
    <row r="493">
      <c r="A493" s="1">
        <v>492.0</v>
      </c>
      <c r="B493" s="1" t="s">
        <v>816</v>
      </c>
    </row>
    <row r="494">
      <c r="A494" s="1">
        <v>493.0</v>
      </c>
      <c r="B494" s="1" t="s">
        <v>817</v>
      </c>
    </row>
    <row r="495">
      <c r="A495" s="1">
        <v>494.0</v>
      </c>
      <c r="B495" s="1" t="s">
        <v>818</v>
      </c>
    </row>
    <row r="496">
      <c r="A496" s="1">
        <v>495.0</v>
      </c>
      <c r="B496" s="1" t="s">
        <v>819</v>
      </c>
    </row>
    <row r="497">
      <c r="A497" s="1">
        <v>496.0</v>
      </c>
      <c r="B497" s="1" t="s">
        <v>820</v>
      </c>
    </row>
    <row r="498">
      <c r="A498" s="1">
        <v>497.0</v>
      </c>
      <c r="B498" s="1" t="s">
        <v>821</v>
      </c>
    </row>
    <row r="499">
      <c r="A499" s="1">
        <v>498.0</v>
      </c>
      <c r="B499" s="1" t="s">
        <v>822</v>
      </c>
    </row>
    <row r="500">
      <c r="A500" s="1">
        <v>499.0</v>
      </c>
      <c r="B500" s="1" t="s">
        <v>823</v>
      </c>
    </row>
    <row r="501">
      <c r="A501" s="1">
        <v>500.0</v>
      </c>
      <c r="B501" s="1" t="s">
        <v>824</v>
      </c>
    </row>
    <row r="502">
      <c r="A502" s="1">
        <v>501.0</v>
      </c>
      <c r="B502" s="1" t="s">
        <v>825</v>
      </c>
    </row>
    <row r="503">
      <c r="A503" s="1">
        <v>502.0</v>
      </c>
      <c r="B503" s="1" t="s">
        <v>826</v>
      </c>
    </row>
    <row r="504">
      <c r="A504" s="1">
        <v>503.0</v>
      </c>
      <c r="B504" s="1" t="s">
        <v>827</v>
      </c>
    </row>
    <row r="505">
      <c r="A505" s="1">
        <v>504.0</v>
      </c>
      <c r="B505" s="1" t="s">
        <v>828</v>
      </c>
    </row>
    <row r="506">
      <c r="A506" s="1">
        <v>505.0</v>
      </c>
      <c r="B506" s="1" t="s">
        <v>829</v>
      </c>
    </row>
    <row r="507">
      <c r="A507" s="1">
        <v>506.0</v>
      </c>
      <c r="B507" s="1" t="s">
        <v>830</v>
      </c>
    </row>
    <row r="508">
      <c r="A508" s="1">
        <v>507.0</v>
      </c>
      <c r="B508" s="1" t="s">
        <v>831</v>
      </c>
    </row>
    <row r="509">
      <c r="A509" s="1">
        <v>508.0</v>
      </c>
      <c r="B509" s="1" t="s">
        <v>832</v>
      </c>
    </row>
    <row r="510">
      <c r="A510" s="1">
        <v>509.0</v>
      </c>
      <c r="B510" s="1" t="s">
        <v>833</v>
      </c>
    </row>
    <row r="511">
      <c r="A511" s="1">
        <v>510.0</v>
      </c>
      <c r="B511" s="1" t="s">
        <v>834</v>
      </c>
    </row>
    <row r="512">
      <c r="A512" s="1">
        <v>511.0</v>
      </c>
      <c r="B512" s="1" t="s">
        <v>835</v>
      </c>
    </row>
    <row r="513">
      <c r="A513" s="1">
        <v>512.0</v>
      </c>
      <c r="B513" s="1" t="s">
        <v>836</v>
      </c>
    </row>
    <row r="514">
      <c r="A514" s="1">
        <v>513.0</v>
      </c>
      <c r="B514" s="1" t="s">
        <v>837</v>
      </c>
    </row>
    <row r="515">
      <c r="A515" s="1">
        <v>514.0</v>
      </c>
      <c r="B515" s="1" t="s">
        <v>838</v>
      </c>
    </row>
    <row r="516">
      <c r="A516" s="1">
        <v>515.0</v>
      </c>
      <c r="B516" s="1" t="s">
        <v>839</v>
      </c>
    </row>
    <row r="517">
      <c r="A517" s="1">
        <v>516.0</v>
      </c>
      <c r="B517" s="1" t="s">
        <v>840</v>
      </c>
    </row>
    <row r="518">
      <c r="A518" s="1">
        <v>517.0</v>
      </c>
      <c r="B518" s="1" t="s">
        <v>841</v>
      </c>
    </row>
    <row r="519">
      <c r="A519" s="1">
        <v>518.0</v>
      </c>
      <c r="B519" s="1" t="s">
        <v>842</v>
      </c>
    </row>
    <row r="520">
      <c r="A520" s="1">
        <v>519.0</v>
      </c>
      <c r="B520" s="1" t="s">
        <v>843</v>
      </c>
    </row>
    <row r="521">
      <c r="A521" s="1">
        <v>520.0</v>
      </c>
      <c r="B521" s="1" t="s">
        <v>844</v>
      </c>
    </row>
    <row r="522">
      <c r="A522" s="1">
        <v>521.0</v>
      </c>
      <c r="B522" s="1" t="s">
        <v>845</v>
      </c>
    </row>
    <row r="523">
      <c r="A523" s="1">
        <v>522.0</v>
      </c>
      <c r="B523" s="1" t="s">
        <v>846</v>
      </c>
    </row>
    <row r="524">
      <c r="A524" s="1">
        <v>523.0</v>
      </c>
      <c r="B524" s="1" t="s">
        <v>847</v>
      </c>
    </row>
    <row r="525">
      <c r="A525" s="1">
        <v>524.0</v>
      </c>
      <c r="B525" s="1" t="s">
        <v>848</v>
      </c>
    </row>
    <row r="526">
      <c r="A526" s="1">
        <v>525.0</v>
      </c>
      <c r="B526" s="1" t="s">
        <v>849</v>
      </c>
    </row>
    <row r="527">
      <c r="A527" s="1">
        <v>526.0</v>
      </c>
      <c r="B527" s="1" t="s">
        <v>850</v>
      </c>
    </row>
    <row r="528">
      <c r="A528" s="1">
        <v>527.0</v>
      </c>
      <c r="B528" s="1" t="s">
        <v>851</v>
      </c>
    </row>
    <row r="529">
      <c r="A529" s="1">
        <v>528.0</v>
      </c>
      <c r="B529" s="1" t="s">
        <v>852</v>
      </c>
    </row>
    <row r="530">
      <c r="A530" s="1">
        <v>529.0</v>
      </c>
      <c r="B530" s="1" t="s">
        <v>853</v>
      </c>
    </row>
    <row r="531">
      <c r="A531" s="1">
        <v>530.0</v>
      </c>
      <c r="B531" s="1" t="s">
        <v>854</v>
      </c>
    </row>
    <row r="532">
      <c r="A532" s="1">
        <v>531.0</v>
      </c>
      <c r="B532" s="1" t="s">
        <v>855</v>
      </c>
    </row>
    <row r="533">
      <c r="A533" s="1">
        <v>532.0</v>
      </c>
      <c r="B533" s="1" t="s">
        <v>856</v>
      </c>
    </row>
    <row r="534">
      <c r="A534" s="1">
        <v>533.0</v>
      </c>
      <c r="B534" s="1" t="s">
        <v>857</v>
      </c>
    </row>
    <row r="535">
      <c r="A535" s="1">
        <v>534.0</v>
      </c>
      <c r="B535" s="1" t="s">
        <v>858</v>
      </c>
    </row>
    <row r="536">
      <c r="A536" s="1">
        <v>535.0</v>
      </c>
      <c r="B536" s="1" t="s">
        <v>859</v>
      </c>
    </row>
    <row r="537">
      <c r="A537" s="1">
        <v>536.0</v>
      </c>
      <c r="B537" s="1" t="s">
        <v>860</v>
      </c>
    </row>
    <row r="538">
      <c r="A538" s="1">
        <v>537.0</v>
      </c>
      <c r="B538" s="1" t="s">
        <v>861</v>
      </c>
    </row>
    <row r="539">
      <c r="A539" s="1">
        <v>538.0</v>
      </c>
      <c r="B539" s="1" t="s">
        <v>862</v>
      </c>
    </row>
    <row r="540">
      <c r="A540" s="1">
        <v>539.0</v>
      </c>
      <c r="B540" s="1" t="s">
        <v>863</v>
      </c>
    </row>
    <row r="541">
      <c r="A541" s="1">
        <v>540.0</v>
      </c>
      <c r="B541" s="1" t="s">
        <v>864</v>
      </c>
    </row>
    <row r="542">
      <c r="A542" s="1">
        <v>541.0</v>
      </c>
      <c r="B542" s="1" t="s">
        <v>865</v>
      </c>
    </row>
    <row r="543">
      <c r="A543" s="1">
        <v>542.0</v>
      </c>
      <c r="B543" s="1" t="s">
        <v>866</v>
      </c>
    </row>
    <row r="544">
      <c r="A544" s="1">
        <v>543.0</v>
      </c>
      <c r="B544" s="1" t="s">
        <v>867</v>
      </c>
    </row>
    <row r="545">
      <c r="A545" s="1">
        <v>544.0</v>
      </c>
      <c r="B545" s="1" t="s">
        <v>868</v>
      </c>
    </row>
    <row r="546">
      <c r="A546" s="1">
        <v>545.0</v>
      </c>
      <c r="B546" s="1" t="s">
        <v>869</v>
      </c>
    </row>
    <row r="547">
      <c r="A547" s="1">
        <v>546.0</v>
      </c>
      <c r="B547" s="1" t="s">
        <v>870</v>
      </c>
    </row>
    <row r="548">
      <c r="A548" s="1">
        <v>547.0</v>
      </c>
      <c r="B548" s="1" t="s">
        <v>871</v>
      </c>
    </row>
    <row r="549">
      <c r="A549" s="1">
        <v>548.0</v>
      </c>
      <c r="B549" s="1" t="s">
        <v>872</v>
      </c>
    </row>
    <row r="550">
      <c r="A550" s="1">
        <v>549.0</v>
      </c>
      <c r="B550" s="1" t="s">
        <v>873</v>
      </c>
    </row>
    <row r="551">
      <c r="A551" s="1">
        <v>550.0</v>
      </c>
      <c r="B551" s="1" t="s">
        <v>874</v>
      </c>
    </row>
    <row r="552">
      <c r="A552" s="1">
        <v>551.0</v>
      </c>
      <c r="B552" s="1" t="s">
        <v>875</v>
      </c>
    </row>
    <row r="553">
      <c r="A553" s="1">
        <v>552.0</v>
      </c>
      <c r="B553" s="1" t="s">
        <v>876</v>
      </c>
    </row>
    <row r="554">
      <c r="A554" s="1">
        <v>553.0</v>
      </c>
      <c r="B554" s="1" t="s">
        <v>877</v>
      </c>
    </row>
    <row r="555">
      <c r="A555" s="1">
        <v>554.0</v>
      </c>
      <c r="B555" s="1" t="s">
        <v>878</v>
      </c>
    </row>
    <row r="556">
      <c r="A556" s="1">
        <v>555.0</v>
      </c>
      <c r="B556" s="1" t="s">
        <v>879</v>
      </c>
    </row>
    <row r="557">
      <c r="A557" s="1">
        <v>556.0</v>
      </c>
      <c r="B557" s="1" t="s">
        <v>880</v>
      </c>
    </row>
    <row r="558">
      <c r="A558" s="1">
        <v>557.0</v>
      </c>
      <c r="B558" s="1" t="s">
        <v>881</v>
      </c>
    </row>
    <row r="559">
      <c r="A559" s="1">
        <v>558.0</v>
      </c>
      <c r="B559" s="1" t="s">
        <v>882</v>
      </c>
    </row>
    <row r="560">
      <c r="A560" s="1">
        <v>559.0</v>
      </c>
      <c r="B560" s="1" t="s">
        <v>883</v>
      </c>
    </row>
    <row r="561">
      <c r="A561" s="1">
        <v>560.0</v>
      </c>
      <c r="B561" s="1" t="s">
        <v>884</v>
      </c>
    </row>
    <row r="562">
      <c r="A562" s="1">
        <v>561.0</v>
      </c>
      <c r="B562" s="1" t="s">
        <v>885</v>
      </c>
    </row>
    <row r="563">
      <c r="A563" s="1">
        <v>562.0</v>
      </c>
      <c r="B563" s="1" t="s">
        <v>886</v>
      </c>
    </row>
    <row r="564">
      <c r="A564" s="1">
        <v>563.0</v>
      </c>
      <c r="B564" s="1" t="s">
        <v>887</v>
      </c>
    </row>
    <row r="565">
      <c r="A565" s="1">
        <v>564.0</v>
      </c>
      <c r="B565" s="1" t="s">
        <v>888</v>
      </c>
    </row>
    <row r="566">
      <c r="A566" s="1">
        <v>565.0</v>
      </c>
      <c r="B566" s="1" t="s">
        <v>889</v>
      </c>
    </row>
    <row r="567">
      <c r="A567" s="1">
        <v>566.0</v>
      </c>
      <c r="B567" s="1" t="s">
        <v>890</v>
      </c>
    </row>
    <row r="568">
      <c r="A568" s="1">
        <v>567.0</v>
      </c>
      <c r="B568" s="1" t="s">
        <v>891</v>
      </c>
    </row>
    <row r="569">
      <c r="A569" s="1">
        <v>568.0</v>
      </c>
      <c r="B569" s="1" t="s">
        <v>892</v>
      </c>
    </row>
    <row r="570">
      <c r="A570" s="1">
        <v>569.0</v>
      </c>
      <c r="B570" s="1" t="s">
        <v>893</v>
      </c>
    </row>
    <row r="571">
      <c r="A571" s="1">
        <v>570.0</v>
      </c>
      <c r="B571" s="1" t="s">
        <v>894</v>
      </c>
    </row>
    <row r="572">
      <c r="A572" s="1">
        <v>571.0</v>
      </c>
      <c r="B572" s="1" t="s">
        <v>895</v>
      </c>
    </row>
    <row r="573">
      <c r="A573" s="1">
        <v>572.0</v>
      </c>
      <c r="B573" s="1" t="s">
        <v>896</v>
      </c>
    </row>
    <row r="574">
      <c r="A574" s="1">
        <v>573.0</v>
      </c>
      <c r="B574" s="1" t="s">
        <v>897</v>
      </c>
    </row>
    <row r="575">
      <c r="A575" s="1">
        <v>574.0</v>
      </c>
      <c r="B575" s="1" t="s">
        <v>898</v>
      </c>
    </row>
    <row r="576">
      <c r="A576" s="1">
        <v>575.0</v>
      </c>
      <c r="B576" s="1" t="s">
        <v>899</v>
      </c>
    </row>
    <row r="577">
      <c r="A577" s="1">
        <v>576.0</v>
      </c>
      <c r="B577" s="1" t="s">
        <v>900</v>
      </c>
    </row>
    <row r="578">
      <c r="A578" s="1">
        <v>577.0</v>
      </c>
      <c r="B578" s="1" t="s">
        <v>901</v>
      </c>
    </row>
    <row r="579">
      <c r="A579" s="1">
        <v>578.0</v>
      </c>
      <c r="B579" s="1" t="s">
        <v>902</v>
      </c>
    </row>
    <row r="580">
      <c r="A580" s="1">
        <v>579.0</v>
      </c>
      <c r="B580" s="1" t="s">
        <v>903</v>
      </c>
    </row>
    <row r="581">
      <c r="A581" s="1">
        <v>580.0</v>
      </c>
      <c r="B581" s="1" t="s">
        <v>904</v>
      </c>
    </row>
    <row r="582">
      <c r="A582" s="1">
        <v>581.0</v>
      </c>
      <c r="B582" s="1" t="s">
        <v>905</v>
      </c>
    </row>
    <row r="583">
      <c r="A583" s="1">
        <v>582.0</v>
      </c>
      <c r="B583" s="1" t="s">
        <v>906</v>
      </c>
    </row>
    <row r="584">
      <c r="A584" s="1">
        <v>583.0</v>
      </c>
      <c r="B584" s="1" t="s">
        <v>907</v>
      </c>
    </row>
    <row r="585">
      <c r="A585" s="1">
        <v>584.0</v>
      </c>
      <c r="B585" s="1" t="s">
        <v>908</v>
      </c>
    </row>
    <row r="586">
      <c r="A586" s="1">
        <v>585.0</v>
      </c>
      <c r="B586" s="1" t="s">
        <v>909</v>
      </c>
    </row>
    <row r="587">
      <c r="A587" s="1">
        <v>586.0</v>
      </c>
      <c r="B587" s="1" t="s">
        <v>910</v>
      </c>
    </row>
    <row r="588">
      <c r="A588" s="1">
        <v>587.0</v>
      </c>
      <c r="B588" s="1" t="s">
        <v>911</v>
      </c>
    </row>
    <row r="589">
      <c r="A589" s="1">
        <v>588.0</v>
      </c>
      <c r="B589" s="1" t="s">
        <v>912</v>
      </c>
    </row>
    <row r="590">
      <c r="A590" s="1">
        <v>589.0</v>
      </c>
      <c r="B590" s="1" t="s">
        <v>913</v>
      </c>
    </row>
    <row r="591">
      <c r="A591" s="1">
        <v>590.0</v>
      </c>
      <c r="B591" s="1" t="s">
        <v>914</v>
      </c>
    </row>
    <row r="592">
      <c r="A592" s="1">
        <v>591.0</v>
      </c>
      <c r="B592" s="1" t="s">
        <v>915</v>
      </c>
    </row>
    <row r="593">
      <c r="A593" s="1">
        <v>592.0</v>
      </c>
      <c r="B593" s="1" t="s">
        <v>916</v>
      </c>
    </row>
    <row r="594">
      <c r="A594" s="1">
        <v>593.0</v>
      </c>
      <c r="B594" s="1" t="s">
        <v>917</v>
      </c>
    </row>
    <row r="595">
      <c r="A595" s="1">
        <v>594.0</v>
      </c>
      <c r="B595" s="1" t="s">
        <v>918</v>
      </c>
    </row>
    <row r="596">
      <c r="A596" s="1">
        <v>595.0</v>
      </c>
      <c r="B596" s="1" t="s">
        <v>919</v>
      </c>
    </row>
    <row r="597">
      <c r="A597" s="1">
        <v>596.0</v>
      </c>
      <c r="B597" s="1" t="s">
        <v>920</v>
      </c>
    </row>
    <row r="598">
      <c r="A598" s="1">
        <v>597.0</v>
      </c>
      <c r="B598" s="1" t="s">
        <v>921</v>
      </c>
    </row>
    <row r="599">
      <c r="A599" s="1">
        <v>598.0</v>
      </c>
      <c r="B599" s="1" t="s">
        <v>922</v>
      </c>
    </row>
    <row r="600">
      <c r="A600" s="1">
        <v>599.0</v>
      </c>
      <c r="B600" s="1" t="s">
        <v>923</v>
      </c>
    </row>
    <row r="601">
      <c r="A601" s="1">
        <v>600.0</v>
      </c>
      <c r="B601" s="1" t="s">
        <v>924</v>
      </c>
    </row>
    <row r="602">
      <c r="A602" s="1">
        <v>601.0</v>
      </c>
      <c r="B602" s="1" t="s">
        <v>925</v>
      </c>
    </row>
    <row r="603">
      <c r="A603" s="1">
        <v>602.0</v>
      </c>
      <c r="B603" s="1" t="s">
        <v>926</v>
      </c>
    </row>
    <row r="604">
      <c r="A604" s="1">
        <v>603.0</v>
      </c>
      <c r="B604" s="1" t="s">
        <v>927</v>
      </c>
    </row>
    <row r="605">
      <c r="A605" s="1">
        <v>604.0</v>
      </c>
      <c r="B605" s="1" t="s">
        <v>928</v>
      </c>
    </row>
    <row r="606">
      <c r="A606" s="1">
        <v>605.0</v>
      </c>
      <c r="B606" s="1" t="s">
        <v>929</v>
      </c>
    </row>
    <row r="607">
      <c r="A607" s="1">
        <v>606.0</v>
      </c>
      <c r="B607" s="1" t="s">
        <v>930</v>
      </c>
    </row>
    <row r="608">
      <c r="A608" s="1">
        <v>607.0</v>
      </c>
      <c r="B608" s="1" t="s">
        <v>931</v>
      </c>
    </row>
    <row r="609">
      <c r="A609" s="1">
        <v>608.0</v>
      </c>
      <c r="B609" s="1" t="s">
        <v>932</v>
      </c>
    </row>
    <row r="610">
      <c r="A610" s="1">
        <v>609.0</v>
      </c>
      <c r="B610" s="1" t="s">
        <v>933</v>
      </c>
    </row>
    <row r="611">
      <c r="A611" s="1">
        <v>610.0</v>
      </c>
      <c r="B611" s="1" t="s">
        <v>934</v>
      </c>
    </row>
    <row r="612">
      <c r="A612" s="1">
        <v>611.0</v>
      </c>
      <c r="B612" s="1" t="s">
        <v>935</v>
      </c>
    </row>
    <row r="613">
      <c r="A613" s="1">
        <v>612.0</v>
      </c>
      <c r="B613" s="1" t="s">
        <v>936</v>
      </c>
    </row>
    <row r="614">
      <c r="A614" s="1">
        <v>613.0</v>
      </c>
      <c r="B614" s="1" t="s">
        <v>937</v>
      </c>
    </row>
    <row r="615">
      <c r="A615" s="1">
        <v>614.0</v>
      </c>
      <c r="B615" s="1" t="s">
        <v>938</v>
      </c>
    </row>
    <row r="616">
      <c r="A616" s="1">
        <v>615.0</v>
      </c>
      <c r="B616" s="1" t="s">
        <v>939</v>
      </c>
    </row>
    <row r="617">
      <c r="A617" s="1">
        <v>616.0</v>
      </c>
      <c r="B617" s="1" t="s">
        <v>940</v>
      </c>
    </row>
    <row r="618">
      <c r="A618" s="1">
        <v>617.0</v>
      </c>
      <c r="B618" s="1" t="s">
        <v>941</v>
      </c>
    </row>
    <row r="619">
      <c r="A619" s="1">
        <v>618.0</v>
      </c>
      <c r="B619" s="1" t="s">
        <v>942</v>
      </c>
    </row>
    <row r="620">
      <c r="A620" s="1">
        <v>619.0</v>
      </c>
      <c r="B620" s="1" t="s">
        <v>943</v>
      </c>
    </row>
    <row r="621">
      <c r="A621" s="1">
        <v>620.0</v>
      </c>
      <c r="B621" s="1" t="s">
        <v>944</v>
      </c>
    </row>
    <row r="622">
      <c r="A622" s="1">
        <v>621.0</v>
      </c>
      <c r="B622" s="1" t="s">
        <v>945</v>
      </c>
    </row>
    <row r="623">
      <c r="A623" s="1">
        <v>622.0</v>
      </c>
      <c r="B623" s="1" t="s">
        <v>946</v>
      </c>
    </row>
    <row r="624">
      <c r="A624" s="1">
        <v>623.0</v>
      </c>
      <c r="B624" s="1" t="s">
        <v>947</v>
      </c>
    </row>
    <row r="625">
      <c r="A625" s="1">
        <v>624.0</v>
      </c>
      <c r="B625" s="1" t="s">
        <v>948</v>
      </c>
    </row>
    <row r="626">
      <c r="A626" s="1">
        <v>625.0</v>
      </c>
      <c r="B626" s="1" t="s">
        <v>949</v>
      </c>
    </row>
    <row r="627">
      <c r="A627" s="1">
        <v>626.0</v>
      </c>
      <c r="B627" s="1" t="s">
        <v>950</v>
      </c>
    </row>
    <row r="628">
      <c r="A628" s="1">
        <v>627.0</v>
      </c>
      <c r="B628" s="1" t="s">
        <v>951</v>
      </c>
    </row>
    <row r="629">
      <c r="A629" s="1">
        <v>628.0</v>
      </c>
      <c r="B629" s="1" t="s">
        <v>952</v>
      </c>
    </row>
    <row r="630">
      <c r="A630" s="1">
        <v>629.0</v>
      </c>
      <c r="B630" s="1" t="s">
        <v>953</v>
      </c>
    </row>
    <row r="631">
      <c r="A631" s="1">
        <v>630.0</v>
      </c>
      <c r="B631" s="1" t="s">
        <v>954</v>
      </c>
    </row>
    <row r="632">
      <c r="A632" s="1">
        <v>631.0</v>
      </c>
      <c r="B632" s="1" t="s">
        <v>955</v>
      </c>
    </row>
    <row r="633">
      <c r="A633" s="1">
        <v>632.0</v>
      </c>
      <c r="B633" s="1" t="s">
        <v>956</v>
      </c>
    </row>
    <row r="634">
      <c r="A634" s="1">
        <v>633.0</v>
      </c>
      <c r="B634" s="1" t="s">
        <v>957</v>
      </c>
    </row>
    <row r="635">
      <c r="A635" s="1">
        <v>634.0</v>
      </c>
      <c r="B635" s="1" t="s">
        <v>958</v>
      </c>
    </row>
    <row r="636">
      <c r="A636" s="1">
        <v>635.0</v>
      </c>
      <c r="B636" s="1" t="s">
        <v>959</v>
      </c>
    </row>
    <row r="637">
      <c r="A637" s="1">
        <v>636.0</v>
      </c>
      <c r="B637" s="1" t="s">
        <v>960</v>
      </c>
    </row>
    <row r="638">
      <c r="A638" s="1">
        <v>637.0</v>
      </c>
      <c r="B638" s="1" t="s">
        <v>961</v>
      </c>
    </row>
    <row r="639">
      <c r="A639" s="1">
        <v>638.0</v>
      </c>
      <c r="B639" s="1" t="s">
        <v>962</v>
      </c>
    </row>
    <row r="640">
      <c r="A640" s="1">
        <v>639.0</v>
      </c>
      <c r="B640" s="1" t="s">
        <v>963</v>
      </c>
    </row>
    <row r="641">
      <c r="A641" s="1">
        <v>640.0</v>
      </c>
      <c r="B641" s="1" t="s">
        <v>964</v>
      </c>
    </row>
    <row r="642">
      <c r="A642" s="1">
        <v>641.0</v>
      </c>
      <c r="B642" s="1" t="s">
        <v>965</v>
      </c>
    </row>
    <row r="643">
      <c r="A643" s="1">
        <v>642.0</v>
      </c>
      <c r="B643" s="1" t="s">
        <v>966</v>
      </c>
    </row>
    <row r="644">
      <c r="A644" s="1">
        <v>643.0</v>
      </c>
      <c r="B644" s="1" t="s">
        <v>967</v>
      </c>
    </row>
    <row r="645">
      <c r="A645" s="1">
        <v>644.0</v>
      </c>
      <c r="B645" s="1" t="s">
        <v>968</v>
      </c>
    </row>
    <row r="646">
      <c r="A646" s="1">
        <v>645.0</v>
      </c>
      <c r="B646" s="1" t="s">
        <v>969</v>
      </c>
    </row>
    <row r="647">
      <c r="A647" s="1">
        <v>646.0</v>
      </c>
      <c r="B647" s="1" t="s">
        <v>970</v>
      </c>
    </row>
    <row r="648">
      <c r="A648" s="1">
        <v>647.0</v>
      </c>
      <c r="B648" s="1" t="s">
        <v>971</v>
      </c>
    </row>
    <row r="649">
      <c r="A649" s="1">
        <v>648.0</v>
      </c>
      <c r="B649" s="1" t="s">
        <v>972</v>
      </c>
    </row>
    <row r="650">
      <c r="A650" s="1">
        <v>649.0</v>
      </c>
      <c r="B650" s="1" t="s">
        <v>973</v>
      </c>
    </row>
    <row r="651">
      <c r="A651" s="1">
        <v>650.0</v>
      </c>
      <c r="B651" s="1" t="s">
        <v>974</v>
      </c>
    </row>
    <row r="652">
      <c r="A652" s="1">
        <v>651.0</v>
      </c>
      <c r="B652" s="1" t="s">
        <v>975</v>
      </c>
    </row>
    <row r="653">
      <c r="A653" s="1">
        <v>652.0</v>
      </c>
      <c r="B653" s="1" t="s">
        <v>976</v>
      </c>
    </row>
    <row r="654">
      <c r="A654" s="1">
        <v>653.0</v>
      </c>
      <c r="B654" s="1" t="s">
        <v>977</v>
      </c>
    </row>
    <row r="655">
      <c r="A655" s="1">
        <v>654.0</v>
      </c>
      <c r="B655" s="1" t="s">
        <v>978</v>
      </c>
    </row>
    <row r="656">
      <c r="A656" s="1">
        <v>655.0</v>
      </c>
      <c r="B656" s="1" t="s">
        <v>979</v>
      </c>
    </row>
    <row r="657">
      <c r="A657" s="1">
        <v>656.0</v>
      </c>
      <c r="B657" s="1" t="s">
        <v>980</v>
      </c>
    </row>
    <row r="658">
      <c r="A658" s="1">
        <v>657.0</v>
      </c>
      <c r="B658" s="1" t="s">
        <v>981</v>
      </c>
    </row>
    <row r="659">
      <c r="A659" s="1">
        <v>658.0</v>
      </c>
      <c r="B659" s="1" t="s">
        <v>982</v>
      </c>
    </row>
    <row r="660">
      <c r="A660" s="1">
        <v>659.0</v>
      </c>
      <c r="B660" s="1" t="s">
        <v>983</v>
      </c>
    </row>
    <row r="661">
      <c r="A661" s="1">
        <v>660.0</v>
      </c>
      <c r="B661" s="1" t="s">
        <v>984</v>
      </c>
    </row>
    <row r="662">
      <c r="A662" s="1">
        <v>661.0</v>
      </c>
      <c r="B662" s="1" t="s">
        <v>985</v>
      </c>
    </row>
    <row r="663">
      <c r="A663" s="1">
        <v>662.0</v>
      </c>
      <c r="B663" s="1" t="s">
        <v>986</v>
      </c>
    </row>
    <row r="664">
      <c r="A664" s="1">
        <v>663.0</v>
      </c>
      <c r="B664" s="1" t="s">
        <v>987</v>
      </c>
    </row>
    <row r="665">
      <c r="A665" s="1">
        <v>664.0</v>
      </c>
      <c r="B665" s="1" t="s">
        <v>988</v>
      </c>
    </row>
    <row r="666">
      <c r="A666" s="1">
        <v>665.0</v>
      </c>
      <c r="B666" s="1" t="s">
        <v>989</v>
      </c>
    </row>
    <row r="667">
      <c r="A667" s="1">
        <v>666.0</v>
      </c>
      <c r="B667" s="1" t="s">
        <v>990</v>
      </c>
    </row>
    <row r="668">
      <c r="A668" s="1">
        <v>667.0</v>
      </c>
      <c r="B668" s="1" t="s">
        <v>991</v>
      </c>
    </row>
    <row r="669">
      <c r="A669" s="1">
        <v>668.0</v>
      </c>
      <c r="B669" s="1" t="s">
        <v>992</v>
      </c>
    </row>
    <row r="670">
      <c r="A670" s="1">
        <v>669.0</v>
      </c>
      <c r="B670" s="1" t="s">
        <v>993</v>
      </c>
    </row>
    <row r="671">
      <c r="A671" s="1">
        <v>670.0</v>
      </c>
      <c r="B671" s="1" t="s">
        <v>994</v>
      </c>
    </row>
    <row r="672">
      <c r="A672" s="1">
        <v>671.0</v>
      </c>
      <c r="B672" s="1" t="s">
        <v>995</v>
      </c>
    </row>
    <row r="673">
      <c r="A673" s="1">
        <v>672.0</v>
      </c>
      <c r="B673" s="1" t="s">
        <v>996</v>
      </c>
    </row>
    <row r="674">
      <c r="A674" s="1">
        <v>673.0</v>
      </c>
      <c r="B674" s="1" t="s">
        <v>997</v>
      </c>
    </row>
    <row r="675">
      <c r="A675" s="1">
        <v>674.0</v>
      </c>
      <c r="B675" s="1" t="s">
        <v>998</v>
      </c>
    </row>
    <row r="676">
      <c r="A676" s="1">
        <v>675.0</v>
      </c>
      <c r="B676" s="1" t="s">
        <v>999</v>
      </c>
    </row>
    <row r="677">
      <c r="A677" s="1">
        <v>676.0</v>
      </c>
      <c r="B677" s="1" t="s">
        <v>1000</v>
      </c>
    </row>
    <row r="678">
      <c r="A678" s="1">
        <v>677.0</v>
      </c>
      <c r="B678" s="1" t="s">
        <v>1001</v>
      </c>
    </row>
    <row r="679">
      <c r="A679" s="1">
        <v>678.0</v>
      </c>
      <c r="B679" s="1" t="s">
        <v>1002</v>
      </c>
    </row>
    <row r="680">
      <c r="A680" s="1">
        <v>679.0</v>
      </c>
      <c r="B680" s="1" t="s">
        <v>1003</v>
      </c>
    </row>
    <row r="681">
      <c r="A681" s="1">
        <v>680.0</v>
      </c>
      <c r="B681" s="1" t="s">
        <v>1004</v>
      </c>
    </row>
    <row r="682">
      <c r="A682" s="1">
        <v>681.0</v>
      </c>
      <c r="B682" s="1" t="s">
        <v>1005</v>
      </c>
    </row>
    <row r="683">
      <c r="A683" s="1">
        <v>682.0</v>
      </c>
      <c r="B683" s="1" t="s">
        <v>1006</v>
      </c>
    </row>
    <row r="684">
      <c r="A684" s="1">
        <v>683.0</v>
      </c>
      <c r="B684" s="1" t="s">
        <v>1007</v>
      </c>
    </row>
    <row r="685">
      <c r="A685" s="1">
        <v>684.0</v>
      </c>
      <c r="B685" s="1" t="s">
        <v>1008</v>
      </c>
    </row>
    <row r="686">
      <c r="A686" s="1">
        <v>685.0</v>
      </c>
      <c r="B686" s="1" t="s">
        <v>1009</v>
      </c>
    </row>
    <row r="687">
      <c r="A687" s="1">
        <v>686.0</v>
      </c>
      <c r="B687" s="1" t="s">
        <v>1010</v>
      </c>
    </row>
    <row r="688">
      <c r="A688" s="1">
        <v>687.0</v>
      </c>
      <c r="B688" s="1" t="s">
        <v>1011</v>
      </c>
    </row>
    <row r="689">
      <c r="A689" s="1">
        <v>688.0</v>
      </c>
      <c r="B689" s="1" t="s">
        <v>1012</v>
      </c>
    </row>
    <row r="690">
      <c r="A690" s="1">
        <v>689.0</v>
      </c>
      <c r="B690" s="1" t="s">
        <v>1013</v>
      </c>
    </row>
    <row r="691">
      <c r="A691" s="1">
        <v>690.0</v>
      </c>
      <c r="B691" s="1" t="s">
        <v>1014</v>
      </c>
    </row>
    <row r="692">
      <c r="A692" s="1">
        <v>691.0</v>
      </c>
      <c r="B692" s="1" t="s">
        <v>1015</v>
      </c>
    </row>
    <row r="693">
      <c r="A693" s="1">
        <v>692.0</v>
      </c>
      <c r="B693" s="1" t="s">
        <v>1016</v>
      </c>
    </row>
    <row r="694">
      <c r="A694" s="1">
        <v>693.0</v>
      </c>
      <c r="B694" s="1" t="s">
        <v>1017</v>
      </c>
    </row>
    <row r="695">
      <c r="A695" s="1">
        <v>694.0</v>
      </c>
      <c r="B695" s="1" t="s">
        <v>1018</v>
      </c>
    </row>
    <row r="696">
      <c r="A696" s="1">
        <v>695.0</v>
      </c>
      <c r="B696" s="1" t="s">
        <v>1019</v>
      </c>
    </row>
    <row r="697">
      <c r="A697" s="1">
        <v>696.0</v>
      </c>
      <c r="B697" s="1" t="s">
        <v>1020</v>
      </c>
    </row>
    <row r="698">
      <c r="A698" s="1">
        <v>697.0</v>
      </c>
      <c r="B698" s="1" t="s">
        <v>1021</v>
      </c>
    </row>
    <row r="699">
      <c r="A699" s="1">
        <v>698.0</v>
      </c>
      <c r="B699" s="1" t="s">
        <v>1022</v>
      </c>
    </row>
    <row r="700">
      <c r="A700" s="1">
        <v>699.0</v>
      </c>
      <c r="B700" s="1" t="s">
        <v>1023</v>
      </c>
    </row>
    <row r="701">
      <c r="A701" s="1">
        <v>700.0</v>
      </c>
      <c r="B701" s="1" t="s">
        <v>1024</v>
      </c>
    </row>
    <row r="702">
      <c r="A702" s="1">
        <v>701.0</v>
      </c>
      <c r="B702" s="1" t="s">
        <v>1025</v>
      </c>
    </row>
    <row r="703">
      <c r="A703" s="1">
        <v>702.0</v>
      </c>
      <c r="B703" s="1" t="s">
        <v>1026</v>
      </c>
    </row>
    <row r="704">
      <c r="A704" s="1">
        <v>703.0</v>
      </c>
      <c r="B704" s="1" t="s">
        <v>1027</v>
      </c>
    </row>
    <row r="705">
      <c r="A705" s="1">
        <v>704.0</v>
      </c>
      <c r="B705" s="1" t="s">
        <v>1028</v>
      </c>
    </row>
    <row r="706">
      <c r="A706" s="1">
        <v>705.0</v>
      </c>
      <c r="B706" s="1" t="s">
        <v>1029</v>
      </c>
    </row>
    <row r="707">
      <c r="A707" s="1">
        <v>706.0</v>
      </c>
      <c r="B707" s="1" t="s">
        <v>1030</v>
      </c>
    </row>
    <row r="708">
      <c r="A708" s="1">
        <v>707.0</v>
      </c>
      <c r="B708" s="1" t="s">
        <v>1031</v>
      </c>
    </row>
    <row r="709">
      <c r="A709" s="1">
        <v>708.0</v>
      </c>
      <c r="B709" s="1" t="s">
        <v>1032</v>
      </c>
    </row>
    <row r="710">
      <c r="A710" s="1">
        <v>709.0</v>
      </c>
      <c r="B710" s="1" t="s">
        <v>1033</v>
      </c>
    </row>
    <row r="711">
      <c r="A711" s="1">
        <v>710.0</v>
      </c>
      <c r="B711" s="1" t="s">
        <v>1034</v>
      </c>
    </row>
    <row r="712">
      <c r="A712" s="1">
        <v>711.0</v>
      </c>
      <c r="B712" s="1" t="s">
        <v>1035</v>
      </c>
    </row>
    <row r="713">
      <c r="A713" s="1">
        <v>712.0</v>
      </c>
      <c r="B713" s="1" t="s">
        <v>1036</v>
      </c>
    </row>
    <row r="714">
      <c r="A714" s="1">
        <v>713.0</v>
      </c>
      <c r="B714" s="1" t="s">
        <v>1037</v>
      </c>
    </row>
    <row r="715">
      <c r="A715" s="1">
        <v>714.0</v>
      </c>
      <c r="B715" s="1" t="s">
        <v>1038</v>
      </c>
    </row>
    <row r="716">
      <c r="A716" s="1">
        <v>715.0</v>
      </c>
      <c r="B716" s="1" t="s">
        <v>1039</v>
      </c>
    </row>
    <row r="717">
      <c r="A717" s="1">
        <v>716.0</v>
      </c>
      <c r="B717" s="1" t="s">
        <v>1040</v>
      </c>
    </row>
    <row r="718">
      <c r="A718" s="1">
        <v>717.0</v>
      </c>
      <c r="B718" s="1" t="s">
        <v>1041</v>
      </c>
    </row>
    <row r="719">
      <c r="A719" s="1">
        <v>718.0</v>
      </c>
      <c r="B719" s="1" t="s">
        <v>1042</v>
      </c>
    </row>
    <row r="720">
      <c r="A720" s="1">
        <v>719.0</v>
      </c>
      <c r="B720" s="1" t="s">
        <v>1043</v>
      </c>
    </row>
    <row r="721">
      <c r="A721" s="1">
        <v>720.0</v>
      </c>
      <c r="B721" s="1" t="s">
        <v>1044</v>
      </c>
    </row>
    <row r="722">
      <c r="A722" s="1">
        <v>721.0</v>
      </c>
      <c r="B722" s="1" t="s">
        <v>1045</v>
      </c>
    </row>
    <row r="723">
      <c r="A723" s="1">
        <v>722.0</v>
      </c>
      <c r="B723" s="1" t="s">
        <v>1046</v>
      </c>
    </row>
    <row r="724">
      <c r="A724" s="1">
        <v>723.0</v>
      </c>
      <c r="B724" s="1" t="s">
        <v>1047</v>
      </c>
    </row>
    <row r="725">
      <c r="A725" s="1">
        <v>724.0</v>
      </c>
      <c r="B725" s="1" t="s">
        <v>1048</v>
      </c>
    </row>
    <row r="726">
      <c r="A726" s="1">
        <v>725.0</v>
      </c>
      <c r="B726" s="1" t="s">
        <v>1049</v>
      </c>
    </row>
    <row r="727">
      <c r="A727" s="1">
        <v>726.0</v>
      </c>
      <c r="B727" s="1" t="s">
        <v>1050</v>
      </c>
    </row>
    <row r="728">
      <c r="A728" s="1">
        <v>727.0</v>
      </c>
      <c r="B728" s="1" t="s">
        <v>1051</v>
      </c>
    </row>
    <row r="729">
      <c r="A729" s="1">
        <v>728.0</v>
      </c>
      <c r="B729" s="1" t="s">
        <v>1052</v>
      </c>
    </row>
    <row r="730">
      <c r="A730" s="1">
        <v>729.0</v>
      </c>
      <c r="B730" s="1" t="s">
        <v>1053</v>
      </c>
    </row>
    <row r="731">
      <c r="A731" s="1">
        <v>730.0</v>
      </c>
      <c r="B731" s="1" t="s">
        <v>1054</v>
      </c>
    </row>
    <row r="732">
      <c r="A732" s="1">
        <v>731.0</v>
      </c>
      <c r="B732" s="1" t="s">
        <v>1055</v>
      </c>
    </row>
    <row r="733">
      <c r="A733" s="1">
        <v>732.0</v>
      </c>
      <c r="B733" s="1" t="s">
        <v>1056</v>
      </c>
    </row>
    <row r="734">
      <c r="A734" s="1">
        <v>733.0</v>
      </c>
      <c r="B734" s="1" t="s">
        <v>1057</v>
      </c>
    </row>
    <row r="735">
      <c r="A735" s="1">
        <v>734.0</v>
      </c>
      <c r="B735" s="1" t="s">
        <v>1058</v>
      </c>
    </row>
    <row r="736">
      <c r="A736" s="1">
        <v>735.0</v>
      </c>
      <c r="B736" s="1" t="s">
        <v>1059</v>
      </c>
    </row>
    <row r="737">
      <c r="A737" s="1">
        <v>736.0</v>
      </c>
      <c r="B737" s="1" t="s">
        <v>1060</v>
      </c>
    </row>
    <row r="738">
      <c r="A738" s="1">
        <v>737.0</v>
      </c>
      <c r="B738" s="1" t="s">
        <v>1061</v>
      </c>
    </row>
    <row r="739">
      <c r="A739" s="1">
        <v>738.0</v>
      </c>
      <c r="B739" s="1" t="s">
        <v>1062</v>
      </c>
    </row>
    <row r="740">
      <c r="A740" s="1">
        <v>739.0</v>
      </c>
      <c r="B740" s="1" t="s">
        <v>1063</v>
      </c>
    </row>
    <row r="741">
      <c r="A741" s="1">
        <v>740.0</v>
      </c>
      <c r="B741" s="1" t="s">
        <v>1064</v>
      </c>
    </row>
    <row r="742">
      <c r="A742" s="1">
        <v>741.0</v>
      </c>
      <c r="B742" s="1" t="s">
        <v>1065</v>
      </c>
    </row>
    <row r="743">
      <c r="A743" s="1">
        <v>742.0</v>
      </c>
      <c r="B743" s="1" t="s">
        <v>1066</v>
      </c>
    </row>
    <row r="744">
      <c r="A744" s="1">
        <v>743.0</v>
      </c>
      <c r="B744" s="1" t="s">
        <v>1067</v>
      </c>
    </row>
    <row r="745">
      <c r="A745" s="1">
        <v>744.0</v>
      </c>
      <c r="B745" s="1" t="s">
        <v>1068</v>
      </c>
    </row>
    <row r="746">
      <c r="A746" s="1">
        <v>745.0</v>
      </c>
      <c r="B746" s="1" t="s">
        <v>1069</v>
      </c>
    </row>
    <row r="747">
      <c r="A747" s="1">
        <v>746.0</v>
      </c>
      <c r="B747" s="1" t="s">
        <v>1070</v>
      </c>
    </row>
    <row r="748">
      <c r="A748" s="1">
        <v>747.0</v>
      </c>
      <c r="B748" s="1" t="s">
        <v>1071</v>
      </c>
    </row>
    <row r="749">
      <c r="A749" s="1">
        <v>748.0</v>
      </c>
      <c r="B749" s="1" t="s">
        <v>1072</v>
      </c>
    </row>
    <row r="750">
      <c r="A750" s="1">
        <v>749.0</v>
      </c>
      <c r="B750" s="1" t="s">
        <v>1073</v>
      </c>
    </row>
    <row r="751">
      <c r="A751" s="1">
        <v>750.0</v>
      </c>
      <c r="B751" s="1" t="s">
        <v>1074</v>
      </c>
    </row>
    <row r="752">
      <c r="A752" s="1">
        <v>751.0</v>
      </c>
      <c r="B752" s="1" t="s">
        <v>1075</v>
      </c>
    </row>
    <row r="753">
      <c r="A753" s="1">
        <v>752.0</v>
      </c>
      <c r="B753" s="1" t="s">
        <v>1076</v>
      </c>
    </row>
    <row r="754">
      <c r="A754" s="1">
        <v>753.0</v>
      </c>
      <c r="B754" s="1" t="s">
        <v>1077</v>
      </c>
    </row>
    <row r="755">
      <c r="A755" s="1">
        <v>754.0</v>
      </c>
      <c r="B755" s="1" t="s">
        <v>1078</v>
      </c>
    </row>
    <row r="756">
      <c r="A756" s="1">
        <v>755.0</v>
      </c>
      <c r="B756" s="1" t="s">
        <v>1079</v>
      </c>
    </row>
    <row r="757">
      <c r="A757" s="1">
        <v>756.0</v>
      </c>
      <c r="B757" s="1" t="s">
        <v>1080</v>
      </c>
    </row>
    <row r="758">
      <c r="A758" s="1">
        <v>757.0</v>
      </c>
      <c r="B758" s="1" t="s">
        <v>1081</v>
      </c>
    </row>
    <row r="759">
      <c r="A759" s="1">
        <v>758.0</v>
      </c>
      <c r="B759" s="1" t="s">
        <v>1082</v>
      </c>
    </row>
    <row r="760">
      <c r="A760" s="1">
        <v>759.0</v>
      </c>
      <c r="B760" s="1" t="s">
        <v>1083</v>
      </c>
    </row>
    <row r="761">
      <c r="A761" s="1">
        <v>760.0</v>
      </c>
      <c r="B761" s="1" t="s">
        <v>1084</v>
      </c>
    </row>
    <row r="762">
      <c r="A762" s="1">
        <v>761.0</v>
      </c>
      <c r="B762" s="1" t="s">
        <v>1085</v>
      </c>
    </row>
    <row r="763">
      <c r="A763" s="1">
        <v>762.0</v>
      </c>
      <c r="B763" s="1" t="s">
        <v>1086</v>
      </c>
    </row>
    <row r="764">
      <c r="A764" s="1">
        <v>763.0</v>
      </c>
      <c r="B764" s="1" t="s">
        <v>1087</v>
      </c>
    </row>
    <row r="765">
      <c r="A765" s="1">
        <v>764.0</v>
      </c>
      <c r="B765" s="1" t="s">
        <v>1088</v>
      </c>
    </row>
    <row r="766">
      <c r="A766" s="1">
        <v>765.0</v>
      </c>
      <c r="B766" s="1" t="s">
        <v>1089</v>
      </c>
    </row>
    <row r="767">
      <c r="A767" s="1">
        <v>766.0</v>
      </c>
      <c r="B767" s="1" t="s">
        <v>1090</v>
      </c>
    </row>
    <row r="768">
      <c r="A768" s="1">
        <v>767.0</v>
      </c>
      <c r="B768" s="1" t="s">
        <v>1091</v>
      </c>
    </row>
    <row r="769">
      <c r="A769" s="1">
        <v>768.0</v>
      </c>
      <c r="B769" s="1" t="s">
        <v>1092</v>
      </c>
    </row>
    <row r="770">
      <c r="A770" s="1">
        <v>769.0</v>
      </c>
      <c r="B770" s="1" t="s">
        <v>1093</v>
      </c>
    </row>
    <row r="771">
      <c r="A771" s="1">
        <v>770.0</v>
      </c>
      <c r="B771" s="1" t="s">
        <v>1094</v>
      </c>
    </row>
    <row r="772">
      <c r="A772" s="1">
        <v>771.0</v>
      </c>
      <c r="B772" s="1" t="s">
        <v>1095</v>
      </c>
    </row>
    <row r="773">
      <c r="A773" s="1">
        <v>772.0</v>
      </c>
      <c r="B773" s="1" t="s">
        <v>1096</v>
      </c>
    </row>
    <row r="774">
      <c r="A774" s="1">
        <v>773.0</v>
      </c>
      <c r="B774" s="1" t="s">
        <v>1097</v>
      </c>
    </row>
    <row r="775">
      <c r="A775" s="1">
        <v>774.0</v>
      </c>
      <c r="B775" s="1" t="s">
        <v>1098</v>
      </c>
    </row>
    <row r="776">
      <c r="A776" s="1">
        <v>775.0</v>
      </c>
      <c r="B776" s="1" t="s">
        <v>1099</v>
      </c>
    </row>
    <row r="777">
      <c r="A777" s="1">
        <v>776.0</v>
      </c>
      <c r="B777" s="1" t="s">
        <v>1100</v>
      </c>
    </row>
    <row r="778">
      <c r="A778" s="1">
        <v>777.0</v>
      </c>
      <c r="B778" s="1" t="s">
        <v>1101</v>
      </c>
    </row>
    <row r="779">
      <c r="A779" s="1">
        <v>778.0</v>
      </c>
      <c r="B779" s="1" t="s">
        <v>1102</v>
      </c>
    </row>
    <row r="780">
      <c r="A780" s="1">
        <v>779.0</v>
      </c>
      <c r="B780" s="1" t="s">
        <v>1103</v>
      </c>
    </row>
    <row r="781">
      <c r="A781" s="1">
        <v>780.0</v>
      </c>
      <c r="B781" s="1" t="s">
        <v>1104</v>
      </c>
    </row>
    <row r="782">
      <c r="A782" s="1">
        <v>781.0</v>
      </c>
      <c r="B782" s="1" t="s">
        <v>1105</v>
      </c>
    </row>
    <row r="783">
      <c r="A783" s="1">
        <v>782.0</v>
      </c>
      <c r="B783" s="1" t="s">
        <v>1106</v>
      </c>
    </row>
    <row r="784">
      <c r="A784" s="1">
        <v>783.0</v>
      </c>
      <c r="B784" s="1" t="s">
        <v>1107</v>
      </c>
    </row>
    <row r="785">
      <c r="A785" s="1">
        <v>784.0</v>
      </c>
      <c r="B785" s="1" t="s">
        <v>1108</v>
      </c>
    </row>
    <row r="786">
      <c r="A786" s="1">
        <v>785.0</v>
      </c>
      <c r="B786" s="1" t="s">
        <v>1109</v>
      </c>
    </row>
    <row r="787">
      <c r="A787" s="1">
        <v>786.0</v>
      </c>
      <c r="B787" s="1" t="s">
        <v>1110</v>
      </c>
    </row>
    <row r="788">
      <c r="A788" s="1">
        <v>787.0</v>
      </c>
      <c r="B788" s="1" t="s">
        <v>1111</v>
      </c>
    </row>
    <row r="789">
      <c r="A789" s="1">
        <v>788.0</v>
      </c>
      <c r="B789" s="1" t="s">
        <v>1112</v>
      </c>
    </row>
    <row r="790">
      <c r="A790" s="1">
        <v>789.0</v>
      </c>
      <c r="B790" s="1" t="s">
        <v>1113</v>
      </c>
    </row>
    <row r="791">
      <c r="A791" s="1">
        <v>790.0</v>
      </c>
      <c r="B791" s="1" t="s">
        <v>1114</v>
      </c>
    </row>
    <row r="792">
      <c r="A792" s="1">
        <v>791.0</v>
      </c>
      <c r="B792" s="1" t="s">
        <v>1115</v>
      </c>
    </row>
    <row r="793">
      <c r="A793" s="1">
        <v>792.0</v>
      </c>
      <c r="B793" s="1" t="s">
        <v>1116</v>
      </c>
    </row>
    <row r="794">
      <c r="A794" s="1">
        <v>793.0</v>
      </c>
      <c r="B794" s="1" t="s">
        <v>1117</v>
      </c>
    </row>
    <row r="795">
      <c r="A795" s="1">
        <v>794.0</v>
      </c>
      <c r="B795" s="1" t="s">
        <v>1118</v>
      </c>
    </row>
    <row r="796">
      <c r="A796" s="1">
        <v>795.0</v>
      </c>
      <c r="B796" s="1" t="s">
        <v>1119</v>
      </c>
    </row>
    <row r="797">
      <c r="A797" s="1">
        <v>796.0</v>
      </c>
      <c r="B797" s="1" t="s">
        <v>1120</v>
      </c>
    </row>
    <row r="798">
      <c r="A798" s="1">
        <v>797.0</v>
      </c>
      <c r="B798" s="1" t="s">
        <v>1121</v>
      </c>
    </row>
    <row r="799">
      <c r="A799" s="1">
        <v>798.0</v>
      </c>
      <c r="B799" s="1" t="s">
        <v>1122</v>
      </c>
    </row>
    <row r="800">
      <c r="A800" s="1">
        <v>799.0</v>
      </c>
      <c r="B800" s="1" t="s">
        <v>1123</v>
      </c>
    </row>
    <row r="801">
      <c r="A801" s="1">
        <v>800.0</v>
      </c>
      <c r="B801" s="1" t="s">
        <v>1124</v>
      </c>
    </row>
    <row r="802">
      <c r="A802" s="1">
        <v>801.0</v>
      </c>
      <c r="B802" s="1" t="s">
        <v>1125</v>
      </c>
    </row>
    <row r="803">
      <c r="A803" s="1">
        <v>802.0</v>
      </c>
      <c r="B803" s="1" t="s">
        <v>1126</v>
      </c>
    </row>
    <row r="804">
      <c r="A804" s="1">
        <v>803.0</v>
      </c>
      <c r="B804" s="1" t="s">
        <v>1127</v>
      </c>
    </row>
    <row r="805">
      <c r="A805" s="1">
        <v>804.0</v>
      </c>
      <c r="B805" s="1" t="s">
        <v>1128</v>
      </c>
    </row>
    <row r="806">
      <c r="A806" s="1">
        <v>805.0</v>
      </c>
      <c r="B806" s="1" t="s">
        <v>1129</v>
      </c>
    </row>
    <row r="807">
      <c r="A807" s="1">
        <v>806.0</v>
      </c>
      <c r="B807" s="1" t="s">
        <v>1130</v>
      </c>
    </row>
    <row r="808">
      <c r="A808" s="1">
        <v>807.0</v>
      </c>
      <c r="B808" s="1" t="s">
        <v>1131</v>
      </c>
    </row>
    <row r="809">
      <c r="A809" s="1">
        <v>808.0</v>
      </c>
      <c r="B809" s="1" t="s">
        <v>1132</v>
      </c>
    </row>
    <row r="810">
      <c r="A810" s="1">
        <v>809.0</v>
      </c>
      <c r="B810" s="1" t="s">
        <v>1133</v>
      </c>
    </row>
    <row r="811">
      <c r="A811" s="1">
        <v>810.0</v>
      </c>
      <c r="B811" s="1" t="s">
        <v>1134</v>
      </c>
    </row>
    <row r="812">
      <c r="A812" s="1">
        <v>811.0</v>
      </c>
      <c r="B812" s="1" t="s">
        <v>1135</v>
      </c>
    </row>
    <row r="813">
      <c r="A813" s="1">
        <v>812.0</v>
      </c>
      <c r="B813" s="1" t="s">
        <v>1136</v>
      </c>
    </row>
    <row r="814">
      <c r="A814" s="1">
        <v>813.0</v>
      </c>
      <c r="B814" s="1" t="s">
        <v>1137</v>
      </c>
    </row>
    <row r="815">
      <c r="A815" s="1">
        <v>814.0</v>
      </c>
      <c r="B815" s="1" t="s">
        <v>1138</v>
      </c>
    </row>
    <row r="816">
      <c r="A816" s="1">
        <v>815.0</v>
      </c>
      <c r="B816" s="1" t="s">
        <v>1139</v>
      </c>
    </row>
    <row r="817">
      <c r="A817" s="1">
        <v>816.0</v>
      </c>
      <c r="B817" s="1" t="s">
        <v>1140</v>
      </c>
    </row>
    <row r="818">
      <c r="A818" s="1">
        <v>817.0</v>
      </c>
      <c r="B818" s="1" t="s">
        <v>1141</v>
      </c>
    </row>
    <row r="819">
      <c r="A819" s="1">
        <v>818.0</v>
      </c>
      <c r="B819" s="1" t="s">
        <v>1142</v>
      </c>
    </row>
    <row r="820">
      <c r="A820" s="1">
        <v>819.0</v>
      </c>
      <c r="B820" s="1" t="s">
        <v>1143</v>
      </c>
    </row>
    <row r="821">
      <c r="A821" s="1">
        <v>820.0</v>
      </c>
      <c r="B821" s="1" t="s">
        <v>1144</v>
      </c>
    </row>
    <row r="822">
      <c r="A822" s="1">
        <v>821.0</v>
      </c>
      <c r="B822" s="1" t="s">
        <v>1145</v>
      </c>
    </row>
    <row r="823">
      <c r="A823" s="1">
        <v>822.0</v>
      </c>
      <c r="B823" s="1" t="s">
        <v>1146</v>
      </c>
    </row>
    <row r="824">
      <c r="A824" s="1">
        <v>823.0</v>
      </c>
      <c r="B824" s="1" t="s">
        <v>1147</v>
      </c>
    </row>
    <row r="825">
      <c r="A825" s="1">
        <v>824.0</v>
      </c>
      <c r="B825" s="1" t="s">
        <v>1148</v>
      </c>
    </row>
    <row r="826">
      <c r="A826" s="1">
        <v>825.0</v>
      </c>
      <c r="B826" s="1" t="s">
        <v>1149</v>
      </c>
    </row>
    <row r="827">
      <c r="A827" s="1">
        <v>826.0</v>
      </c>
      <c r="B827" s="1" t="s">
        <v>1150</v>
      </c>
    </row>
    <row r="828">
      <c r="A828" s="1">
        <v>827.0</v>
      </c>
      <c r="B828" s="1" t="s">
        <v>1151</v>
      </c>
    </row>
    <row r="829">
      <c r="A829" s="1">
        <v>828.0</v>
      </c>
      <c r="B829" s="1" t="s">
        <v>1152</v>
      </c>
    </row>
    <row r="830">
      <c r="A830" s="1">
        <v>829.0</v>
      </c>
      <c r="B830" s="1" t="s">
        <v>1153</v>
      </c>
    </row>
    <row r="831">
      <c r="A831" s="1">
        <v>830.0</v>
      </c>
      <c r="B831" s="1" t="s">
        <v>1154</v>
      </c>
    </row>
    <row r="832">
      <c r="A832" s="1">
        <v>831.0</v>
      </c>
      <c r="B832" s="1" t="s">
        <v>1155</v>
      </c>
    </row>
    <row r="833">
      <c r="A833" s="1">
        <v>832.0</v>
      </c>
      <c r="B833" s="1" t="s">
        <v>1156</v>
      </c>
    </row>
    <row r="834">
      <c r="A834" s="1">
        <v>833.0</v>
      </c>
      <c r="B834" s="1" t="s">
        <v>1157</v>
      </c>
    </row>
    <row r="835">
      <c r="A835" s="1">
        <v>834.0</v>
      </c>
      <c r="B835" s="1" t="s">
        <v>1158</v>
      </c>
    </row>
    <row r="836">
      <c r="A836" s="1">
        <v>835.0</v>
      </c>
      <c r="B836" s="1" t="s">
        <v>1159</v>
      </c>
    </row>
    <row r="837">
      <c r="A837" s="1">
        <v>836.0</v>
      </c>
      <c r="B837" s="1" t="s">
        <v>1160</v>
      </c>
    </row>
    <row r="838">
      <c r="A838" s="1">
        <v>837.0</v>
      </c>
      <c r="B838" s="1" t="s">
        <v>1161</v>
      </c>
    </row>
    <row r="839">
      <c r="A839" s="1">
        <v>838.0</v>
      </c>
      <c r="B839" s="1" t="s">
        <v>1162</v>
      </c>
    </row>
    <row r="840">
      <c r="A840" s="1">
        <v>839.0</v>
      </c>
      <c r="B840" s="1" t="s">
        <v>1163</v>
      </c>
    </row>
    <row r="841">
      <c r="A841" s="1">
        <v>840.0</v>
      </c>
      <c r="B841" s="1" t="s">
        <v>1164</v>
      </c>
    </row>
    <row r="842">
      <c r="A842" s="1">
        <v>841.0</v>
      </c>
      <c r="B842" s="1" t="s">
        <v>1165</v>
      </c>
    </row>
    <row r="843">
      <c r="A843" s="1">
        <v>842.0</v>
      </c>
      <c r="B843" s="1" t="s">
        <v>1166</v>
      </c>
    </row>
    <row r="844">
      <c r="A844" s="1">
        <v>843.0</v>
      </c>
      <c r="B844" s="1" t="s">
        <v>1167</v>
      </c>
    </row>
    <row r="845">
      <c r="A845" s="1">
        <v>844.0</v>
      </c>
      <c r="B845" s="1" t="s">
        <v>1168</v>
      </c>
    </row>
    <row r="846">
      <c r="A846" s="1">
        <v>845.0</v>
      </c>
      <c r="B846" s="1" t="s">
        <v>1169</v>
      </c>
    </row>
    <row r="847">
      <c r="A847" s="1">
        <v>846.0</v>
      </c>
      <c r="B847" s="1" t="s">
        <v>1170</v>
      </c>
    </row>
    <row r="848">
      <c r="A848" s="1">
        <v>847.0</v>
      </c>
      <c r="B848" s="1" t="s">
        <v>1171</v>
      </c>
    </row>
    <row r="849">
      <c r="A849" s="1">
        <v>848.0</v>
      </c>
      <c r="B849" s="1" t="s">
        <v>1172</v>
      </c>
    </row>
    <row r="850">
      <c r="A850" s="1">
        <v>849.0</v>
      </c>
      <c r="B850" s="1" t="s">
        <v>1173</v>
      </c>
    </row>
    <row r="851">
      <c r="A851" s="1">
        <v>850.0</v>
      </c>
      <c r="B851" s="1" t="s">
        <v>1174</v>
      </c>
    </row>
    <row r="852">
      <c r="A852" s="1">
        <v>851.0</v>
      </c>
      <c r="B852" s="1" t="s">
        <v>1175</v>
      </c>
    </row>
    <row r="853">
      <c r="A853" s="1">
        <v>852.0</v>
      </c>
      <c r="B853" s="1" t="s">
        <v>1176</v>
      </c>
    </row>
    <row r="854">
      <c r="A854" s="1">
        <v>853.0</v>
      </c>
      <c r="B854" s="1" t="s">
        <v>1177</v>
      </c>
    </row>
    <row r="855">
      <c r="A855" s="1">
        <v>854.0</v>
      </c>
      <c r="B855" s="1" t="s">
        <v>1178</v>
      </c>
    </row>
    <row r="856">
      <c r="A856" s="1">
        <v>855.0</v>
      </c>
      <c r="B856" s="1" t="s">
        <v>1179</v>
      </c>
    </row>
    <row r="857">
      <c r="A857" s="1">
        <v>856.0</v>
      </c>
      <c r="B857" s="1" t="s">
        <v>1180</v>
      </c>
    </row>
    <row r="858">
      <c r="A858" s="1">
        <v>857.0</v>
      </c>
      <c r="B858" s="1" t="s">
        <v>1181</v>
      </c>
    </row>
    <row r="859">
      <c r="A859" s="1">
        <v>858.0</v>
      </c>
      <c r="B859" s="1" t="s">
        <v>1182</v>
      </c>
    </row>
    <row r="860">
      <c r="A860" s="1">
        <v>859.0</v>
      </c>
      <c r="B860" s="1" t="s">
        <v>1183</v>
      </c>
    </row>
    <row r="861">
      <c r="A861" s="1">
        <v>860.0</v>
      </c>
      <c r="B861" s="1" t="s">
        <v>1184</v>
      </c>
    </row>
    <row r="862">
      <c r="A862" s="1">
        <v>861.0</v>
      </c>
      <c r="B862" s="1" t="s">
        <v>1185</v>
      </c>
    </row>
    <row r="863">
      <c r="A863" s="1">
        <v>862.0</v>
      </c>
      <c r="B863" s="1" t="s">
        <v>1186</v>
      </c>
    </row>
    <row r="864">
      <c r="A864" s="1">
        <v>863.0</v>
      </c>
      <c r="B864" s="1" t="s">
        <v>1187</v>
      </c>
    </row>
    <row r="865">
      <c r="A865" s="1">
        <v>864.0</v>
      </c>
      <c r="B865" s="1" t="s">
        <v>1188</v>
      </c>
    </row>
    <row r="866">
      <c r="A866" s="1">
        <v>865.0</v>
      </c>
      <c r="B866" s="1" t="s">
        <v>1189</v>
      </c>
    </row>
    <row r="867">
      <c r="A867" s="1">
        <v>866.0</v>
      </c>
      <c r="B867" s="1" t="s">
        <v>1190</v>
      </c>
    </row>
    <row r="868">
      <c r="A868" s="1">
        <v>867.0</v>
      </c>
      <c r="B868" s="1" t="s">
        <v>1191</v>
      </c>
    </row>
    <row r="869">
      <c r="A869" s="1">
        <v>868.0</v>
      </c>
      <c r="B869" s="1" t="s">
        <v>1192</v>
      </c>
    </row>
    <row r="870">
      <c r="A870" s="1">
        <v>869.0</v>
      </c>
      <c r="B870" s="1" t="s">
        <v>1193</v>
      </c>
    </row>
    <row r="871">
      <c r="A871" s="1">
        <v>870.0</v>
      </c>
      <c r="B871" s="1" t="s">
        <v>1194</v>
      </c>
    </row>
    <row r="872">
      <c r="A872" s="1">
        <v>871.0</v>
      </c>
      <c r="B872" s="1" t="s">
        <v>1195</v>
      </c>
    </row>
    <row r="873">
      <c r="A873" s="1">
        <v>872.0</v>
      </c>
      <c r="B873" s="1" t="s">
        <v>1196</v>
      </c>
    </row>
    <row r="874">
      <c r="A874" s="1">
        <v>873.0</v>
      </c>
      <c r="B874" s="1" t="s">
        <v>1197</v>
      </c>
    </row>
    <row r="875">
      <c r="A875" s="1">
        <v>874.0</v>
      </c>
      <c r="B875" s="1" t="s">
        <v>1198</v>
      </c>
    </row>
    <row r="876">
      <c r="A876" s="1">
        <v>875.0</v>
      </c>
      <c r="B876" s="1" t="s">
        <v>1199</v>
      </c>
    </row>
    <row r="877">
      <c r="A877" s="1">
        <v>876.0</v>
      </c>
      <c r="B877" s="1" t="s">
        <v>1200</v>
      </c>
    </row>
    <row r="878">
      <c r="A878" s="1">
        <v>877.0</v>
      </c>
      <c r="B878" s="1" t="s">
        <v>1201</v>
      </c>
    </row>
    <row r="879">
      <c r="A879" s="1">
        <v>878.0</v>
      </c>
      <c r="B879" s="1" t="s">
        <v>1202</v>
      </c>
    </row>
    <row r="880">
      <c r="A880" s="1">
        <v>879.0</v>
      </c>
      <c r="B880" s="1" t="s">
        <v>1203</v>
      </c>
    </row>
    <row r="881">
      <c r="A881" s="1">
        <v>880.0</v>
      </c>
      <c r="B881" s="1" t="s">
        <v>1204</v>
      </c>
    </row>
    <row r="882">
      <c r="A882" s="1">
        <v>881.0</v>
      </c>
      <c r="B882" s="1" t="s">
        <v>1205</v>
      </c>
    </row>
    <row r="883">
      <c r="A883" s="1">
        <v>882.0</v>
      </c>
      <c r="B883" s="1" t="s">
        <v>1206</v>
      </c>
    </row>
    <row r="884">
      <c r="A884" s="1">
        <v>883.0</v>
      </c>
      <c r="B884" s="1" t="s">
        <v>1207</v>
      </c>
    </row>
    <row r="885">
      <c r="A885" s="1">
        <v>884.0</v>
      </c>
      <c r="B885" s="1" t="s">
        <v>1208</v>
      </c>
    </row>
    <row r="886">
      <c r="A886" s="1">
        <v>885.0</v>
      </c>
      <c r="B886" s="1" t="s">
        <v>1209</v>
      </c>
    </row>
    <row r="887">
      <c r="A887" s="1">
        <v>886.0</v>
      </c>
      <c r="B887" s="1" t="s">
        <v>1210</v>
      </c>
    </row>
    <row r="888">
      <c r="A888" s="1">
        <v>887.0</v>
      </c>
      <c r="B888" s="1" t="s">
        <v>1211</v>
      </c>
    </row>
    <row r="889">
      <c r="A889" s="1">
        <v>888.0</v>
      </c>
      <c r="B889" s="1" t="s">
        <v>1212</v>
      </c>
    </row>
    <row r="890">
      <c r="A890" s="1">
        <v>889.0</v>
      </c>
      <c r="B890" s="1" t="s">
        <v>1213</v>
      </c>
    </row>
    <row r="891">
      <c r="A891" s="1">
        <v>890.0</v>
      </c>
      <c r="B891" s="1" t="s">
        <v>1214</v>
      </c>
    </row>
    <row r="892">
      <c r="A892" s="1">
        <v>891.0</v>
      </c>
      <c r="B892" s="1" t="s">
        <v>1215</v>
      </c>
    </row>
    <row r="893">
      <c r="A893" s="1">
        <v>892.0</v>
      </c>
      <c r="B893" s="1" t="s">
        <v>1216</v>
      </c>
    </row>
    <row r="894">
      <c r="A894" s="1">
        <v>893.0</v>
      </c>
      <c r="B894" s="1" t="s">
        <v>1217</v>
      </c>
    </row>
    <row r="895">
      <c r="A895" s="1">
        <v>894.0</v>
      </c>
      <c r="B895" s="1" t="s">
        <v>1218</v>
      </c>
    </row>
    <row r="896">
      <c r="A896" s="1">
        <v>895.0</v>
      </c>
      <c r="B896" s="1" t="s">
        <v>1219</v>
      </c>
    </row>
    <row r="897">
      <c r="A897" s="1">
        <v>896.0</v>
      </c>
      <c r="B897" s="1" t="s">
        <v>1220</v>
      </c>
    </row>
    <row r="898">
      <c r="A898" s="1">
        <v>897.0</v>
      </c>
      <c r="B898" s="1" t="s">
        <v>1221</v>
      </c>
    </row>
    <row r="899">
      <c r="A899" s="1">
        <v>898.0</v>
      </c>
      <c r="B899" s="1" t="s">
        <v>1222</v>
      </c>
    </row>
    <row r="900">
      <c r="A900" s="1">
        <v>899.0</v>
      </c>
      <c r="B900" s="1" t="s">
        <v>1223</v>
      </c>
    </row>
    <row r="901">
      <c r="A901" s="1">
        <v>900.0</v>
      </c>
      <c r="B901" s="1" t="s">
        <v>1224</v>
      </c>
    </row>
    <row r="902">
      <c r="A902" s="1">
        <v>901.0</v>
      </c>
      <c r="B902" s="1" t="s">
        <v>1225</v>
      </c>
    </row>
    <row r="903">
      <c r="A903" s="1">
        <v>902.0</v>
      </c>
      <c r="B903" s="1" t="s">
        <v>1226</v>
      </c>
    </row>
    <row r="904">
      <c r="A904" s="1">
        <v>903.0</v>
      </c>
      <c r="B904" s="1" t="s">
        <v>1227</v>
      </c>
    </row>
    <row r="905">
      <c r="A905" s="1">
        <v>904.0</v>
      </c>
      <c r="B905" s="1" t="s">
        <v>1228</v>
      </c>
    </row>
    <row r="906">
      <c r="A906" s="1">
        <v>905.0</v>
      </c>
      <c r="B906" s="1" t="s">
        <v>1229</v>
      </c>
    </row>
    <row r="907">
      <c r="A907" s="1">
        <v>906.0</v>
      </c>
      <c r="B907" s="1" t="s">
        <v>1230</v>
      </c>
    </row>
    <row r="908">
      <c r="A908" s="1">
        <v>907.0</v>
      </c>
      <c r="B908" s="1" t="s">
        <v>1231</v>
      </c>
    </row>
    <row r="909">
      <c r="A909" s="1">
        <v>908.0</v>
      </c>
      <c r="B909" s="1" t="s">
        <v>1232</v>
      </c>
    </row>
    <row r="910">
      <c r="A910" s="1">
        <v>909.0</v>
      </c>
      <c r="B910" s="1" t="s">
        <v>1233</v>
      </c>
    </row>
    <row r="911">
      <c r="A911" s="1">
        <v>910.0</v>
      </c>
      <c r="B911" s="1" t="s">
        <v>1234</v>
      </c>
    </row>
    <row r="912">
      <c r="A912" s="1">
        <v>911.0</v>
      </c>
      <c r="B912" s="1" t="s">
        <v>1235</v>
      </c>
    </row>
    <row r="913">
      <c r="A913" s="1">
        <v>912.0</v>
      </c>
      <c r="B913" s="1" t="s">
        <v>1236</v>
      </c>
    </row>
    <row r="914">
      <c r="A914" s="1">
        <v>913.0</v>
      </c>
      <c r="B914" s="1" t="s">
        <v>1237</v>
      </c>
    </row>
    <row r="915">
      <c r="A915" s="1">
        <v>914.0</v>
      </c>
      <c r="B915" s="1" t="s">
        <v>1238</v>
      </c>
    </row>
    <row r="916">
      <c r="A916" s="1">
        <v>915.0</v>
      </c>
      <c r="B916" s="1" t="s">
        <v>1239</v>
      </c>
    </row>
    <row r="917">
      <c r="A917" s="1">
        <v>916.0</v>
      </c>
      <c r="B917" s="1" t="s">
        <v>1240</v>
      </c>
    </row>
    <row r="918">
      <c r="A918" s="1">
        <v>917.0</v>
      </c>
      <c r="B918" s="1" t="s">
        <v>1241</v>
      </c>
    </row>
    <row r="919">
      <c r="A919" s="1">
        <v>918.0</v>
      </c>
      <c r="B919" s="1" t="s">
        <v>1242</v>
      </c>
    </row>
    <row r="920">
      <c r="A920" s="1">
        <v>919.0</v>
      </c>
      <c r="B920" s="1" t="s">
        <v>1243</v>
      </c>
    </row>
    <row r="921">
      <c r="A921" s="1">
        <v>920.0</v>
      </c>
      <c r="B921" s="1" t="s">
        <v>1244</v>
      </c>
    </row>
    <row r="922">
      <c r="A922" s="1">
        <v>921.0</v>
      </c>
      <c r="B922" s="1" t="s">
        <v>1245</v>
      </c>
    </row>
    <row r="923">
      <c r="A923" s="1">
        <v>922.0</v>
      </c>
      <c r="B923" s="1" t="s">
        <v>1246</v>
      </c>
    </row>
    <row r="924">
      <c r="A924" s="1">
        <v>923.0</v>
      </c>
      <c r="B924" s="1" t="s">
        <v>1247</v>
      </c>
    </row>
    <row r="925">
      <c r="A925" s="1">
        <v>924.0</v>
      </c>
      <c r="B925" s="1" t="s">
        <v>1248</v>
      </c>
    </row>
    <row r="926">
      <c r="A926" s="1">
        <v>925.0</v>
      </c>
      <c r="B926" s="1" t="s">
        <v>1249</v>
      </c>
    </row>
    <row r="927">
      <c r="A927" s="1">
        <v>926.0</v>
      </c>
      <c r="B927" s="1" t="s">
        <v>1250</v>
      </c>
    </row>
    <row r="928">
      <c r="A928" s="1">
        <v>927.0</v>
      </c>
      <c r="B928" s="1" t="s">
        <v>1251</v>
      </c>
    </row>
    <row r="929">
      <c r="A929" s="1">
        <v>928.0</v>
      </c>
      <c r="B929" s="1" t="s">
        <v>1252</v>
      </c>
    </row>
    <row r="930">
      <c r="A930" s="1">
        <v>929.0</v>
      </c>
      <c r="B930" s="1" t="s">
        <v>1253</v>
      </c>
    </row>
    <row r="931">
      <c r="A931" s="1">
        <v>930.0</v>
      </c>
      <c r="B931" s="1" t="s">
        <v>1254</v>
      </c>
    </row>
    <row r="932">
      <c r="A932" s="1">
        <v>931.0</v>
      </c>
      <c r="B932" s="1" t="s">
        <v>1255</v>
      </c>
    </row>
    <row r="933">
      <c r="A933" s="1">
        <v>932.0</v>
      </c>
      <c r="B933" s="1" t="s">
        <v>1256</v>
      </c>
    </row>
    <row r="934">
      <c r="A934" s="1">
        <v>933.0</v>
      </c>
      <c r="B934" s="1" t="s">
        <v>1257</v>
      </c>
    </row>
    <row r="935">
      <c r="A935" s="1">
        <v>934.0</v>
      </c>
      <c r="B935" s="1" t="s">
        <v>1258</v>
      </c>
    </row>
    <row r="936">
      <c r="A936" s="1">
        <v>935.0</v>
      </c>
      <c r="B936" s="1" t="s">
        <v>1259</v>
      </c>
    </row>
    <row r="937">
      <c r="A937" s="1">
        <v>936.0</v>
      </c>
      <c r="B937" s="1" t="s">
        <v>1260</v>
      </c>
    </row>
    <row r="938">
      <c r="A938" s="1">
        <v>937.0</v>
      </c>
      <c r="B938" s="1" t="s">
        <v>1261</v>
      </c>
    </row>
    <row r="939">
      <c r="A939" s="1">
        <v>938.0</v>
      </c>
      <c r="B939" s="1" t="s">
        <v>1262</v>
      </c>
    </row>
    <row r="940">
      <c r="A940" s="1">
        <v>939.0</v>
      </c>
      <c r="B940" s="1" t="s">
        <v>1263</v>
      </c>
    </row>
    <row r="941">
      <c r="A941" s="1">
        <v>940.0</v>
      </c>
      <c r="B941" s="1" t="s">
        <v>1264</v>
      </c>
    </row>
    <row r="942">
      <c r="A942" s="1">
        <v>941.0</v>
      </c>
      <c r="B942" s="1" t="s">
        <v>1265</v>
      </c>
    </row>
    <row r="943">
      <c r="A943" s="1">
        <v>942.0</v>
      </c>
      <c r="B943" s="1" t="s">
        <v>1266</v>
      </c>
    </row>
    <row r="944">
      <c r="A944" s="1">
        <v>943.0</v>
      </c>
      <c r="B944" s="1" t="s">
        <v>1267</v>
      </c>
    </row>
    <row r="945">
      <c r="A945" s="1">
        <v>944.0</v>
      </c>
      <c r="B945" s="1" t="s">
        <v>1268</v>
      </c>
    </row>
    <row r="946">
      <c r="A946" s="1">
        <v>945.0</v>
      </c>
      <c r="B946" s="1" t="s">
        <v>1269</v>
      </c>
    </row>
    <row r="947">
      <c r="A947" s="1">
        <v>946.0</v>
      </c>
      <c r="B947" s="1" t="s">
        <v>1270</v>
      </c>
    </row>
    <row r="948">
      <c r="A948" s="1">
        <v>947.0</v>
      </c>
      <c r="B948" s="1" t="s">
        <v>1271</v>
      </c>
    </row>
    <row r="949">
      <c r="A949" s="1">
        <v>948.0</v>
      </c>
      <c r="B949" s="1" t="s">
        <v>1272</v>
      </c>
    </row>
    <row r="950">
      <c r="A950" s="1">
        <v>949.0</v>
      </c>
      <c r="B950" s="1" t="s">
        <v>1273</v>
      </c>
    </row>
    <row r="951">
      <c r="A951" s="1">
        <v>950.0</v>
      </c>
      <c r="B951" s="1" t="s">
        <v>1274</v>
      </c>
    </row>
    <row r="952">
      <c r="A952" s="1">
        <v>951.0</v>
      </c>
      <c r="B952" s="1" t="s">
        <v>1275</v>
      </c>
    </row>
    <row r="953">
      <c r="A953" s="1">
        <v>952.0</v>
      </c>
      <c r="B953" s="1" t="s">
        <v>1276</v>
      </c>
    </row>
    <row r="954">
      <c r="A954" s="1">
        <v>953.0</v>
      </c>
      <c r="B954" s="1" t="s">
        <v>1277</v>
      </c>
    </row>
    <row r="955">
      <c r="A955" s="1">
        <v>954.0</v>
      </c>
      <c r="B955" s="1" t="s">
        <v>1278</v>
      </c>
    </row>
    <row r="956">
      <c r="A956" s="1">
        <v>955.0</v>
      </c>
      <c r="B956" s="1" t="s">
        <v>1279</v>
      </c>
    </row>
    <row r="957">
      <c r="A957" s="1">
        <v>956.0</v>
      </c>
      <c r="B957" s="1" t="s">
        <v>1280</v>
      </c>
    </row>
    <row r="958">
      <c r="A958" s="1">
        <v>957.0</v>
      </c>
      <c r="B958" s="1" t="s">
        <v>1281</v>
      </c>
    </row>
    <row r="959">
      <c r="A959" s="1">
        <v>958.0</v>
      </c>
      <c r="B959" s="1" t="s">
        <v>1282</v>
      </c>
    </row>
    <row r="960">
      <c r="A960" s="1">
        <v>959.0</v>
      </c>
      <c r="B960" s="1" t="s">
        <v>1283</v>
      </c>
    </row>
    <row r="961">
      <c r="A961" s="1">
        <v>960.0</v>
      </c>
      <c r="B961" s="1" t="s">
        <v>1284</v>
      </c>
    </row>
    <row r="962">
      <c r="A962" s="1">
        <v>961.0</v>
      </c>
      <c r="B962" s="1" t="s">
        <v>1285</v>
      </c>
    </row>
    <row r="963">
      <c r="A963" s="1">
        <v>962.0</v>
      </c>
      <c r="B963" s="1" t="s">
        <v>1286</v>
      </c>
    </row>
    <row r="964">
      <c r="A964" s="1">
        <v>963.0</v>
      </c>
      <c r="B964" s="1" t="s">
        <v>1287</v>
      </c>
    </row>
    <row r="965">
      <c r="A965" s="1">
        <v>964.0</v>
      </c>
      <c r="B965" s="1" t="s">
        <v>1288</v>
      </c>
    </row>
    <row r="966">
      <c r="A966" s="1">
        <v>965.0</v>
      </c>
      <c r="B966" s="1" t="s">
        <v>1289</v>
      </c>
    </row>
    <row r="967">
      <c r="A967" s="1">
        <v>966.0</v>
      </c>
      <c r="B967" s="1" t="s">
        <v>1290</v>
      </c>
    </row>
    <row r="968">
      <c r="A968" s="1">
        <v>967.0</v>
      </c>
      <c r="B968" s="1" t="s">
        <v>1291</v>
      </c>
    </row>
    <row r="969">
      <c r="A969" s="1">
        <v>968.0</v>
      </c>
      <c r="B969" s="1" t="s">
        <v>1292</v>
      </c>
    </row>
    <row r="970">
      <c r="A970" s="1">
        <v>969.0</v>
      </c>
      <c r="B970" s="1" t="s">
        <v>1293</v>
      </c>
    </row>
    <row r="971">
      <c r="A971" s="1">
        <v>970.0</v>
      </c>
      <c r="B971" s="1" t="s">
        <v>1294</v>
      </c>
    </row>
    <row r="972">
      <c r="A972" s="1">
        <v>971.0</v>
      </c>
      <c r="B972" s="1" t="s">
        <v>1295</v>
      </c>
    </row>
    <row r="973">
      <c r="A973" s="1">
        <v>972.0</v>
      </c>
      <c r="B973" s="1" t="s">
        <v>1296</v>
      </c>
    </row>
    <row r="974">
      <c r="A974" s="1">
        <v>973.0</v>
      </c>
      <c r="B974" s="1" t="s">
        <v>1297</v>
      </c>
    </row>
    <row r="975">
      <c r="A975" s="1">
        <v>974.0</v>
      </c>
      <c r="B975" s="1" t="s">
        <v>1298</v>
      </c>
    </row>
    <row r="976">
      <c r="A976" s="1">
        <v>975.0</v>
      </c>
      <c r="B976" s="1" t="s">
        <v>1299</v>
      </c>
    </row>
    <row r="977">
      <c r="A977" s="1">
        <v>976.0</v>
      </c>
      <c r="B977" s="1" t="s">
        <v>1300</v>
      </c>
    </row>
    <row r="978">
      <c r="A978" s="1">
        <v>977.0</v>
      </c>
      <c r="B978" s="1" t="s">
        <v>1301</v>
      </c>
    </row>
    <row r="979">
      <c r="A979" s="1">
        <v>978.0</v>
      </c>
      <c r="B979" s="1" t="s">
        <v>1302</v>
      </c>
    </row>
    <row r="980">
      <c r="A980" s="1">
        <v>979.0</v>
      </c>
      <c r="B980" s="1" t="s">
        <v>1303</v>
      </c>
    </row>
    <row r="981">
      <c r="A981" s="1">
        <v>980.0</v>
      </c>
      <c r="B981" s="1" t="s">
        <v>1304</v>
      </c>
    </row>
    <row r="982">
      <c r="A982" s="1">
        <v>981.0</v>
      </c>
      <c r="B982" s="1" t="s">
        <v>1305</v>
      </c>
    </row>
    <row r="983">
      <c r="A983" s="1">
        <v>982.0</v>
      </c>
      <c r="B983" s="1" t="s">
        <v>1306</v>
      </c>
    </row>
    <row r="984">
      <c r="A984" s="1">
        <v>983.0</v>
      </c>
      <c r="B984" s="1" t="s">
        <v>1307</v>
      </c>
    </row>
    <row r="985">
      <c r="A985" s="1">
        <v>984.0</v>
      </c>
      <c r="B985" s="1" t="s">
        <v>1308</v>
      </c>
    </row>
    <row r="986">
      <c r="A986" s="1">
        <v>985.0</v>
      </c>
      <c r="B986" s="1" t="s">
        <v>1309</v>
      </c>
    </row>
    <row r="987">
      <c r="A987" s="1">
        <v>986.0</v>
      </c>
      <c r="B987" s="1" t="s">
        <v>1310</v>
      </c>
    </row>
    <row r="988">
      <c r="A988" s="1">
        <v>987.0</v>
      </c>
      <c r="B988" s="1" t="s">
        <v>1311</v>
      </c>
    </row>
    <row r="989">
      <c r="A989" s="1">
        <v>988.0</v>
      </c>
      <c r="B989" s="1" t="s">
        <v>1312</v>
      </c>
    </row>
    <row r="990">
      <c r="A990" s="1">
        <v>989.0</v>
      </c>
      <c r="B990" s="1" t="s">
        <v>1313</v>
      </c>
    </row>
    <row r="991">
      <c r="A991" s="1">
        <v>990.0</v>
      </c>
      <c r="B991" s="1" t="s">
        <v>1314</v>
      </c>
    </row>
    <row r="992">
      <c r="A992" s="1">
        <v>991.0</v>
      </c>
      <c r="B992" s="1" t="s">
        <v>1315</v>
      </c>
    </row>
    <row r="993">
      <c r="A993" s="1">
        <v>992.0</v>
      </c>
      <c r="B993" s="1" t="s">
        <v>1316</v>
      </c>
    </row>
    <row r="994">
      <c r="A994" s="1">
        <v>993.0</v>
      </c>
      <c r="B994" s="1" t="s">
        <v>1317</v>
      </c>
    </row>
    <row r="995">
      <c r="A995" s="1">
        <v>994.0</v>
      </c>
      <c r="B995" s="1" t="s">
        <v>1318</v>
      </c>
    </row>
    <row r="996">
      <c r="A996" s="1">
        <v>995.0</v>
      </c>
      <c r="B996" s="1" t="s">
        <v>1319</v>
      </c>
    </row>
    <row r="997">
      <c r="A997" s="1">
        <v>996.0</v>
      </c>
      <c r="B997" s="1" t="s">
        <v>1320</v>
      </c>
    </row>
    <row r="998">
      <c r="A998" s="1">
        <v>997.0</v>
      </c>
      <c r="B998" s="1" t="s">
        <v>1321</v>
      </c>
    </row>
    <row r="999">
      <c r="A999" s="1">
        <v>998.0</v>
      </c>
      <c r="B999" s="1" t="s">
        <v>1322</v>
      </c>
    </row>
    <row r="1000">
      <c r="A1000" s="1">
        <v>999.0</v>
      </c>
      <c r="B1000" s="1" t="s">
        <v>1323</v>
      </c>
    </row>
    <row r="1001">
      <c r="A1001" s="1">
        <v>1000.0</v>
      </c>
      <c r="B1001" s="1" t="s">
        <v>1324</v>
      </c>
    </row>
    <row r="1002">
      <c r="A1002" s="1">
        <v>1001.0</v>
      </c>
      <c r="B1002" s="1" t="s">
        <v>1325</v>
      </c>
    </row>
    <row r="1003">
      <c r="A1003" s="1">
        <v>1002.0</v>
      </c>
      <c r="B1003" s="1" t="s">
        <v>1326</v>
      </c>
    </row>
    <row r="1004">
      <c r="A1004" s="1">
        <v>1003.0</v>
      </c>
      <c r="B1004" s="1" t="s">
        <v>1327</v>
      </c>
    </row>
    <row r="1005">
      <c r="A1005" s="1">
        <v>1004.0</v>
      </c>
      <c r="B1005" s="1" t="s">
        <v>1328</v>
      </c>
    </row>
    <row r="1006">
      <c r="A1006" s="1">
        <v>1005.0</v>
      </c>
      <c r="B1006" s="1" t="s">
        <v>1329</v>
      </c>
    </row>
    <row r="1007">
      <c r="A1007" s="1">
        <v>1006.0</v>
      </c>
      <c r="B1007" s="1" t="s">
        <v>1330</v>
      </c>
    </row>
    <row r="1008">
      <c r="A1008" s="1">
        <v>1007.0</v>
      </c>
      <c r="B1008" s="1" t="s">
        <v>1331</v>
      </c>
    </row>
    <row r="1009">
      <c r="A1009" s="1">
        <v>1008.0</v>
      </c>
      <c r="B1009" s="1" t="s">
        <v>1332</v>
      </c>
    </row>
    <row r="1010">
      <c r="A1010" s="1">
        <v>1009.0</v>
      </c>
      <c r="B1010" s="1" t="s">
        <v>1333</v>
      </c>
    </row>
    <row r="1011">
      <c r="A1011" s="1">
        <v>1010.0</v>
      </c>
      <c r="B1011" s="1" t="s">
        <v>1334</v>
      </c>
    </row>
    <row r="1012">
      <c r="A1012" s="1">
        <v>1011.0</v>
      </c>
      <c r="B1012" s="1" t="s">
        <v>1335</v>
      </c>
    </row>
    <row r="1013">
      <c r="A1013" s="1">
        <v>1012.0</v>
      </c>
      <c r="B1013" s="1" t="s">
        <v>1336</v>
      </c>
    </row>
    <row r="1014">
      <c r="A1014" s="1">
        <v>1013.0</v>
      </c>
      <c r="B1014" s="1" t="s">
        <v>1337</v>
      </c>
    </row>
    <row r="1015">
      <c r="A1015" s="1">
        <v>1014.0</v>
      </c>
      <c r="B1015" s="1" t="s">
        <v>1338</v>
      </c>
    </row>
    <row r="1016">
      <c r="A1016" s="1">
        <v>1015.0</v>
      </c>
      <c r="B1016" s="1" t="s">
        <v>1339</v>
      </c>
    </row>
    <row r="1017">
      <c r="A1017" s="1">
        <v>1016.0</v>
      </c>
      <c r="B1017" s="1" t="s">
        <v>1340</v>
      </c>
    </row>
    <row r="1018">
      <c r="A1018" s="1">
        <v>1017.0</v>
      </c>
      <c r="B1018" s="1" t="s">
        <v>1341</v>
      </c>
    </row>
    <row r="1019">
      <c r="A1019" s="1">
        <v>1018.0</v>
      </c>
      <c r="B1019" s="1" t="s">
        <v>1342</v>
      </c>
    </row>
    <row r="1020">
      <c r="A1020" s="1">
        <v>1019.0</v>
      </c>
      <c r="B1020" s="1" t="s">
        <v>1343</v>
      </c>
    </row>
    <row r="1021">
      <c r="A1021" s="1">
        <v>1020.0</v>
      </c>
      <c r="B1021" s="1" t="s">
        <v>1344</v>
      </c>
    </row>
    <row r="1022">
      <c r="A1022" s="1">
        <v>1021.0</v>
      </c>
      <c r="B1022" s="1" t="s">
        <v>1345</v>
      </c>
    </row>
    <row r="1023">
      <c r="A1023" s="1">
        <v>1022.0</v>
      </c>
      <c r="B1023" s="1" t="s">
        <v>1346</v>
      </c>
    </row>
    <row r="1024">
      <c r="A1024" s="1">
        <v>1023.0</v>
      </c>
      <c r="B1024" s="1" t="s">
        <v>1347</v>
      </c>
    </row>
    <row r="1025">
      <c r="A1025" s="1">
        <v>1024.0</v>
      </c>
      <c r="B1025" s="1" t="s">
        <v>1348</v>
      </c>
    </row>
    <row r="1026">
      <c r="A1026" s="1">
        <v>1025.0</v>
      </c>
      <c r="B1026" s="1" t="s">
        <v>1349</v>
      </c>
    </row>
    <row r="1027">
      <c r="A1027" s="1">
        <v>1026.0</v>
      </c>
      <c r="B1027" s="1" t="s">
        <v>1350</v>
      </c>
    </row>
    <row r="1028">
      <c r="A1028" s="1">
        <v>1027.0</v>
      </c>
      <c r="B1028" s="1" t="s">
        <v>1351</v>
      </c>
    </row>
    <row r="1029">
      <c r="A1029" s="1">
        <v>1028.0</v>
      </c>
      <c r="B1029" s="1" t="s">
        <v>1352</v>
      </c>
    </row>
    <row r="1030">
      <c r="A1030" s="1">
        <v>1029.0</v>
      </c>
      <c r="B1030" s="1" t="s">
        <v>1353</v>
      </c>
    </row>
    <row r="1031">
      <c r="A1031" s="1">
        <v>1030.0</v>
      </c>
      <c r="B1031" s="1" t="s">
        <v>1354</v>
      </c>
    </row>
    <row r="1032">
      <c r="A1032" s="1">
        <v>1031.0</v>
      </c>
      <c r="B1032" s="1" t="s">
        <v>1355</v>
      </c>
    </row>
    <row r="1033">
      <c r="A1033" s="1">
        <v>1032.0</v>
      </c>
      <c r="B1033" s="1" t="s">
        <v>1356</v>
      </c>
    </row>
    <row r="1034">
      <c r="A1034" s="1">
        <v>1033.0</v>
      </c>
      <c r="B1034" s="1" t="s">
        <v>1357</v>
      </c>
    </row>
    <row r="1035">
      <c r="A1035" s="1">
        <v>1034.0</v>
      </c>
      <c r="B1035" s="1" t="s">
        <v>1358</v>
      </c>
    </row>
    <row r="1036">
      <c r="A1036" s="1">
        <v>1035.0</v>
      </c>
      <c r="B1036" s="1" t="s">
        <v>1359</v>
      </c>
    </row>
    <row r="1037">
      <c r="A1037" s="1">
        <v>1036.0</v>
      </c>
      <c r="B1037" s="1" t="s">
        <v>1360</v>
      </c>
    </row>
    <row r="1038">
      <c r="A1038" s="1">
        <v>1037.0</v>
      </c>
      <c r="B1038" s="1" t="s">
        <v>1361</v>
      </c>
    </row>
    <row r="1039">
      <c r="A1039" s="1">
        <v>1038.0</v>
      </c>
      <c r="B1039" s="1" t="s">
        <v>1362</v>
      </c>
    </row>
    <row r="1040">
      <c r="A1040" s="1">
        <v>1039.0</v>
      </c>
      <c r="B1040" s="1" t="s">
        <v>1363</v>
      </c>
    </row>
    <row r="1041">
      <c r="A1041" s="1">
        <v>1040.0</v>
      </c>
      <c r="B1041" s="1" t="s">
        <v>1364</v>
      </c>
    </row>
    <row r="1042">
      <c r="A1042" s="1">
        <v>1041.0</v>
      </c>
      <c r="B1042" s="1" t="s">
        <v>1365</v>
      </c>
    </row>
    <row r="1043">
      <c r="A1043" s="1">
        <v>1042.0</v>
      </c>
      <c r="B1043" s="1" t="s">
        <v>1366</v>
      </c>
    </row>
    <row r="1044">
      <c r="A1044" s="1">
        <v>1043.0</v>
      </c>
      <c r="B1044" s="1" t="s">
        <v>1367</v>
      </c>
    </row>
    <row r="1045">
      <c r="A1045" s="1">
        <v>1044.0</v>
      </c>
      <c r="B1045" s="1" t="s">
        <v>1368</v>
      </c>
    </row>
    <row r="1046">
      <c r="A1046" s="1">
        <v>1045.0</v>
      </c>
      <c r="B1046" s="1" t="s">
        <v>1369</v>
      </c>
    </row>
    <row r="1047">
      <c r="A1047" s="1">
        <v>1046.0</v>
      </c>
      <c r="B1047" s="1" t="s">
        <v>1370</v>
      </c>
    </row>
    <row r="1048">
      <c r="A1048" s="1">
        <v>1047.0</v>
      </c>
      <c r="B1048" s="1" t="s">
        <v>1371</v>
      </c>
    </row>
    <row r="1049">
      <c r="A1049" s="1">
        <v>1048.0</v>
      </c>
      <c r="B1049" s="1" t="s">
        <v>1372</v>
      </c>
    </row>
    <row r="1050">
      <c r="A1050" s="1">
        <v>1049.0</v>
      </c>
      <c r="B1050" s="1" t="s">
        <v>1373</v>
      </c>
    </row>
    <row r="1051">
      <c r="A1051" s="1">
        <v>1050.0</v>
      </c>
      <c r="B1051" s="1" t="s">
        <v>1374</v>
      </c>
    </row>
    <row r="1052">
      <c r="A1052" s="1">
        <v>1051.0</v>
      </c>
      <c r="B1052" s="1" t="s">
        <v>1375</v>
      </c>
    </row>
    <row r="1053">
      <c r="A1053" s="1">
        <v>1052.0</v>
      </c>
      <c r="B1053" s="1" t="s">
        <v>1376</v>
      </c>
    </row>
    <row r="1054">
      <c r="A1054" s="1">
        <v>1053.0</v>
      </c>
      <c r="B1054" s="1" t="s">
        <v>1377</v>
      </c>
    </row>
    <row r="1055">
      <c r="A1055" s="1">
        <v>1054.0</v>
      </c>
      <c r="B1055" s="1" t="s">
        <v>1378</v>
      </c>
    </row>
    <row r="1056">
      <c r="A1056" s="1">
        <v>1055.0</v>
      </c>
      <c r="B1056" s="1" t="s">
        <v>1379</v>
      </c>
    </row>
    <row r="1057">
      <c r="A1057" s="1">
        <v>1056.0</v>
      </c>
      <c r="B1057" s="1" t="s">
        <v>1380</v>
      </c>
    </row>
    <row r="1058">
      <c r="A1058" s="1">
        <v>1057.0</v>
      </c>
      <c r="B1058" s="1" t="s">
        <v>1381</v>
      </c>
    </row>
    <row r="1059">
      <c r="A1059" s="1">
        <v>1058.0</v>
      </c>
      <c r="B1059" s="1" t="s">
        <v>1382</v>
      </c>
    </row>
    <row r="1060">
      <c r="A1060" s="1">
        <v>1059.0</v>
      </c>
      <c r="B1060" s="1" t="s">
        <v>1383</v>
      </c>
    </row>
    <row r="1061">
      <c r="A1061" s="1">
        <v>1060.0</v>
      </c>
      <c r="B1061" s="1" t="s">
        <v>1384</v>
      </c>
    </row>
    <row r="1062">
      <c r="A1062" s="1">
        <v>1061.0</v>
      </c>
      <c r="B1062" s="1" t="s">
        <v>1385</v>
      </c>
    </row>
    <row r="1063">
      <c r="A1063" s="1">
        <v>1062.0</v>
      </c>
      <c r="B1063" s="1" t="s">
        <v>1386</v>
      </c>
    </row>
    <row r="1064">
      <c r="A1064" s="1">
        <v>1063.0</v>
      </c>
      <c r="B1064" s="1" t="s">
        <v>1387</v>
      </c>
    </row>
    <row r="1065">
      <c r="A1065" s="1">
        <v>1064.0</v>
      </c>
      <c r="B1065" s="1" t="s">
        <v>1388</v>
      </c>
    </row>
    <row r="1066">
      <c r="A1066" s="1">
        <v>1065.0</v>
      </c>
      <c r="B1066" s="1" t="s">
        <v>1389</v>
      </c>
    </row>
    <row r="1067">
      <c r="A1067" s="1">
        <v>1066.0</v>
      </c>
      <c r="B1067" s="1" t="s">
        <v>1390</v>
      </c>
    </row>
    <row r="1068">
      <c r="A1068" s="1">
        <v>1067.0</v>
      </c>
      <c r="B1068" s="1" t="s">
        <v>1391</v>
      </c>
    </row>
    <row r="1069">
      <c r="A1069" s="1">
        <v>1068.0</v>
      </c>
      <c r="B1069" s="1" t="s">
        <v>1392</v>
      </c>
    </row>
    <row r="1070">
      <c r="A1070" s="1">
        <v>1069.0</v>
      </c>
      <c r="B1070" s="1" t="s">
        <v>1393</v>
      </c>
    </row>
    <row r="1071">
      <c r="A1071" s="1">
        <v>1070.0</v>
      </c>
      <c r="B1071" s="1" t="s">
        <v>1394</v>
      </c>
    </row>
    <row r="1072">
      <c r="A1072" s="1">
        <v>1071.0</v>
      </c>
      <c r="B1072" s="1" t="s">
        <v>1395</v>
      </c>
    </row>
    <row r="1073">
      <c r="A1073" s="1">
        <v>1072.0</v>
      </c>
      <c r="B1073" s="1" t="s">
        <v>1396</v>
      </c>
    </row>
    <row r="1074">
      <c r="A1074" s="1">
        <v>1073.0</v>
      </c>
      <c r="B1074" s="1" t="s">
        <v>1397</v>
      </c>
    </row>
    <row r="1075">
      <c r="A1075" s="1">
        <v>1074.0</v>
      </c>
      <c r="B1075" s="1" t="s">
        <v>1398</v>
      </c>
    </row>
    <row r="1076">
      <c r="A1076" s="1">
        <v>1075.0</v>
      </c>
      <c r="B1076" s="1" t="s">
        <v>1399</v>
      </c>
    </row>
    <row r="1077">
      <c r="A1077" s="1">
        <v>1076.0</v>
      </c>
      <c r="B1077" s="1" t="s">
        <v>1400</v>
      </c>
    </row>
    <row r="1078">
      <c r="A1078" s="1">
        <v>1077.0</v>
      </c>
      <c r="B1078" s="1" t="s">
        <v>1401</v>
      </c>
    </row>
    <row r="1079">
      <c r="A1079" s="1">
        <v>1078.0</v>
      </c>
      <c r="B1079" s="1" t="s">
        <v>1402</v>
      </c>
    </row>
    <row r="1080">
      <c r="A1080" s="1">
        <v>1079.0</v>
      </c>
      <c r="B1080" s="1" t="s">
        <v>1403</v>
      </c>
    </row>
    <row r="1081">
      <c r="A1081" s="1">
        <v>1080.0</v>
      </c>
      <c r="B1081" s="1" t="s">
        <v>1404</v>
      </c>
    </row>
    <row r="1082">
      <c r="A1082" s="1">
        <v>1081.0</v>
      </c>
      <c r="B1082" s="1" t="s">
        <v>1405</v>
      </c>
    </row>
    <row r="1083">
      <c r="A1083" s="1">
        <v>1082.0</v>
      </c>
      <c r="B1083" s="1" t="s">
        <v>1406</v>
      </c>
    </row>
    <row r="1084">
      <c r="A1084" s="1">
        <v>1083.0</v>
      </c>
      <c r="B1084" s="1" t="s">
        <v>1407</v>
      </c>
    </row>
    <row r="1085">
      <c r="A1085" s="1">
        <v>1084.0</v>
      </c>
      <c r="B1085" s="1" t="s">
        <v>1408</v>
      </c>
    </row>
    <row r="1086">
      <c r="A1086" s="1">
        <v>1085.0</v>
      </c>
      <c r="B1086" s="1" t="s">
        <v>1409</v>
      </c>
    </row>
    <row r="1087">
      <c r="A1087" s="1">
        <v>1086.0</v>
      </c>
      <c r="B1087" s="1" t="s">
        <v>1410</v>
      </c>
    </row>
    <row r="1088">
      <c r="A1088" s="1">
        <v>1087.0</v>
      </c>
      <c r="B1088" s="1" t="s">
        <v>1411</v>
      </c>
    </row>
    <row r="1089">
      <c r="A1089" s="1">
        <v>1088.0</v>
      </c>
      <c r="B1089" s="1" t="s">
        <v>1412</v>
      </c>
    </row>
    <row r="1090">
      <c r="A1090" s="1">
        <v>1089.0</v>
      </c>
      <c r="B1090" s="1" t="s">
        <v>1413</v>
      </c>
    </row>
    <row r="1091">
      <c r="A1091" s="1">
        <v>1090.0</v>
      </c>
      <c r="B1091" s="1" t="s">
        <v>1414</v>
      </c>
    </row>
    <row r="1092">
      <c r="A1092" s="1">
        <v>1091.0</v>
      </c>
      <c r="B1092" s="1" t="s">
        <v>1415</v>
      </c>
    </row>
    <row r="1093">
      <c r="A1093" s="1">
        <v>1092.0</v>
      </c>
      <c r="B1093" s="1" t="s">
        <v>1416</v>
      </c>
    </row>
    <row r="1094">
      <c r="A1094" s="1">
        <v>1093.0</v>
      </c>
      <c r="B1094" s="1" t="s">
        <v>1417</v>
      </c>
    </row>
    <row r="1095">
      <c r="A1095" s="1">
        <v>1094.0</v>
      </c>
      <c r="B1095" s="1" t="s">
        <v>1418</v>
      </c>
    </row>
    <row r="1096">
      <c r="A1096" s="1">
        <v>1095.0</v>
      </c>
      <c r="B1096" s="1" t="s">
        <v>1419</v>
      </c>
    </row>
    <row r="1097">
      <c r="A1097" s="1">
        <v>1096.0</v>
      </c>
      <c r="B1097" s="1" t="s">
        <v>1420</v>
      </c>
    </row>
    <row r="1098">
      <c r="A1098" s="1">
        <v>1097.0</v>
      </c>
      <c r="B1098" s="1" t="s">
        <v>1421</v>
      </c>
    </row>
    <row r="1099">
      <c r="A1099" s="1">
        <v>1098.0</v>
      </c>
      <c r="B1099" s="1" t="s">
        <v>1422</v>
      </c>
    </row>
    <row r="1100">
      <c r="A1100" s="1">
        <v>1099.0</v>
      </c>
      <c r="B1100" s="1" t="s">
        <v>1423</v>
      </c>
    </row>
    <row r="1101">
      <c r="A1101" s="1">
        <v>1100.0</v>
      </c>
      <c r="B1101" s="1" t="s">
        <v>1424</v>
      </c>
    </row>
    <row r="1102">
      <c r="A1102" s="1">
        <v>1101.0</v>
      </c>
      <c r="B1102" s="1" t="s">
        <v>1425</v>
      </c>
    </row>
    <row r="1103">
      <c r="A1103" s="1">
        <v>1102.0</v>
      </c>
      <c r="B1103" s="1" t="s">
        <v>1426</v>
      </c>
    </row>
    <row r="1104">
      <c r="A1104" s="1">
        <v>1103.0</v>
      </c>
      <c r="B1104" s="1" t="s">
        <v>1427</v>
      </c>
    </row>
    <row r="1105">
      <c r="A1105" s="1">
        <v>1104.0</v>
      </c>
      <c r="B1105" s="1" t="s">
        <v>1428</v>
      </c>
    </row>
    <row r="1106">
      <c r="A1106" s="1">
        <v>1105.0</v>
      </c>
      <c r="B1106" s="1" t="s">
        <v>1429</v>
      </c>
    </row>
    <row r="1107">
      <c r="A1107" s="1">
        <v>1106.0</v>
      </c>
      <c r="B1107" s="1" t="s">
        <v>1430</v>
      </c>
    </row>
    <row r="1108">
      <c r="A1108" s="1">
        <v>1107.0</v>
      </c>
      <c r="B1108" s="1" t="s">
        <v>1431</v>
      </c>
    </row>
    <row r="1109">
      <c r="A1109" s="1">
        <v>1108.0</v>
      </c>
      <c r="B1109" s="1" t="s">
        <v>1432</v>
      </c>
    </row>
    <row r="1110">
      <c r="A1110" s="1">
        <v>1109.0</v>
      </c>
      <c r="B1110" s="1" t="s">
        <v>1433</v>
      </c>
    </row>
    <row r="1111">
      <c r="A1111" s="1">
        <v>1110.0</v>
      </c>
      <c r="B1111" s="1" t="s">
        <v>1434</v>
      </c>
    </row>
    <row r="1112">
      <c r="A1112" s="1">
        <v>1111.0</v>
      </c>
      <c r="B1112" s="1" t="s">
        <v>1435</v>
      </c>
    </row>
    <row r="1113">
      <c r="A1113" s="1">
        <v>1112.0</v>
      </c>
      <c r="B1113" s="1" t="s">
        <v>1436</v>
      </c>
    </row>
    <row r="1114">
      <c r="A1114" s="1">
        <v>1113.0</v>
      </c>
      <c r="B1114" s="1" t="s">
        <v>1437</v>
      </c>
    </row>
    <row r="1115">
      <c r="A1115" s="1">
        <v>1114.0</v>
      </c>
      <c r="B1115" s="1" t="s">
        <v>1438</v>
      </c>
    </row>
    <row r="1116">
      <c r="A1116" s="1">
        <v>1115.0</v>
      </c>
      <c r="B1116" s="1" t="s">
        <v>1439</v>
      </c>
    </row>
    <row r="1117">
      <c r="A1117" s="1">
        <v>1116.0</v>
      </c>
      <c r="B1117" s="1" t="s">
        <v>1440</v>
      </c>
    </row>
    <row r="1118">
      <c r="A1118" s="1">
        <v>1117.0</v>
      </c>
      <c r="B1118" s="1" t="s">
        <v>1441</v>
      </c>
    </row>
    <row r="1119">
      <c r="A1119" s="1">
        <v>1118.0</v>
      </c>
      <c r="B1119" s="1" t="s">
        <v>1442</v>
      </c>
    </row>
    <row r="1120">
      <c r="A1120" s="1">
        <v>1119.0</v>
      </c>
      <c r="B1120" s="1" t="s">
        <v>1443</v>
      </c>
    </row>
    <row r="1121">
      <c r="A1121" s="1">
        <v>1120.0</v>
      </c>
      <c r="B1121" s="1" t="s">
        <v>1444</v>
      </c>
    </row>
    <row r="1122">
      <c r="A1122" s="1">
        <v>1121.0</v>
      </c>
      <c r="B1122" s="1" t="s">
        <v>1445</v>
      </c>
    </row>
    <row r="1123">
      <c r="A1123" s="1">
        <v>1122.0</v>
      </c>
      <c r="B1123" s="1" t="s">
        <v>1446</v>
      </c>
    </row>
    <row r="1124">
      <c r="A1124" s="1">
        <v>1123.0</v>
      </c>
      <c r="B1124" s="1" t="s">
        <v>1447</v>
      </c>
    </row>
    <row r="1125">
      <c r="A1125" s="1">
        <v>1124.0</v>
      </c>
      <c r="B1125" s="1" t="s">
        <v>1448</v>
      </c>
    </row>
    <row r="1126">
      <c r="A1126" s="1">
        <v>1125.0</v>
      </c>
      <c r="B1126" s="1" t="s">
        <v>1449</v>
      </c>
    </row>
    <row r="1127">
      <c r="A1127" s="1">
        <v>1126.0</v>
      </c>
      <c r="B1127" s="1" t="s">
        <v>1450</v>
      </c>
    </row>
    <row r="1128">
      <c r="A1128" s="1">
        <v>1127.0</v>
      </c>
      <c r="B1128" s="1" t="s">
        <v>1451</v>
      </c>
    </row>
    <row r="1129">
      <c r="A1129" s="1">
        <v>1128.0</v>
      </c>
      <c r="B1129" s="1" t="s">
        <v>1452</v>
      </c>
    </row>
    <row r="1130">
      <c r="A1130" s="1">
        <v>1129.0</v>
      </c>
      <c r="B1130" s="1" t="s">
        <v>1453</v>
      </c>
    </row>
    <row r="1131">
      <c r="A1131" s="1">
        <v>1130.0</v>
      </c>
      <c r="B1131" s="1" t="s">
        <v>1454</v>
      </c>
    </row>
    <row r="1132">
      <c r="A1132" s="1">
        <v>1131.0</v>
      </c>
      <c r="B1132" s="1" t="s">
        <v>1455</v>
      </c>
    </row>
    <row r="1133">
      <c r="A1133" s="1">
        <v>1132.0</v>
      </c>
      <c r="B1133" s="1" t="s">
        <v>1456</v>
      </c>
    </row>
    <row r="1134">
      <c r="A1134" s="1">
        <v>1133.0</v>
      </c>
      <c r="B1134" s="1" t="s">
        <v>1457</v>
      </c>
    </row>
    <row r="1135">
      <c r="A1135" s="1">
        <v>1134.0</v>
      </c>
      <c r="B1135" s="1" t="s">
        <v>1458</v>
      </c>
    </row>
    <row r="1136">
      <c r="A1136" s="1">
        <v>1135.0</v>
      </c>
      <c r="B1136" s="1" t="s">
        <v>1459</v>
      </c>
    </row>
    <row r="1137">
      <c r="A1137" s="1">
        <v>1136.0</v>
      </c>
      <c r="B1137" s="1" t="s">
        <v>1460</v>
      </c>
    </row>
    <row r="1138">
      <c r="A1138" s="1">
        <v>1137.0</v>
      </c>
      <c r="B1138" s="1" t="s">
        <v>1461</v>
      </c>
    </row>
    <row r="1139">
      <c r="A1139" s="1">
        <v>1138.0</v>
      </c>
      <c r="B1139" s="1" t="s">
        <v>1462</v>
      </c>
    </row>
    <row r="1140">
      <c r="A1140" s="1">
        <v>1139.0</v>
      </c>
      <c r="B1140" s="1" t="s">
        <v>1463</v>
      </c>
    </row>
    <row r="1141">
      <c r="A1141" s="1">
        <v>1140.0</v>
      </c>
      <c r="B1141" s="1" t="s">
        <v>1464</v>
      </c>
    </row>
    <row r="1142">
      <c r="A1142" s="1">
        <v>1141.0</v>
      </c>
      <c r="B1142" s="1" t="s">
        <v>1465</v>
      </c>
    </row>
    <row r="1143">
      <c r="A1143" s="1">
        <v>1142.0</v>
      </c>
      <c r="B1143" s="1" t="s">
        <v>1466</v>
      </c>
    </row>
    <row r="1144">
      <c r="A1144" s="1">
        <v>1143.0</v>
      </c>
      <c r="B1144" s="1" t="s">
        <v>1467</v>
      </c>
    </row>
    <row r="1145">
      <c r="A1145" s="1">
        <v>1144.0</v>
      </c>
      <c r="B1145" s="1" t="s">
        <v>1468</v>
      </c>
    </row>
    <row r="1146">
      <c r="A1146" s="1">
        <v>1145.0</v>
      </c>
      <c r="B1146" s="1" t="s">
        <v>1469</v>
      </c>
    </row>
    <row r="1147">
      <c r="A1147" s="1">
        <v>1146.0</v>
      </c>
      <c r="B1147" s="1" t="s">
        <v>1470</v>
      </c>
    </row>
    <row r="1148">
      <c r="A1148" s="1">
        <v>1147.0</v>
      </c>
      <c r="B1148" s="1" t="s">
        <v>1471</v>
      </c>
    </row>
    <row r="1149">
      <c r="A1149" s="1">
        <v>1148.0</v>
      </c>
      <c r="B1149" s="1" t="s">
        <v>1472</v>
      </c>
    </row>
    <row r="1150">
      <c r="A1150" s="1">
        <v>1149.0</v>
      </c>
      <c r="B1150" s="1" t="s">
        <v>1473</v>
      </c>
    </row>
    <row r="1151">
      <c r="A1151" s="1">
        <v>1150.0</v>
      </c>
      <c r="B1151" s="1" t="s">
        <v>1474</v>
      </c>
    </row>
    <row r="1152">
      <c r="A1152" s="1">
        <v>1151.0</v>
      </c>
      <c r="B1152" s="1" t="s">
        <v>1475</v>
      </c>
    </row>
    <row r="1153">
      <c r="A1153" s="1">
        <v>1152.0</v>
      </c>
      <c r="B1153" s="1" t="s">
        <v>1476</v>
      </c>
    </row>
    <row r="1154">
      <c r="A1154" s="1">
        <v>1153.0</v>
      </c>
      <c r="B1154" s="1" t="s">
        <v>1477</v>
      </c>
    </row>
    <row r="1155">
      <c r="A1155" s="1">
        <v>1154.0</v>
      </c>
      <c r="B1155" s="1" t="s">
        <v>1478</v>
      </c>
    </row>
    <row r="1156">
      <c r="A1156" s="1">
        <v>1155.0</v>
      </c>
      <c r="B1156" s="1" t="s">
        <v>1479</v>
      </c>
    </row>
    <row r="1157">
      <c r="A1157" s="1">
        <v>1156.0</v>
      </c>
      <c r="B1157" s="1" t="s">
        <v>1480</v>
      </c>
    </row>
    <row r="1158">
      <c r="A1158" s="1">
        <v>1157.0</v>
      </c>
      <c r="B1158" s="1" t="s">
        <v>1481</v>
      </c>
    </row>
    <row r="1159">
      <c r="A1159" s="1">
        <v>1158.0</v>
      </c>
      <c r="B1159" s="1" t="s">
        <v>1482</v>
      </c>
    </row>
    <row r="1160">
      <c r="A1160" s="1">
        <v>1159.0</v>
      </c>
      <c r="B1160" s="1" t="s">
        <v>1483</v>
      </c>
    </row>
    <row r="1161">
      <c r="A1161" s="1">
        <v>1160.0</v>
      </c>
      <c r="B1161" s="1" t="s">
        <v>1484</v>
      </c>
    </row>
    <row r="1162">
      <c r="A1162" s="1">
        <v>1161.0</v>
      </c>
      <c r="B1162" s="1" t="s">
        <v>1485</v>
      </c>
    </row>
    <row r="1163">
      <c r="A1163" s="1">
        <v>1162.0</v>
      </c>
      <c r="B1163" s="1" t="s">
        <v>1486</v>
      </c>
    </row>
    <row r="1164">
      <c r="A1164" s="1">
        <v>1163.0</v>
      </c>
      <c r="B1164" s="1" t="s">
        <v>1487</v>
      </c>
    </row>
    <row r="1165">
      <c r="A1165" s="1">
        <v>1164.0</v>
      </c>
      <c r="B1165" s="1" t="s">
        <v>1488</v>
      </c>
    </row>
    <row r="1166">
      <c r="A1166" s="1">
        <v>1165.0</v>
      </c>
      <c r="B1166" s="1" t="s">
        <v>1489</v>
      </c>
    </row>
    <row r="1167">
      <c r="A1167" s="1">
        <v>1166.0</v>
      </c>
      <c r="B1167" s="1" t="s">
        <v>1490</v>
      </c>
    </row>
    <row r="1168">
      <c r="A1168" s="1">
        <v>1167.0</v>
      </c>
      <c r="B1168" s="1" t="s">
        <v>1491</v>
      </c>
    </row>
    <row r="1169">
      <c r="A1169" s="1">
        <v>1168.0</v>
      </c>
      <c r="B1169" s="1" t="s">
        <v>1492</v>
      </c>
    </row>
    <row r="1170">
      <c r="A1170" s="1">
        <v>1169.0</v>
      </c>
      <c r="B1170" s="1" t="s">
        <v>1493</v>
      </c>
    </row>
    <row r="1171">
      <c r="A1171" s="1">
        <v>1170.0</v>
      </c>
      <c r="B1171" s="1" t="s">
        <v>1494</v>
      </c>
    </row>
    <row r="1172">
      <c r="A1172" s="1">
        <v>1171.0</v>
      </c>
      <c r="B1172" s="1" t="s">
        <v>1495</v>
      </c>
    </row>
    <row r="1173">
      <c r="A1173" s="1">
        <v>1172.0</v>
      </c>
      <c r="B1173" s="1" t="s">
        <v>1496</v>
      </c>
    </row>
    <row r="1174">
      <c r="A1174" s="1">
        <v>1173.0</v>
      </c>
      <c r="B1174" s="1" t="s">
        <v>1497</v>
      </c>
    </row>
    <row r="1175">
      <c r="A1175" s="1">
        <v>1174.0</v>
      </c>
      <c r="B1175" s="1" t="s">
        <v>1498</v>
      </c>
    </row>
    <row r="1176">
      <c r="A1176" s="1">
        <v>1175.0</v>
      </c>
      <c r="B1176" s="1" t="s">
        <v>1499</v>
      </c>
    </row>
    <row r="1177">
      <c r="A1177" s="1">
        <v>1176.0</v>
      </c>
      <c r="B1177" s="1" t="s">
        <v>1500</v>
      </c>
    </row>
    <row r="1178">
      <c r="A1178" s="1">
        <v>1177.0</v>
      </c>
      <c r="B1178" s="1" t="s">
        <v>1501</v>
      </c>
    </row>
    <row r="1179">
      <c r="A1179" s="1">
        <v>1178.0</v>
      </c>
      <c r="B1179" s="1" t="s">
        <v>1502</v>
      </c>
    </row>
    <row r="1180">
      <c r="A1180" s="1">
        <v>1179.0</v>
      </c>
      <c r="B1180" s="1" t="s">
        <v>1503</v>
      </c>
    </row>
    <row r="1181">
      <c r="A1181" s="1">
        <v>1180.0</v>
      </c>
      <c r="B1181" s="1" t="s">
        <v>1504</v>
      </c>
    </row>
    <row r="1182">
      <c r="A1182" s="1">
        <v>1181.0</v>
      </c>
      <c r="B1182" s="1" t="s">
        <v>1505</v>
      </c>
    </row>
    <row r="1183">
      <c r="A1183" s="1">
        <v>1182.0</v>
      </c>
      <c r="B1183" s="1" t="s">
        <v>1506</v>
      </c>
    </row>
    <row r="1184">
      <c r="A1184" s="1">
        <v>1183.0</v>
      </c>
      <c r="B1184" s="1" t="s">
        <v>1507</v>
      </c>
    </row>
    <row r="1185">
      <c r="A1185" s="1">
        <v>1184.0</v>
      </c>
      <c r="B1185" s="1" t="s">
        <v>1508</v>
      </c>
    </row>
    <row r="1186">
      <c r="A1186" s="1">
        <v>1185.0</v>
      </c>
      <c r="B1186" s="1" t="s">
        <v>1509</v>
      </c>
    </row>
    <row r="1187">
      <c r="A1187" s="1">
        <v>1186.0</v>
      </c>
      <c r="B1187" s="1" t="s">
        <v>1510</v>
      </c>
    </row>
    <row r="1188">
      <c r="A1188" s="1">
        <v>1187.0</v>
      </c>
      <c r="B1188" s="1" t="s">
        <v>1511</v>
      </c>
    </row>
    <row r="1189">
      <c r="A1189" s="1">
        <v>1188.0</v>
      </c>
      <c r="B1189" s="1" t="s">
        <v>1512</v>
      </c>
    </row>
    <row r="1190">
      <c r="A1190" s="1">
        <v>1189.0</v>
      </c>
      <c r="B1190" s="1" t="s">
        <v>1513</v>
      </c>
    </row>
    <row r="1191">
      <c r="A1191" s="1">
        <v>1190.0</v>
      </c>
      <c r="B1191" s="1" t="s">
        <v>1514</v>
      </c>
    </row>
    <row r="1192">
      <c r="A1192" s="1">
        <v>1191.0</v>
      </c>
      <c r="B1192" s="1" t="s">
        <v>1515</v>
      </c>
    </row>
    <row r="1193">
      <c r="A1193" s="1">
        <v>1192.0</v>
      </c>
      <c r="B1193" s="1" t="s">
        <v>1516</v>
      </c>
    </row>
    <row r="1194">
      <c r="A1194" s="1">
        <v>1193.0</v>
      </c>
      <c r="B1194" s="1" t="s">
        <v>1517</v>
      </c>
    </row>
    <row r="1195">
      <c r="A1195" s="1">
        <v>1194.0</v>
      </c>
      <c r="B1195" s="1" t="s">
        <v>1518</v>
      </c>
    </row>
    <row r="1196">
      <c r="A1196" s="1">
        <v>1195.0</v>
      </c>
      <c r="B1196" s="1" t="s">
        <v>1519</v>
      </c>
    </row>
    <row r="1197">
      <c r="A1197" s="1">
        <v>1196.0</v>
      </c>
      <c r="B1197" s="1" t="s">
        <v>1520</v>
      </c>
    </row>
    <row r="1198">
      <c r="A1198" s="1">
        <v>1197.0</v>
      </c>
      <c r="B1198" s="1" t="s">
        <v>1521</v>
      </c>
    </row>
    <row r="1199">
      <c r="A1199" s="1">
        <v>1198.0</v>
      </c>
      <c r="B1199" s="1" t="s">
        <v>1522</v>
      </c>
    </row>
    <row r="1200">
      <c r="A1200" s="1">
        <v>1199.0</v>
      </c>
      <c r="B1200" s="1" t="s">
        <v>1523</v>
      </c>
    </row>
    <row r="1201">
      <c r="A1201" s="1">
        <v>1200.0</v>
      </c>
      <c r="B1201" s="1" t="s">
        <v>1524</v>
      </c>
    </row>
    <row r="1202">
      <c r="A1202" s="1">
        <v>1201.0</v>
      </c>
      <c r="B1202" s="1" t="s">
        <v>1525</v>
      </c>
    </row>
    <row r="1203">
      <c r="A1203" s="1">
        <v>1202.0</v>
      </c>
      <c r="B1203" s="1" t="s">
        <v>1526</v>
      </c>
    </row>
    <row r="1204">
      <c r="A1204" s="1">
        <v>1203.0</v>
      </c>
      <c r="B1204" s="1" t="s">
        <v>1527</v>
      </c>
    </row>
    <row r="1205">
      <c r="A1205" s="1">
        <v>1204.0</v>
      </c>
      <c r="B1205" s="1" t="s">
        <v>1528</v>
      </c>
    </row>
    <row r="1206">
      <c r="A1206" s="1">
        <v>1205.0</v>
      </c>
      <c r="B1206" s="1" t="s">
        <v>1529</v>
      </c>
    </row>
    <row r="1207">
      <c r="A1207" s="1">
        <v>1206.0</v>
      </c>
      <c r="B1207" s="1" t="s">
        <v>1530</v>
      </c>
    </row>
    <row r="1208">
      <c r="A1208" s="1">
        <v>1207.0</v>
      </c>
      <c r="B1208" s="1" t="s">
        <v>1531</v>
      </c>
    </row>
    <row r="1209">
      <c r="A1209" s="1">
        <v>1208.0</v>
      </c>
      <c r="B1209" s="1" t="s">
        <v>1532</v>
      </c>
    </row>
    <row r="1210">
      <c r="A1210" s="1">
        <v>1209.0</v>
      </c>
      <c r="B1210" s="1" t="s">
        <v>1533</v>
      </c>
    </row>
    <row r="1211">
      <c r="A1211" s="1">
        <v>1210.0</v>
      </c>
      <c r="B1211" s="1" t="s">
        <v>1534</v>
      </c>
    </row>
    <row r="1212">
      <c r="A1212" s="1">
        <v>1211.0</v>
      </c>
      <c r="B1212" s="1" t="s">
        <v>1535</v>
      </c>
    </row>
    <row r="1213">
      <c r="A1213" s="1">
        <v>1212.0</v>
      </c>
      <c r="B1213" s="1" t="s">
        <v>1536</v>
      </c>
    </row>
    <row r="1214">
      <c r="A1214" s="1">
        <v>1213.0</v>
      </c>
      <c r="B1214" s="1" t="s">
        <v>1537</v>
      </c>
    </row>
    <row r="1215">
      <c r="A1215" s="1">
        <v>1214.0</v>
      </c>
      <c r="B1215" s="1" t="s">
        <v>1538</v>
      </c>
    </row>
    <row r="1216">
      <c r="A1216" s="1">
        <v>1215.0</v>
      </c>
      <c r="B1216" s="1" t="s">
        <v>1539</v>
      </c>
    </row>
    <row r="1217">
      <c r="A1217" s="1">
        <v>1216.0</v>
      </c>
      <c r="B1217" s="1" t="s">
        <v>1540</v>
      </c>
    </row>
    <row r="1218">
      <c r="A1218" s="1">
        <v>1217.0</v>
      </c>
      <c r="B1218" s="1" t="s">
        <v>1541</v>
      </c>
    </row>
    <row r="1219">
      <c r="A1219" s="1">
        <v>1218.0</v>
      </c>
      <c r="B1219" s="1" t="s">
        <v>1542</v>
      </c>
    </row>
    <row r="1220">
      <c r="A1220" s="1">
        <v>1219.0</v>
      </c>
      <c r="B1220" s="1" t="s">
        <v>1543</v>
      </c>
    </row>
    <row r="1221">
      <c r="A1221" s="1">
        <v>1220.0</v>
      </c>
      <c r="B1221" s="1" t="s">
        <v>1544</v>
      </c>
    </row>
    <row r="1222">
      <c r="A1222" s="1">
        <v>1221.0</v>
      </c>
      <c r="B1222" s="1" t="s">
        <v>1545</v>
      </c>
    </row>
    <row r="1223">
      <c r="A1223" s="1">
        <v>1222.0</v>
      </c>
      <c r="B1223" s="1" t="s">
        <v>1546</v>
      </c>
    </row>
    <row r="1224">
      <c r="A1224" s="1">
        <v>1223.0</v>
      </c>
      <c r="B1224" s="1" t="s">
        <v>1547</v>
      </c>
    </row>
    <row r="1225">
      <c r="A1225" s="1">
        <v>1224.0</v>
      </c>
      <c r="B1225" s="1" t="s">
        <v>1548</v>
      </c>
    </row>
    <row r="1226">
      <c r="A1226" s="1">
        <v>1225.0</v>
      </c>
      <c r="B1226" s="1" t="s">
        <v>1549</v>
      </c>
    </row>
    <row r="1227">
      <c r="A1227" s="1">
        <v>1226.0</v>
      </c>
      <c r="B1227" s="1" t="s">
        <v>1550</v>
      </c>
    </row>
    <row r="1228">
      <c r="A1228" s="1">
        <v>1227.0</v>
      </c>
      <c r="B1228" s="1" t="s">
        <v>1551</v>
      </c>
    </row>
    <row r="1229">
      <c r="A1229" s="1">
        <v>1228.0</v>
      </c>
      <c r="B1229" s="1" t="s">
        <v>1552</v>
      </c>
    </row>
    <row r="1230">
      <c r="A1230" s="1">
        <v>1229.0</v>
      </c>
      <c r="B1230" s="1" t="s">
        <v>1553</v>
      </c>
    </row>
    <row r="1231">
      <c r="A1231" s="1">
        <v>1230.0</v>
      </c>
      <c r="B1231" s="1" t="s">
        <v>1554</v>
      </c>
    </row>
    <row r="1232">
      <c r="A1232" s="1">
        <v>1231.0</v>
      </c>
      <c r="B1232" s="1" t="s">
        <v>1555</v>
      </c>
    </row>
    <row r="1233">
      <c r="A1233" s="1">
        <v>1232.0</v>
      </c>
      <c r="B1233" s="1" t="s">
        <v>1556</v>
      </c>
    </row>
    <row r="1234">
      <c r="A1234" s="1">
        <v>1233.0</v>
      </c>
      <c r="B1234" s="1" t="s">
        <v>1557</v>
      </c>
    </row>
    <row r="1235">
      <c r="A1235" s="1">
        <v>1234.0</v>
      </c>
      <c r="B1235" s="1" t="s">
        <v>1558</v>
      </c>
    </row>
    <row r="1236">
      <c r="A1236" s="1">
        <v>1235.0</v>
      </c>
      <c r="B1236" s="1" t="s">
        <v>1559</v>
      </c>
    </row>
    <row r="1237">
      <c r="A1237" s="1">
        <v>1236.0</v>
      </c>
      <c r="B1237" s="1" t="s">
        <v>1560</v>
      </c>
    </row>
    <row r="1238">
      <c r="A1238" s="1">
        <v>1237.0</v>
      </c>
      <c r="B1238" s="1" t="s">
        <v>1561</v>
      </c>
    </row>
    <row r="1239">
      <c r="A1239" s="1">
        <v>1238.0</v>
      </c>
      <c r="B1239" s="1" t="s">
        <v>1562</v>
      </c>
    </row>
    <row r="1240">
      <c r="A1240" s="1">
        <v>1239.0</v>
      </c>
      <c r="B1240" s="1" t="s">
        <v>1563</v>
      </c>
    </row>
    <row r="1241">
      <c r="A1241" s="1">
        <v>1240.0</v>
      </c>
      <c r="B1241" s="1" t="s">
        <v>1564</v>
      </c>
    </row>
    <row r="1242">
      <c r="A1242" s="1">
        <v>1241.0</v>
      </c>
      <c r="B1242" s="1" t="s">
        <v>1565</v>
      </c>
    </row>
    <row r="1243">
      <c r="A1243" s="1">
        <v>1242.0</v>
      </c>
      <c r="B1243" s="1" t="s">
        <v>1566</v>
      </c>
    </row>
    <row r="1244">
      <c r="A1244" s="1">
        <v>1243.0</v>
      </c>
      <c r="B1244" s="1" t="s">
        <v>1567</v>
      </c>
    </row>
    <row r="1245">
      <c r="A1245" s="1">
        <v>1244.0</v>
      </c>
      <c r="B1245" s="1" t="s">
        <v>1568</v>
      </c>
    </row>
    <row r="1246">
      <c r="A1246" s="1">
        <v>1245.0</v>
      </c>
      <c r="B1246" s="1" t="s">
        <v>1569</v>
      </c>
    </row>
    <row r="1247">
      <c r="A1247" s="1">
        <v>1246.0</v>
      </c>
      <c r="B1247" s="1" t="s">
        <v>1570</v>
      </c>
    </row>
    <row r="1248">
      <c r="A1248" s="1">
        <v>1247.0</v>
      </c>
      <c r="B1248" s="1" t="s">
        <v>1571</v>
      </c>
    </row>
    <row r="1249">
      <c r="A1249" s="1">
        <v>1248.0</v>
      </c>
      <c r="B1249" s="1" t="s">
        <v>1572</v>
      </c>
    </row>
    <row r="1250">
      <c r="A1250" s="1">
        <v>1249.0</v>
      </c>
      <c r="B1250" s="1" t="s">
        <v>1573</v>
      </c>
    </row>
    <row r="1251">
      <c r="A1251" s="1">
        <v>1250.0</v>
      </c>
      <c r="B1251" s="1" t="s">
        <v>1574</v>
      </c>
    </row>
    <row r="1252">
      <c r="A1252" s="1">
        <v>1251.0</v>
      </c>
      <c r="B1252" s="1" t="s">
        <v>1575</v>
      </c>
    </row>
    <row r="1253">
      <c r="A1253" s="1">
        <v>1252.0</v>
      </c>
      <c r="B1253" s="1" t="s">
        <v>1576</v>
      </c>
    </row>
    <row r="1254">
      <c r="A1254" s="1">
        <v>1253.0</v>
      </c>
      <c r="B1254" s="1" t="s">
        <v>1577</v>
      </c>
    </row>
    <row r="1255">
      <c r="A1255" s="1">
        <v>1254.0</v>
      </c>
      <c r="B1255" s="1" t="s">
        <v>1578</v>
      </c>
    </row>
    <row r="1256">
      <c r="A1256" s="1">
        <v>1255.0</v>
      </c>
      <c r="B1256" s="1" t="s">
        <v>1579</v>
      </c>
    </row>
    <row r="1257">
      <c r="A1257" s="1">
        <v>1256.0</v>
      </c>
      <c r="B1257" s="1" t="s">
        <v>1580</v>
      </c>
    </row>
    <row r="1258">
      <c r="A1258" s="1">
        <v>1257.0</v>
      </c>
      <c r="B1258" s="1" t="s">
        <v>1581</v>
      </c>
    </row>
    <row r="1259">
      <c r="A1259" s="1">
        <v>1258.0</v>
      </c>
      <c r="B1259" s="1" t="s">
        <v>1582</v>
      </c>
    </row>
    <row r="1260">
      <c r="A1260" s="1">
        <v>1259.0</v>
      </c>
      <c r="B1260" s="1" t="s">
        <v>1583</v>
      </c>
    </row>
    <row r="1261">
      <c r="A1261" s="1">
        <v>1260.0</v>
      </c>
      <c r="B1261" s="1" t="s">
        <v>1584</v>
      </c>
    </row>
    <row r="1262">
      <c r="A1262" s="1">
        <v>1261.0</v>
      </c>
      <c r="B1262" s="1" t="s">
        <v>1585</v>
      </c>
    </row>
    <row r="1263">
      <c r="A1263" s="1">
        <v>1262.0</v>
      </c>
      <c r="B1263" s="1" t="s">
        <v>1586</v>
      </c>
    </row>
    <row r="1264">
      <c r="A1264" s="1">
        <v>1263.0</v>
      </c>
      <c r="B1264" s="1" t="s">
        <v>1587</v>
      </c>
    </row>
    <row r="1265">
      <c r="A1265" s="1">
        <v>1264.0</v>
      </c>
      <c r="B1265" s="1" t="s">
        <v>1588</v>
      </c>
    </row>
    <row r="1266">
      <c r="A1266" s="1">
        <v>1265.0</v>
      </c>
      <c r="B1266" s="1" t="s">
        <v>1589</v>
      </c>
    </row>
    <row r="1267">
      <c r="A1267" s="1">
        <v>1266.0</v>
      </c>
      <c r="B1267" s="1" t="s">
        <v>1590</v>
      </c>
    </row>
    <row r="1268">
      <c r="A1268" s="1">
        <v>1267.0</v>
      </c>
      <c r="B1268" s="1" t="s">
        <v>1591</v>
      </c>
    </row>
    <row r="1269">
      <c r="A1269" s="1">
        <v>1268.0</v>
      </c>
      <c r="B1269" s="1" t="s">
        <v>1592</v>
      </c>
    </row>
    <row r="1270">
      <c r="A1270" s="1">
        <v>1269.0</v>
      </c>
      <c r="B1270" s="1" t="s">
        <v>1593</v>
      </c>
    </row>
    <row r="1271">
      <c r="A1271" s="1">
        <v>1270.0</v>
      </c>
      <c r="B1271" s="1" t="s">
        <v>1594</v>
      </c>
    </row>
    <row r="1272">
      <c r="A1272" s="1">
        <v>1271.0</v>
      </c>
      <c r="B1272" s="1" t="s">
        <v>1595</v>
      </c>
    </row>
    <row r="1273">
      <c r="A1273" s="1">
        <v>1272.0</v>
      </c>
      <c r="B1273" s="1" t="s">
        <v>1596</v>
      </c>
    </row>
    <row r="1274">
      <c r="A1274" s="1">
        <v>1273.0</v>
      </c>
      <c r="B1274" s="1" t="s">
        <v>1597</v>
      </c>
    </row>
    <row r="1275">
      <c r="A1275" s="1">
        <v>1274.0</v>
      </c>
      <c r="B1275" s="1" t="s">
        <v>1598</v>
      </c>
    </row>
    <row r="1276">
      <c r="A1276" s="1">
        <v>1275.0</v>
      </c>
      <c r="B1276" s="1" t="s">
        <v>1599</v>
      </c>
    </row>
    <row r="1277">
      <c r="A1277" s="1">
        <v>1276.0</v>
      </c>
      <c r="B1277" s="1" t="s">
        <v>1600</v>
      </c>
    </row>
    <row r="1278">
      <c r="A1278" s="1">
        <v>1277.0</v>
      </c>
      <c r="B1278" s="1" t="s">
        <v>1601</v>
      </c>
    </row>
    <row r="1279">
      <c r="A1279" s="1">
        <v>1278.0</v>
      </c>
      <c r="B1279" s="1" t="s">
        <v>1602</v>
      </c>
    </row>
    <row r="1280">
      <c r="A1280" s="1">
        <v>1279.0</v>
      </c>
      <c r="B1280" s="1" t="s">
        <v>1603</v>
      </c>
    </row>
    <row r="1281">
      <c r="A1281" s="1">
        <v>1280.0</v>
      </c>
      <c r="B1281" s="1" t="s">
        <v>1604</v>
      </c>
    </row>
    <row r="1282">
      <c r="A1282" s="1">
        <v>1281.0</v>
      </c>
      <c r="B1282" s="1" t="s">
        <v>1605</v>
      </c>
    </row>
    <row r="1283">
      <c r="A1283" s="1">
        <v>1282.0</v>
      </c>
      <c r="B1283" s="1" t="s">
        <v>1606</v>
      </c>
    </row>
    <row r="1284">
      <c r="A1284" s="1">
        <v>1283.0</v>
      </c>
      <c r="B1284" s="1" t="s">
        <v>1607</v>
      </c>
    </row>
    <row r="1285">
      <c r="A1285" s="1">
        <v>1284.0</v>
      </c>
      <c r="B1285" s="1" t="s">
        <v>1608</v>
      </c>
    </row>
    <row r="1286">
      <c r="A1286" s="1">
        <v>1285.0</v>
      </c>
      <c r="B1286" s="1" t="s">
        <v>1609</v>
      </c>
    </row>
    <row r="1287">
      <c r="A1287" s="1">
        <v>1286.0</v>
      </c>
      <c r="B1287" s="1" t="s">
        <v>1610</v>
      </c>
    </row>
    <row r="1288">
      <c r="A1288" s="1">
        <v>1287.0</v>
      </c>
      <c r="B1288" s="1" t="s">
        <v>1611</v>
      </c>
    </row>
    <row r="1289">
      <c r="A1289" s="1">
        <v>1288.0</v>
      </c>
      <c r="B1289" s="1" t="s">
        <v>1612</v>
      </c>
    </row>
    <row r="1290">
      <c r="A1290" s="1">
        <v>1289.0</v>
      </c>
      <c r="B1290" s="1" t="s">
        <v>1613</v>
      </c>
    </row>
    <row r="1291">
      <c r="A1291" s="1">
        <v>1290.0</v>
      </c>
      <c r="B1291" s="1" t="s">
        <v>1614</v>
      </c>
    </row>
    <row r="1292">
      <c r="A1292" s="1">
        <v>1291.0</v>
      </c>
      <c r="B1292" s="1" t="s">
        <v>1615</v>
      </c>
    </row>
    <row r="1293">
      <c r="A1293" s="1">
        <v>1292.0</v>
      </c>
      <c r="B1293" s="1" t="s">
        <v>1616</v>
      </c>
    </row>
    <row r="1294">
      <c r="A1294" s="1">
        <v>1293.0</v>
      </c>
      <c r="B1294" s="1" t="s">
        <v>1617</v>
      </c>
    </row>
    <row r="1295">
      <c r="A1295" s="1">
        <v>1294.0</v>
      </c>
      <c r="B1295" s="1" t="s">
        <v>1618</v>
      </c>
    </row>
    <row r="1296">
      <c r="A1296" s="1">
        <v>1295.0</v>
      </c>
      <c r="B1296" s="1" t="s">
        <v>1619</v>
      </c>
    </row>
    <row r="1297">
      <c r="A1297" s="1">
        <v>1296.0</v>
      </c>
      <c r="B1297" s="1" t="s">
        <v>1620</v>
      </c>
    </row>
    <row r="1298">
      <c r="A1298" s="1">
        <v>1297.0</v>
      </c>
      <c r="B1298" s="1" t="s">
        <v>1621</v>
      </c>
    </row>
    <row r="1299">
      <c r="A1299" s="1">
        <v>1298.0</v>
      </c>
      <c r="B1299" s="1" t="s">
        <v>1622</v>
      </c>
    </row>
    <row r="1300">
      <c r="A1300" s="1">
        <v>1299.0</v>
      </c>
      <c r="B1300" s="1" t="s">
        <v>1623</v>
      </c>
    </row>
    <row r="1301">
      <c r="A1301" s="1">
        <v>1300.0</v>
      </c>
      <c r="B1301" s="1" t="s">
        <v>1624</v>
      </c>
    </row>
    <row r="1302">
      <c r="A1302" s="1">
        <v>1301.0</v>
      </c>
      <c r="B1302" s="1" t="s">
        <v>1625</v>
      </c>
    </row>
    <row r="1303">
      <c r="A1303" s="1">
        <v>1302.0</v>
      </c>
      <c r="B1303" s="1" t="s">
        <v>1626</v>
      </c>
    </row>
    <row r="1304">
      <c r="A1304" s="1">
        <v>1303.0</v>
      </c>
      <c r="B1304" s="1" t="s">
        <v>1627</v>
      </c>
    </row>
    <row r="1305">
      <c r="A1305" s="1">
        <v>1304.0</v>
      </c>
      <c r="B1305" s="1" t="s">
        <v>1628</v>
      </c>
    </row>
    <row r="1306">
      <c r="A1306" s="1">
        <v>1305.0</v>
      </c>
      <c r="B1306" s="1" t="s">
        <v>1629</v>
      </c>
    </row>
    <row r="1307">
      <c r="A1307" s="1">
        <v>1306.0</v>
      </c>
      <c r="B1307" s="1" t="s">
        <v>1630</v>
      </c>
    </row>
    <row r="1308">
      <c r="A1308" s="1">
        <v>1307.0</v>
      </c>
      <c r="B1308" s="1" t="s">
        <v>1631</v>
      </c>
    </row>
    <row r="1309">
      <c r="A1309" s="1">
        <v>1308.0</v>
      </c>
      <c r="B1309" s="1" t="s">
        <v>1632</v>
      </c>
    </row>
    <row r="1310">
      <c r="A1310" s="1">
        <v>1309.0</v>
      </c>
      <c r="B1310" s="1" t="s">
        <v>1633</v>
      </c>
    </row>
    <row r="1311">
      <c r="A1311" s="1">
        <v>1310.0</v>
      </c>
      <c r="B1311" s="1" t="s">
        <v>1634</v>
      </c>
    </row>
    <row r="1312">
      <c r="A1312" s="1">
        <v>1311.0</v>
      </c>
      <c r="B1312" s="1" t="s">
        <v>1635</v>
      </c>
    </row>
    <row r="1313">
      <c r="A1313" s="1">
        <v>1312.0</v>
      </c>
      <c r="B1313" s="1" t="s">
        <v>1636</v>
      </c>
    </row>
    <row r="1314">
      <c r="A1314" s="1">
        <v>1313.0</v>
      </c>
      <c r="B1314" s="1" t="s">
        <v>1637</v>
      </c>
    </row>
    <row r="1315">
      <c r="A1315" s="1">
        <v>1314.0</v>
      </c>
      <c r="B1315" s="1" t="s">
        <v>1638</v>
      </c>
    </row>
    <row r="1316">
      <c r="A1316" s="1">
        <v>1315.0</v>
      </c>
      <c r="B1316" s="1" t="s">
        <v>1639</v>
      </c>
    </row>
    <row r="1317">
      <c r="A1317" s="1">
        <v>1316.0</v>
      </c>
      <c r="B1317" s="1" t="s">
        <v>1640</v>
      </c>
    </row>
    <row r="1318">
      <c r="A1318" s="1">
        <v>1317.0</v>
      </c>
      <c r="B1318" s="1" t="s">
        <v>1641</v>
      </c>
    </row>
    <row r="1319">
      <c r="A1319" s="1">
        <v>1318.0</v>
      </c>
      <c r="B1319" s="1" t="s">
        <v>1642</v>
      </c>
    </row>
    <row r="1320">
      <c r="A1320" s="1">
        <v>1319.0</v>
      </c>
      <c r="B1320" s="1" t="s">
        <v>1643</v>
      </c>
    </row>
    <row r="1321">
      <c r="A1321" s="1">
        <v>1320.0</v>
      </c>
      <c r="B1321" s="1" t="s">
        <v>1644</v>
      </c>
    </row>
    <row r="1322">
      <c r="A1322" s="1">
        <v>1321.0</v>
      </c>
      <c r="B1322" s="1" t="s">
        <v>1645</v>
      </c>
    </row>
    <row r="1323">
      <c r="A1323" s="1">
        <v>1322.0</v>
      </c>
      <c r="B1323" s="1" t="s">
        <v>1646</v>
      </c>
    </row>
    <row r="1324">
      <c r="A1324" s="1">
        <v>1323.0</v>
      </c>
      <c r="B1324" s="1" t="s">
        <v>1647</v>
      </c>
    </row>
    <row r="1325">
      <c r="A1325" s="1">
        <v>1324.0</v>
      </c>
      <c r="B1325" s="1" t="s">
        <v>1648</v>
      </c>
    </row>
    <row r="1326">
      <c r="A1326" s="1">
        <v>1325.0</v>
      </c>
      <c r="B1326" s="1" t="s">
        <v>1649</v>
      </c>
    </row>
    <row r="1327">
      <c r="A1327" s="1">
        <v>1326.0</v>
      </c>
      <c r="B1327" s="1" t="s">
        <v>1650</v>
      </c>
    </row>
    <row r="1328">
      <c r="A1328" s="1">
        <v>1327.0</v>
      </c>
      <c r="B1328" s="1" t="s">
        <v>1651</v>
      </c>
    </row>
    <row r="1329">
      <c r="A1329" s="1">
        <v>1328.0</v>
      </c>
      <c r="B1329" s="1" t="s">
        <v>1652</v>
      </c>
    </row>
    <row r="1330">
      <c r="A1330" s="1">
        <v>1329.0</v>
      </c>
      <c r="B1330" s="1" t="s">
        <v>1653</v>
      </c>
    </row>
    <row r="1331">
      <c r="A1331" s="1">
        <v>1330.0</v>
      </c>
      <c r="B1331" s="1" t="s">
        <v>1654</v>
      </c>
    </row>
    <row r="1332">
      <c r="A1332" s="1">
        <v>1331.0</v>
      </c>
      <c r="B1332" s="1" t="s">
        <v>1655</v>
      </c>
    </row>
    <row r="1333">
      <c r="A1333" s="1">
        <v>1332.0</v>
      </c>
      <c r="B1333" s="1" t="s">
        <v>1656</v>
      </c>
    </row>
    <row r="1334">
      <c r="A1334" s="1">
        <v>1333.0</v>
      </c>
      <c r="B1334" s="1" t="s">
        <v>1657</v>
      </c>
    </row>
    <row r="1335">
      <c r="A1335" s="1">
        <v>1334.0</v>
      </c>
      <c r="B1335" s="1" t="s">
        <v>1658</v>
      </c>
    </row>
    <row r="1336">
      <c r="A1336" s="1">
        <v>1335.0</v>
      </c>
      <c r="B1336" s="1" t="s">
        <v>1659</v>
      </c>
    </row>
    <row r="1337">
      <c r="A1337" s="1">
        <v>1336.0</v>
      </c>
      <c r="B1337" s="1" t="s">
        <v>1660</v>
      </c>
    </row>
    <row r="1338">
      <c r="A1338" s="1">
        <v>1337.0</v>
      </c>
      <c r="B1338" s="1" t="s">
        <v>1661</v>
      </c>
    </row>
    <row r="1339">
      <c r="A1339" s="1">
        <v>1338.0</v>
      </c>
      <c r="B1339" s="1" t="s">
        <v>1662</v>
      </c>
    </row>
    <row r="1340">
      <c r="A1340" s="1">
        <v>1339.0</v>
      </c>
      <c r="B1340" s="1" t="s">
        <v>1663</v>
      </c>
    </row>
    <row r="1341">
      <c r="A1341" s="1">
        <v>1340.0</v>
      </c>
      <c r="B1341" s="1" t="s">
        <v>1664</v>
      </c>
    </row>
    <row r="1342">
      <c r="A1342" s="1">
        <v>1341.0</v>
      </c>
      <c r="B1342" s="1" t="s">
        <v>1665</v>
      </c>
    </row>
    <row r="1343">
      <c r="A1343" s="1">
        <v>1342.0</v>
      </c>
      <c r="B1343" s="1" t="s">
        <v>1666</v>
      </c>
    </row>
    <row r="1344">
      <c r="A1344" s="1">
        <v>1343.0</v>
      </c>
      <c r="B1344" s="1" t="s">
        <v>1667</v>
      </c>
    </row>
    <row r="1345">
      <c r="A1345" s="1">
        <v>1344.0</v>
      </c>
      <c r="B1345" s="1" t="s">
        <v>1668</v>
      </c>
    </row>
    <row r="1346">
      <c r="A1346" s="1">
        <v>1345.0</v>
      </c>
      <c r="B1346" s="1" t="s">
        <v>1669</v>
      </c>
    </row>
    <row r="1347">
      <c r="A1347" s="1">
        <v>1346.0</v>
      </c>
      <c r="B1347" s="1" t="s">
        <v>1670</v>
      </c>
    </row>
    <row r="1348">
      <c r="A1348" s="1">
        <v>1347.0</v>
      </c>
      <c r="B1348" s="1" t="s">
        <v>1671</v>
      </c>
    </row>
    <row r="1349">
      <c r="A1349" s="1">
        <v>1348.0</v>
      </c>
      <c r="B1349" s="1" t="s">
        <v>1672</v>
      </c>
    </row>
    <row r="1350">
      <c r="A1350" s="1">
        <v>1349.0</v>
      </c>
      <c r="B1350" s="1" t="s">
        <v>1673</v>
      </c>
    </row>
    <row r="1351">
      <c r="A1351" s="1">
        <v>1350.0</v>
      </c>
      <c r="B1351" s="1" t="s">
        <v>1674</v>
      </c>
    </row>
    <row r="1352">
      <c r="A1352" s="1">
        <v>1351.0</v>
      </c>
      <c r="B1352" s="1" t="s">
        <v>1675</v>
      </c>
    </row>
    <row r="1353">
      <c r="A1353" s="1">
        <v>1352.0</v>
      </c>
      <c r="B1353" s="1" t="s">
        <v>1676</v>
      </c>
    </row>
    <row r="1354">
      <c r="A1354" s="1">
        <v>1353.0</v>
      </c>
      <c r="B1354" s="1" t="s">
        <v>1677</v>
      </c>
    </row>
    <row r="1355">
      <c r="A1355" s="1">
        <v>1354.0</v>
      </c>
      <c r="B1355" s="1" t="s">
        <v>1678</v>
      </c>
    </row>
    <row r="1356">
      <c r="A1356" s="1">
        <v>1355.0</v>
      </c>
      <c r="B1356" s="1" t="s">
        <v>1679</v>
      </c>
    </row>
    <row r="1357">
      <c r="A1357" s="1">
        <v>1356.0</v>
      </c>
      <c r="B1357" s="1" t="s">
        <v>1680</v>
      </c>
    </row>
    <row r="1358">
      <c r="A1358" s="1">
        <v>1357.0</v>
      </c>
      <c r="B1358" s="1" t="s">
        <v>1681</v>
      </c>
    </row>
    <row r="1359">
      <c r="A1359" s="1">
        <v>1358.0</v>
      </c>
      <c r="B1359" s="1" t="s">
        <v>1682</v>
      </c>
    </row>
    <row r="1360">
      <c r="A1360" s="1">
        <v>1359.0</v>
      </c>
      <c r="B1360" s="1" t="s">
        <v>1683</v>
      </c>
    </row>
    <row r="1361">
      <c r="A1361" s="1">
        <v>1360.0</v>
      </c>
      <c r="B1361" s="1" t="s">
        <v>1684</v>
      </c>
    </row>
    <row r="1362">
      <c r="A1362" s="1">
        <v>1361.0</v>
      </c>
      <c r="B1362" s="1" t="s">
        <v>1685</v>
      </c>
    </row>
    <row r="1363">
      <c r="A1363" s="1">
        <v>1362.0</v>
      </c>
      <c r="B1363" s="1" t="s">
        <v>1686</v>
      </c>
    </row>
    <row r="1364">
      <c r="A1364" s="1">
        <v>1363.0</v>
      </c>
      <c r="B1364" s="1" t="s">
        <v>1687</v>
      </c>
    </row>
    <row r="1365">
      <c r="A1365" s="1">
        <v>1364.0</v>
      </c>
      <c r="B1365" s="1" t="s">
        <v>1688</v>
      </c>
    </row>
    <row r="1366">
      <c r="A1366" s="1">
        <v>1365.0</v>
      </c>
      <c r="B1366" s="1" t="s">
        <v>1689</v>
      </c>
    </row>
    <row r="1367">
      <c r="A1367" s="1">
        <v>1366.0</v>
      </c>
      <c r="B1367" s="1" t="s">
        <v>1690</v>
      </c>
    </row>
    <row r="1368">
      <c r="A1368" s="1">
        <v>1367.0</v>
      </c>
      <c r="B1368" s="1" t="s">
        <v>1691</v>
      </c>
    </row>
    <row r="1369">
      <c r="A1369" s="1">
        <v>1368.0</v>
      </c>
      <c r="B1369" s="1" t="s">
        <v>1692</v>
      </c>
    </row>
    <row r="1370">
      <c r="A1370" s="1">
        <v>1369.0</v>
      </c>
      <c r="B1370" s="1" t="s">
        <v>1693</v>
      </c>
    </row>
    <row r="1371">
      <c r="A1371" s="1">
        <v>1370.0</v>
      </c>
      <c r="B1371" s="1" t="s">
        <v>1694</v>
      </c>
    </row>
    <row r="1372">
      <c r="A1372" s="1">
        <v>1371.0</v>
      </c>
      <c r="B1372" s="1" t="s">
        <v>1695</v>
      </c>
    </row>
    <row r="1373">
      <c r="A1373" s="1">
        <v>1372.0</v>
      </c>
      <c r="B1373" s="1" t="s">
        <v>1696</v>
      </c>
    </row>
    <row r="1374">
      <c r="A1374" s="1">
        <v>1373.0</v>
      </c>
      <c r="B1374" s="1" t="s">
        <v>1697</v>
      </c>
    </row>
    <row r="1375">
      <c r="A1375" s="1">
        <v>1374.0</v>
      </c>
      <c r="B1375" s="1" t="s">
        <v>1698</v>
      </c>
    </row>
    <row r="1376">
      <c r="A1376" s="1">
        <v>1375.0</v>
      </c>
      <c r="B1376" s="1" t="s">
        <v>1699</v>
      </c>
    </row>
    <row r="1377">
      <c r="A1377" s="1">
        <v>1376.0</v>
      </c>
      <c r="B1377" s="1" t="s">
        <v>1700</v>
      </c>
    </row>
    <row r="1378">
      <c r="A1378" s="1">
        <v>1377.0</v>
      </c>
      <c r="B1378" s="1" t="s">
        <v>1701</v>
      </c>
    </row>
    <row r="1379">
      <c r="A1379" s="1">
        <v>1378.0</v>
      </c>
      <c r="B1379" s="1" t="s">
        <v>1702</v>
      </c>
    </row>
    <row r="1380">
      <c r="A1380" s="1">
        <v>1379.0</v>
      </c>
      <c r="B1380" s="1" t="s">
        <v>1703</v>
      </c>
    </row>
    <row r="1381">
      <c r="A1381" s="1">
        <v>1380.0</v>
      </c>
      <c r="B1381" s="1" t="s">
        <v>1704</v>
      </c>
    </row>
    <row r="1382">
      <c r="A1382" s="1">
        <v>1381.0</v>
      </c>
      <c r="B1382" s="1" t="s">
        <v>1705</v>
      </c>
    </row>
    <row r="1383">
      <c r="A1383" s="1">
        <v>1382.0</v>
      </c>
      <c r="B1383" s="1" t="s">
        <v>1706</v>
      </c>
    </row>
    <row r="1384">
      <c r="A1384" s="1">
        <v>1383.0</v>
      </c>
      <c r="B1384" s="1" t="s">
        <v>1707</v>
      </c>
    </row>
    <row r="1385">
      <c r="A1385" s="1">
        <v>1384.0</v>
      </c>
      <c r="B1385" s="1" t="s">
        <v>1708</v>
      </c>
    </row>
    <row r="1386">
      <c r="A1386" s="1">
        <v>1385.0</v>
      </c>
      <c r="B1386" s="1" t="s">
        <v>1709</v>
      </c>
    </row>
    <row r="1387">
      <c r="A1387" s="1">
        <v>1386.0</v>
      </c>
      <c r="B1387" s="1" t="s">
        <v>1710</v>
      </c>
    </row>
    <row r="1388">
      <c r="A1388" s="1">
        <v>1387.0</v>
      </c>
      <c r="B1388" s="1" t="s">
        <v>1711</v>
      </c>
    </row>
    <row r="1389">
      <c r="A1389" s="1">
        <v>1388.0</v>
      </c>
      <c r="B1389" s="1" t="s">
        <v>1712</v>
      </c>
    </row>
    <row r="1390">
      <c r="A1390" s="1">
        <v>1389.0</v>
      </c>
      <c r="B1390" s="1" t="s">
        <v>1713</v>
      </c>
    </row>
    <row r="1391">
      <c r="A1391" s="1">
        <v>1390.0</v>
      </c>
      <c r="B1391" s="1" t="s">
        <v>1714</v>
      </c>
    </row>
    <row r="1392">
      <c r="A1392" s="1">
        <v>1391.0</v>
      </c>
      <c r="B1392" s="1" t="s">
        <v>1715</v>
      </c>
    </row>
    <row r="1393">
      <c r="A1393" s="1">
        <v>1392.0</v>
      </c>
      <c r="B1393" s="1" t="s">
        <v>1716</v>
      </c>
    </row>
    <row r="1394">
      <c r="A1394" s="1">
        <v>1393.0</v>
      </c>
      <c r="B1394" s="1" t="s">
        <v>1717</v>
      </c>
    </row>
    <row r="1395">
      <c r="A1395" s="1">
        <v>1394.0</v>
      </c>
      <c r="B1395" s="1" t="s">
        <v>1718</v>
      </c>
    </row>
    <row r="1396">
      <c r="A1396" s="1">
        <v>1395.0</v>
      </c>
      <c r="B1396" s="1" t="s">
        <v>1719</v>
      </c>
    </row>
    <row r="1397">
      <c r="A1397" s="1">
        <v>1396.0</v>
      </c>
      <c r="B1397" s="1" t="s">
        <v>1720</v>
      </c>
    </row>
    <row r="1398">
      <c r="A1398" s="1">
        <v>1397.0</v>
      </c>
      <c r="B1398" s="1" t="s">
        <v>1721</v>
      </c>
    </row>
    <row r="1399">
      <c r="A1399" s="1">
        <v>1398.0</v>
      </c>
      <c r="B1399" s="1" t="s">
        <v>1722</v>
      </c>
    </row>
    <row r="1400">
      <c r="A1400" s="1">
        <v>1399.0</v>
      </c>
      <c r="B1400" s="1" t="s">
        <v>1723</v>
      </c>
    </row>
    <row r="1401">
      <c r="A1401" s="1">
        <v>1400.0</v>
      </c>
      <c r="B1401" s="1" t="s">
        <v>1724</v>
      </c>
    </row>
    <row r="1402">
      <c r="A1402" s="1">
        <v>1401.0</v>
      </c>
      <c r="B1402" s="1" t="s">
        <v>1725</v>
      </c>
    </row>
    <row r="1403">
      <c r="A1403" s="1">
        <v>1402.0</v>
      </c>
      <c r="B1403" s="1" t="s">
        <v>1726</v>
      </c>
    </row>
    <row r="1404">
      <c r="A1404" s="1">
        <v>1403.0</v>
      </c>
      <c r="B1404" s="1" t="s">
        <v>1727</v>
      </c>
    </row>
    <row r="1405">
      <c r="A1405" s="1">
        <v>1404.0</v>
      </c>
      <c r="B1405" s="1" t="s">
        <v>1728</v>
      </c>
    </row>
    <row r="1406">
      <c r="A1406" s="1">
        <v>1405.0</v>
      </c>
      <c r="B1406" s="1" t="s">
        <v>1729</v>
      </c>
    </row>
    <row r="1407">
      <c r="A1407" s="1">
        <v>1406.0</v>
      </c>
      <c r="B1407" s="1" t="s">
        <v>1730</v>
      </c>
    </row>
    <row r="1408">
      <c r="A1408" s="1">
        <v>1407.0</v>
      </c>
      <c r="B1408" s="1" t="s">
        <v>1731</v>
      </c>
    </row>
    <row r="1409">
      <c r="A1409" s="1">
        <v>1408.0</v>
      </c>
      <c r="B1409" s="1" t="s">
        <v>1732</v>
      </c>
    </row>
    <row r="1410">
      <c r="A1410" s="1">
        <v>1409.0</v>
      </c>
      <c r="B1410" s="1" t="s">
        <v>1733</v>
      </c>
    </row>
    <row r="1411">
      <c r="A1411" s="1">
        <v>1410.0</v>
      </c>
      <c r="B1411" s="1" t="s">
        <v>1734</v>
      </c>
    </row>
    <row r="1412">
      <c r="A1412" s="1">
        <v>1411.0</v>
      </c>
      <c r="B1412" s="1" t="s">
        <v>1735</v>
      </c>
    </row>
    <row r="1413">
      <c r="A1413" s="1">
        <v>1412.0</v>
      </c>
      <c r="B1413" s="1" t="s">
        <v>1736</v>
      </c>
    </row>
    <row r="1414">
      <c r="A1414" s="1">
        <v>1413.0</v>
      </c>
      <c r="B1414" s="1" t="s">
        <v>1737</v>
      </c>
    </row>
    <row r="1415">
      <c r="A1415" s="1">
        <v>1414.0</v>
      </c>
      <c r="B1415" s="1" t="s">
        <v>1738</v>
      </c>
    </row>
    <row r="1416">
      <c r="A1416" s="1">
        <v>1415.0</v>
      </c>
      <c r="B1416" s="1" t="s">
        <v>1739</v>
      </c>
    </row>
    <row r="1417">
      <c r="A1417" s="1">
        <v>1416.0</v>
      </c>
      <c r="B1417" s="1" t="s">
        <v>1740</v>
      </c>
    </row>
    <row r="1418">
      <c r="A1418" s="1">
        <v>1417.0</v>
      </c>
      <c r="B1418" s="1" t="s">
        <v>1741</v>
      </c>
    </row>
    <row r="1419">
      <c r="A1419" s="1">
        <v>1418.0</v>
      </c>
      <c r="B1419" s="1" t="s">
        <v>1742</v>
      </c>
    </row>
    <row r="1420">
      <c r="A1420" s="1">
        <v>1419.0</v>
      </c>
      <c r="B1420" s="1" t="s">
        <v>1743</v>
      </c>
    </row>
    <row r="1421">
      <c r="A1421" s="1">
        <v>1420.0</v>
      </c>
      <c r="B1421" s="1" t="s">
        <v>1744</v>
      </c>
    </row>
    <row r="1422">
      <c r="A1422" s="1">
        <v>1421.0</v>
      </c>
      <c r="B1422" s="1" t="s">
        <v>1745</v>
      </c>
    </row>
    <row r="1423">
      <c r="A1423" s="1">
        <v>1422.0</v>
      </c>
      <c r="B1423" s="1" t="s">
        <v>1746</v>
      </c>
    </row>
    <row r="1424">
      <c r="A1424" s="1">
        <v>1423.0</v>
      </c>
      <c r="B1424" s="1" t="s">
        <v>1747</v>
      </c>
    </row>
    <row r="1425">
      <c r="A1425" s="1">
        <v>1424.0</v>
      </c>
      <c r="B1425" s="1" t="s">
        <v>1748</v>
      </c>
    </row>
    <row r="1426">
      <c r="A1426" s="1">
        <v>1425.0</v>
      </c>
      <c r="B1426" s="1" t="s">
        <v>1749</v>
      </c>
    </row>
    <row r="1427">
      <c r="A1427" s="1">
        <v>1426.0</v>
      </c>
      <c r="B1427" s="1" t="s">
        <v>1750</v>
      </c>
    </row>
    <row r="1428">
      <c r="A1428" s="1">
        <v>1427.0</v>
      </c>
      <c r="B1428" s="1" t="s">
        <v>1751</v>
      </c>
    </row>
    <row r="1429">
      <c r="A1429" s="1">
        <v>1428.0</v>
      </c>
      <c r="B1429" s="1" t="s">
        <v>1752</v>
      </c>
    </row>
    <row r="1430">
      <c r="A1430" s="1">
        <v>1429.0</v>
      </c>
      <c r="B1430" s="1" t="s">
        <v>1753</v>
      </c>
    </row>
    <row r="1431">
      <c r="A1431" s="1">
        <v>1430.0</v>
      </c>
      <c r="B1431" s="1" t="s">
        <v>1754</v>
      </c>
    </row>
    <row r="1432">
      <c r="A1432" s="1">
        <v>1431.0</v>
      </c>
      <c r="B1432" s="1" t="s">
        <v>1755</v>
      </c>
    </row>
    <row r="1433">
      <c r="A1433" s="1">
        <v>1432.0</v>
      </c>
      <c r="B1433" s="1" t="s">
        <v>1756</v>
      </c>
    </row>
    <row r="1434">
      <c r="A1434" s="1">
        <v>1433.0</v>
      </c>
      <c r="B1434" s="1" t="s">
        <v>1757</v>
      </c>
    </row>
    <row r="1435">
      <c r="A1435" s="1">
        <v>1434.0</v>
      </c>
      <c r="B1435" s="1" t="s">
        <v>1758</v>
      </c>
    </row>
    <row r="1436">
      <c r="A1436" s="1">
        <v>1435.0</v>
      </c>
      <c r="B1436" s="1" t="s">
        <v>1759</v>
      </c>
    </row>
    <row r="1437">
      <c r="A1437" s="1">
        <v>1436.0</v>
      </c>
      <c r="B1437" s="1" t="s">
        <v>1760</v>
      </c>
    </row>
    <row r="1438">
      <c r="A1438" s="1">
        <v>1437.0</v>
      </c>
      <c r="B1438" s="1" t="s">
        <v>1761</v>
      </c>
    </row>
    <row r="1439">
      <c r="A1439" s="1">
        <v>1438.0</v>
      </c>
      <c r="B1439" s="1" t="s">
        <v>1762</v>
      </c>
    </row>
    <row r="1440">
      <c r="A1440" s="1">
        <v>1439.0</v>
      </c>
      <c r="B1440" s="1" t="s">
        <v>1763</v>
      </c>
    </row>
    <row r="1441">
      <c r="A1441" s="1">
        <v>1440.0</v>
      </c>
      <c r="B1441" s="1" t="s">
        <v>1764</v>
      </c>
    </row>
    <row r="1442">
      <c r="A1442" s="1">
        <v>1441.0</v>
      </c>
      <c r="B1442" s="1" t="s">
        <v>1765</v>
      </c>
    </row>
    <row r="1443">
      <c r="A1443" s="1">
        <v>1442.0</v>
      </c>
      <c r="B1443" s="1" t="s">
        <v>1766</v>
      </c>
    </row>
    <row r="1444">
      <c r="A1444" s="1">
        <v>1443.0</v>
      </c>
      <c r="B1444" s="1" t="s">
        <v>1767</v>
      </c>
    </row>
    <row r="1445">
      <c r="A1445" s="1">
        <v>1444.0</v>
      </c>
      <c r="B1445" s="1" t="s">
        <v>1768</v>
      </c>
    </row>
    <row r="1446">
      <c r="A1446" s="1">
        <v>1445.0</v>
      </c>
      <c r="B1446" s="1" t="s">
        <v>1769</v>
      </c>
    </row>
    <row r="1447">
      <c r="A1447" s="1">
        <v>1446.0</v>
      </c>
      <c r="B1447" s="1" t="s">
        <v>1770</v>
      </c>
    </row>
    <row r="1448">
      <c r="A1448" s="1">
        <v>1447.0</v>
      </c>
      <c r="B1448" s="1" t="s">
        <v>1771</v>
      </c>
    </row>
    <row r="1449">
      <c r="A1449" s="1">
        <v>1448.0</v>
      </c>
      <c r="B1449" s="1" t="s">
        <v>1772</v>
      </c>
    </row>
    <row r="1450">
      <c r="A1450" s="1">
        <v>1449.0</v>
      </c>
      <c r="B1450" s="1" t="s">
        <v>1773</v>
      </c>
    </row>
    <row r="1451">
      <c r="A1451" s="1">
        <v>1450.0</v>
      </c>
      <c r="B1451" s="1" t="s">
        <v>1774</v>
      </c>
    </row>
    <row r="1452">
      <c r="A1452" s="1">
        <v>1451.0</v>
      </c>
      <c r="B1452" s="1" t="s">
        <v>1775</v>
      </c>
    </row>
    <row r="1453">
      <c r="A1453" s="1">
        <v>1452.0</v>
      </c>
      <c r="B1453" s="1" t="s">
        <v>1776</v>
      </c>
    </row>
    <row r="1454">
      <c r="A1454" s="1">
        <v>1453.0</v>
      </c>
      <c r="B1454" s="1" t="s">
        <v>1777</v>
      </c>
    </row>
    <row r="1455">
      <c r="A1455" s="1">
        <v>1454.0</v>
      </c>
      <c r="B1455" s="1" t="s">
        <v>1778</v>
      </c>
    </row>
    <row r="1456">
      <c r="A1456" s="1">
        <v>1455.0</v>
      </c>
      <c r="B1456" s="1" t="s">
        <v>1779</v>
      </c>
    </row>
    <row r="1457">
      <c r="A1457" s="1">
        <v>1456.0</v>
      </c>
      <c r="B1457" s="1" t="s">
        <v>1780</v>
      </c>
    </row>
    <row r="1458">
      <c r="A1458" s="1">
        <v>1457.0</v>
      </c>
      <c r="B1458" s="1" t="s">
        <v>1781</v>
      </c>
    </row>
    <row r="1459">
      <c r="A1459" s="1">
        <v>1458.0</v>
      </c>
      <c r="B1459" s="1" t="s">
        <v>1782</v>
      </c>
    </row>
    <row r="1460">
      <c r="A1460" s="1">
        <v>1459.0</v>
      </c>
      <c r="B1460" s="1" t="s">
        <v>1783</v>
      </c>
    </row>
    <row r="1461">
      <c r="A1461" s="1">
        <v>1460.0</v>
      </c>
      <c r="B1461" s="1" t="s">
        <v>1784</v>
      </c>
    </row>
    <row r="1462">
      <c r="A1462" s="1">
        <v>1461.0</v>
      </c>
      <c r="B1462" s="1" t="s">
        <v>1785</v>
      </c>
    </row>
    <row r="1463">
      <c r="A1463" s="1">
        <v>1462.0</v>
      </c>
      <c r="B1463" s="1" t="s">
        <v>1786</v>
      </c>
    </row>
    <row r="1464">
      <c r="A1464" s="1">
        <v>1463.0</v>
      </c>
      <c r="B1464" s="1" t="s">
        <v>1787</v>
      </c>
    </row>
    <row r="1465">
      <c r="A1465" s="1">
        <v>1464.0</v>
      </c>
      <c r="B1465" s="1" t="s">
        <v>1788</v>
      </c>
    </row>
    <row r="1466">
      <c r="A1466" s="1">
        <v>1465.0</v>
      </c>
      <c r="B1466" s="1" t="s">
        <v>1789</v>
      </c>
    </row>
    <row r="1467">
      <c r="A1467" s="1">
        <v>1466.0</v>
      </c>
      <c r="B1467" s="1" t="s">
        <v>1790</v>
      </c>
    </row>
    <row r="1468">
      <c r="A1468" s="1">
        <v>1467.0</v>
      </c>
      <c r="B1468" s="1" t="s">
        <v>1791</v>
      </c>
    </row>
    <row r="1469">
      <c r="A1469" s="1">
        <v>1468.0</v>
      </c>
      <c r="B1469" s="1" t="s">
        <v>1792</v>
      </c>
    </row>
    <row r="1470">
      <c r="A1470" s="1">
        <v>1469.0</v>
      </c>
      <c r="B1470" s="1" t="s">
        <v>1793</v>
      </c>
    </row>
    <row r="1471">
      <c r="A1471" s="1">
        <v>1470.0</v>
      </c>
      <c r="B1471" s="1" t="s">
        <v>1794</v>
      </c>
    </row>
    <row r="1472">
      <c r="A1472" s="1">
        <v>1471.0</v>
      </c>
      <c r="B1472" s="1" t="s">
        <v>1795</v>
      </c>
    </row>
    <row r="1473">
      <c r="A1473" s="1">
        <v>1472.0</v>
      </c>
      <c r="B1473" s="1" t="s">
        <v>1796</v>
      </c>
    </row>
    <row r="1474">
      <c r="A1474" s="1">
        <v>1473.0</v>
      </c>
      <c r="B1474" s="1" t="s">
        <v>1797</v>
      </c>
    </row>
    <row r="1475">
      <c r="A1475" s="1">
        <v>1474.0</v>
      </c>
      <c r="B1475" s="1" t="s">
        <v>1798</v>
      </c>
    </row>
    <row r="1476">
      <c r="A1476" s="1">
        <v>1475.0</v>
      </c>
      <c r="B1476" s="1" t="s">
        <v>1799</v>
      </c>
    </row>
    <row r="1477">
      <c r="A1477" s="1">
        <v>1476.0</v>
      </c>
      <c r="B1477" s="1" t="s">
        <v>1800</v>
      </c>
    </row>
    <row r="1478">
      <c r="A1478" s="1">
        <v>1477.0</v>
      </c>
      <c r="B1478" s="1" t="s">
        <v>1801</v>
      </c>
    </row>
    <row r="1479">
      <c r="A1479" s="1">
        <v>1478.0</v>
      </c>
      <c r="B1479" s="1" t="s">
        <v>1802</v>
      </c>
    </row>
    <row r="1480">
      <c r="A1480" s="1">
        <v>1479.0</v>
      </c>
      <c r="B1480" s="1" t="s">
        <v>1803</v>
      </c>
    </row>
    <row r="1481">
      <c r="A1481" s="1">
        <v>1480.0</v>
      </c>
      <c r="B1481" s="1" t="s">
        <v>1804</v>
      </c>
    </row>
    <row r="1482">
      <c r="A1482" s="1">
        <v>1481.0</v>
      </c>
      <c r="B1482" s="1" t="s">
        <v>1805</v>
      </c>
    </row>
    <row r="1483">
      <c r="A1483" s="1">
        <v>1482.0</v>
      </c>
      <c r="B1483" s="1" t="s">
        <v>1806</v>
      </c>
    </row>
    <row r="1484">
      <c r="A1484" s="1">
        <v>1483.0</v>
      </c>
      <c r="B1484" s="1" t="s">
        <v>1807</v>
      </c>
    </row>
    <row r="1485">
      <c r="A1485" s="1">
        <v>1484.0</v>
      </c>
      <c r="B1485" s="1" t="s">
        <v>1808</v>
      </c>
    </row>
    <row r="1486">
      <c r="A1486" s="1">
        <v>1485.0</v>
      </c>
      <c r="B1486" s="1" t="s">
        <v>1809</v>
      </c>
    </row>
    <row r="1487">
      <c r="A1487" s="1">
        <v>1486.0</v>
      </c>
      <c r="B1487" s="1" t="s">
        <v>1810</v>
      </c>
    </row>
    <row r="1488">
      <c r="A1488" s="1">
        <v>1487.0</v>
      </c>
      <c r="B1488" s="1" t="s">
        <v>1811</v>
      </c>
    </row>
    <row r="1489">
      <c r="A1489" s="1">
        <v>1488.0</v>
      </c>
      <c r="B1489" s="1" t="s">
        <v>1812</v>
      </c>
    </row>
    <row r="1490">
      <c r="A1490" s="1">
        <v>1489.0</v>
      </c>
      <c r="B1490" s="1" t="s">
        <v>1813</v>
      </c>
    </row>
    <row r="1491">
      <c r="A1491" s="1">
        <v>1490.0</v>
      </c>
      <c r="B1491" s="1" t="s">
        <v>1814</v>
      </c>
    </row>
    <row r="1492">
      <c r="A1492" s="1">
        <v>1491.0</v>
      </c>
      <c r="B1492" s="1" t="s">
        <v>1815</v>
      </c>
    </row>
    <row r="1493">
      <c r="A1493" s="1">
        <v>1492.0</v>
      </c>
      <c r="B1493" s="1" t="s">
        <v>1816</v>
      </c>
    </row>
    <row r="1494">
      <c r="A1494" s="1">
        <v>1493.0</v>
      </c>
      <c r="B1494" s="1" t="s">
        <v>1817</v>
      </c>
    </row>
    <row r="1495">
      <c r="A1495" s="1">
        <v>1494.0</v>
      </c>
      <c r="B1495" s="1" t="s">
        <v>1818</v>
      </c>
    </row>
    <row r="1496">
      <c r="A1496" s="1">
        <v>1495.0</v>
      </c>
      <c r="B1496" s="1" t="s">
        <v>1819</v>
      </c>
    </row>
    <row r="1497">
      <c r="A1497" s="1">
        <v>1496.0</v>
      </c>
      <c r="B1497" s="1" t="s">
        <v>1820</v>
      </c>
    </row>
    <row r="1498">
      <c r="A1498" s="1">
        <v>1497.0</v>
      </c>
      <c r="B1498" s="1" t="s">
        <v>1821</v>
      </c>
    </row>
    <row r="1499">
      <c r="A1499" s="1">
        <v>1498.0</v>
      </c>
      <c r="B1499" s="1" t="s">
        <v>1822</v>
      </c>
    </row>
    <row r="1500">
      <c r="A1500" s="1">
        <v>1499.0</v>
      </c>
      <c r="B1500" s="1" t="s">
        <v>1823</v>
      </c>
    </row>
    <row r="1501">
      <c r="A1501" s="1">
        <v>1500.0</v>
      </c>
      <c r="B1501" s="1" t="s">
        <v>1824</v>
      </c>
    </row>
    <row r="1502">
      <c r="A1502" s="1">
        <v>1501.0</v>
      </c>
      <c r="B1502" s="1" t="s">
        <v>1825</v>
      </c>
    </row>
    <row r="1503">
      <c r="A1503" s="1">
        <v>1502.0</v>
      </c>
      <c r="B1503" s="1" t="s">
        <v>1826</v>
      </c>
    </row>
    <row r="1504">
      <c r="A1504" s="1">
        <v>1503.0</v>
      </c>
      <c r="B1504" s="1" t="s">
        <v>1827</v>
      </c>
    </row>
    <row r="1505">
      <c r="A1505" s="1">
        <v>1504.0</v>
      </c>
      <c r="B1505" s="1" t="s">
        <v>1828</v>
      </c>
    </row>
    <row r="1506">
      <c r="A1506" s="1">
        <v>1505.0</v>
      </c>
      <c r="B1506" s="1" t="s">
        <v>1829</v>
      </c>
    </row>
    <row r="1507">
      <c r="A1507" s="1">
        <v>1506.0</v>
      </c>
      <c r="B1507" s="1" t="s">
        <v>1830</v>
      </c>
    </row>
    <row r="1508">
      <c r="A1508" s="1">
        <v>1507.0</v>
      </c>
      <c r="B1508" s="1" t="s">
        <v>1831</v>
      </c>
    </row>
    <row r="1509">
      <c r="A1509" s="1">
        <v>1508.0</v>
      </c>
      <c r="B1509" s="1" t="s">
        <v>1832</v>
      </c>
    </row>
    <row r="1510">
      <c r="A1510" s="1">
        <v>1509.0</v>
      </c>
      <c r="B1510" s="1" t="s">
        <v>1833</v>
      </c>
    </row>
    <row r="1511">
      <c r="A1511" s="1">
        <v>1510.0</v>
      </c>
      <c r="B1511" s="1" t="s">
        <v>1834</v>
      </c>
    </row>
    <row r="1512">
      <c r="A1512" s="1">
        <v>1511.0</v>
      </c>
      <c r="B1512" s="1" t="s">
        <v>1835</v>
      </c>
    </row>
    <row r="1513">
      <c r="A1513" s="1">
        <v>1512.0</v>
      </c>
      <c r="B1513" s="1" t="s">
        <v>1836</v>
      </c>
    </row>
    <row r="1514">
      <c r="A1514" s="1">
        <v>1513.0</v>
      </c>
      <c r="B1514" s="1" t="s">
        <v>1837</v>
      </c>
    </row>
    <row r="1515">
      <c r="A1515" s="1">
        <v>1514.0</v>
      </c>
      <c r="B1515" s="1" t="s">
        <v>1838</v>
      </c>
    </row>
    <row r="1516">
      <c r="A1516" s="1">
        <v>1515.0</v>
      </c>
      <c r="B1516" s="1" t="s">
        <v>1839</v>
      </c>
    </row>
    <row r="1517">
      <c r="A1517" s="1">
        <v>1516.0</v>
      </c>
      <c r="B1517" s="1" t="s">
        <v>1840</v>
      </c>
    </row>
    <row r="1518">
      <c r="A1518" s="1">
        <v>1517.0</v>
      </c>
      <c r="B1518" s="1" t="s">
        <v>1841</v>
      </c>
    </row>
    <row r="1519">
      <c r="A1519" s="1">
        <v>1518.0</v>
      </c>
      <c r="B1519" s="1" t="s">
        <v>1842</v>
      </c>
    </row>
    <row r="1520">
      <c r="A1520" s="1">
        <v>1519.0</v>
      </c>
      <c r="B1520" s="1" t="s">
        <v>1843</v>
      </c>
    </row>
    <row r="1521">
      <c r="A1521" s="1">
        <v>1520.0</v>
      </c>
      <c r="B1521" s="1" t="s">
        <v>1844</v>
      </c>
    </row>
    <row r="1522">
      <c r="A1522" s="1">
        <v>1521.0</v>
      </c>
      <c r="B1522" s="1" t="s">
        <v>1845</v>
      </c>
    </row>
    <row r="1523">
      <c r="A1523" s="1">
        <v>1522.0</v>
      </c>
      <c r="B1523" s="1" t="s">
        <v>1846</v>
      </c>
    </row>
    <row r="1524">
      <c r="A1524" s="1">
        <v>1523.0</v>
      </c>
      <c r="B1524" s="1" t="s">
        <v>1847</v>
      </c>
    </row>
    <row r="1525">
      <c r="A1525" s="1">
        <v>1524.0</v>
      </c>
      <c r="B1525" s="1" t="s">
        <v>1848</v>
      </c>
    </row>
    <row r="1526">
      <c r="A1526" s="1">
        <v>1525.0</v>
      </c>
      <c r="B1526" s="1" t="s">
        <v>1849</v>
      </c>
    </row>
    <row r="1527">
      <c r="A1527" s="1">
        <v>1526.0</v>
      </c>
      <c r="B1527" s="1" t="s">
        <v>1850</v>
      </c>
    </row>
    <row r="1528">
      <c r="A1528" s="1">
        <v>1527.0</v>
      </c>
      <c r="B1528" s="1" t="s">
        <v>1851</v>
      </c>
    </row>
    <row r="1529">
      <c r="A1529" s="1">
        <v>1528.0</v>
      </c>
      <c r="B1529" s="1" t="s">
        <v>1852</v>
      </c>
    </row>
    <row r="1530">
      <c r="A1530" s="1">
        <v>1529.0</v>
      </c>
      <c r="B1530" s="1" t="s">
        <v>1853</v>
      </c>
    </row>
    <row r="1531">
      <c r="A1531" s="1">
        <v>1530.0</v>
      </c>
      <c r="B1531" s="1" t="s">
        <v>1854</v>
      </c>
    </row>
    <row r="1532">
      <c r="A1532" s="1">
        <v>1531.0</v>
      </c>
      <c r="B1532" s="1" t="s">
        <v>1855</v>
      </c>
    </row>
    <row r="1533">
      <c r="A1533" s="1">
        <v>1532.0</v>
      </c>
      <c r="B1533" s="1" t="s">
        <v>1856</v>
      </c>
    </row>
    <row r="1534">
      <c r="A1534" s="1">
        <v>1533.0</v>
      </c>
      <c r="B1534" s="1" t="s">
        <v>1857</v>
      </c>
    </row>
    <row r="1535">
      <c r="A1535" s="1">
        <v>1534.0</v>
      </c>
      <c r="B1535" s="1" t="s">
        <v>1858</v>
      </c>
    </row>
    <row r="1536">
      <c r="A1536" s="1">
        <v>1535.0</v>
      </c>
      <c r="B1536" s="1" t="s">
        <v>1859</v>
      </c>
    </row>
    <row r="1537">
      <c r="A1537" s="1">
        <v>1536.0</v>
      </c>
      <c r="B1537" s="1" t="s">
        <v>1860</v>
      </c>
    </row>
    <row r="1538">
      <c r="A1538" s="1">
        <v>1537.0</v>
      </c>
      <c r="B1538" s="1" t="s">
        <v>1861</v>
      </c>
    </row>
    <row r="1539">
      <c r="A1539" s="1">
        <v>1538.0</v>
      </c>
      <c r="B1539" s="1" t="s">
        <v>1862</v>
      </c>
    </row>
    <row r="1540">
      <c r="A1540" s="1">
        <v>1539.0</v>
      </c>
      <c r="B1540" s="1" t="s">
        <v>1863</v>
      </c>
    </row>
    <row r="1541">
      <c r="A1541" s="1">
        <v>1540.0</v>
      </c>
      <c r="B1541" s="1" t="s">
        <v>1864</v>
      </c>
    </row>
    <row r="1542">
      <c r="A1542" s="1">
        <v>1541.0</v>
      </c>
      <c r="B1542" s="1" t="s">
        <v>1865</v>
      </c>
    </row>
    <row r="1543">
      <c r="A1543" s="1">
        <v>1542.0</v>
      </c>
      <c r="B1543" s="1" t="s">
        <v>1866</v>
      </c>
    </row>
    <row r="1544">
      <c r="A1544" s="1">
        <v>1543.0</v>
      </c>
      <c r="B1544" s="1" t="s">
        <v>1867</v>
      </c>
    </row>
    <row r="1545">
      <c r="A1545" s="1">
        <v>1544.0</v>
      </c>
      <c r="B1545" s="1" t="s">
        <v>1868</v>
      </c>
    </row>
    <row r="1546">
      <c r="A1546" s="1">
        <v>1545.0</v>
      </c>
      <c r="B1546" s="1" t="s">
        <v>1869</v>
      </c>
    </row>
    <row r="1547">
      <c r="A1547" s="1">
        <v>1546.0</v>
      </c>
      <c r="B1547" s="1" t="s">
        <v>1870</v>
      </c>
    </row>
    <row r="1548">
      <c r="A1548" s="1">
        <v>1547.0</v>
      </c>
      <c r="B1548" s="1" t="s">
        <v>1871</v>
      </c>
    </row>
    <row r="1549">
      <c r="A1549" s="1">
        <v>1548.0</v>
      </c>
      <c r="B1549" s="1" t="s">
        <v>1872</v>
      </c>
    </row>
    <row r="1550">
      <c r="A1550" s="1">
        <v>1549.0</v>
      </c>
      <c r="B1550" s="1" t="s">
        <v>1873</v>
      </c>
    </row>
    <row r="1551">
      <c r="A1551" s="1">
        <v>1550.0</v>
      </c>
      <c r="B1551" s="1" t="s">
        <v>1874</v>
      </c>
    </row>
    <row r="1552">
      <c r="A1552" s="1">
        <v>1551.0</v>
      </c>
      <c r="B1552" s="1" t="s">
        <v>1875</v>
      </c>
    </row>
    <row r="1553">
      <c r="A1553" s="1">
        <v>1552.0</v>
      </c>
      <c r="B1553" s="1" t="s">
        <v>1876</v>
      </c>
    </row>
    <row r="1554">
      <c r="A1554" s="1">
        <v>1553.0</v>
      </c>
      <c r="B1554" s="1" t="s">
        <v>1877</v>
      </c>
    </row>
    <row r="1555">
      <c r="A1555" s="1">
        <v>1554.0</v>
      </c>
      <c r="B1555" s="1" t="s">
        <v>1878</v>
      </c>
    </row>
    <row r="1556">
      <c r="A1556" s="1">
        <v>1555.0</v>
      </c>
      <c r="B1556" s="1" t="s">
        <v>1879</v>
      </c>
    </row>
    <row r="1557">
      <c r="A1557" s="1">
        <v>1556.0</v>
      </c>
      <c r="B1557" s="1" t="s">
        <v>1880</v>
      </c>
    </row>
    <row r="1558">
      <c r="A1558" s="1">
        <v>1557.0</v>
      </c>
      <c r="B1558" s="1" t="s">
        <v>1881</v>
      </c>
    </row>
    <row r="1559">
      <c r="A1559" s="1">
        <v>1558.0</v>
      </c>
      <c r="B1559" s="1" t="s">
        <v>1882</v>
      </c>
    </row>
    <row r="1560">
      <c r="A1560" s="1">
        <v>1559.0</v>
      </c>
      <c r="B1560" s="1" t="s">
        <v>1883</v>
      </c>
    </row>
    <row r="1561">
      <c r="A1561" s="1">
        <v>1560.0</v>
      </c>
      <c r="B1561" s="1" t="s">
        <v>1884</v>
      </c>
    </row>
    <row r="1562">
      <c r="A1562" s="1">
        <v>1561.0</v>
      </c>
      <c r="B1562" s="1" t="s">
        <v>1885</v>
      </c>
    </row>
    <row r="1563">
      <c r="A1563" s="1">
        <v>1562.0</v>
      </c>
      <c r="B1563" s="1" t="s">
        <v>1886</v>
      </c>
    </row>
    <row r="1564">
      <c r="A1564" s="1">
        <v>1563.0</v>
      </c>
      <c r="B1564" s="1" t="s">
        <v>1887</v>
      </c>
    </row>
    <row r="1565">
      <c r="A1565" s="1">
        <v>1564.0</v>
      </c>
      <c r="B1565" s="1" t="s">
        <v>1888</v>
      </c>
    </row>
    <row r="1566">
      <c r="A1566" s="1">
        <v>1565.0</v>
      </c>
      <c r="B1566" s="1" t="s">
        <v>1889</v>
      </c>
    </row>
    <row r="1567">
      <c r="A1567" s="1">
        <v>1566.0</v>
      </c>
      <c r="B1567" s="1" t="s">
        <v>1890</v>
      </c>
    </row>
    <row r="1568">
      <c r="A1568" s="1">
        <v>1567.0</v>
      </c>
      <c r="B1568" s="1" t="s">
        <v>1891</v>
      </c>
    </row>
    <row r="1569">
      <c r="A1569" s="1">
        <v>1568.0</v>
      </c>
      <c r="B1569" s="1" t="s">
        <v>1892</v>
      </c>
    </row>
    <row r="1570">
      <c r="A1570" s="1">
        <v>1569.0</v>
      </c>
      <c r="B1570" s="1" t="s">
        <v>1893</v>
      </c>
    </row>
    <row r="1571">
      <c r="A1571" s="1">
        <v>1570.0</v>
      </c>
      <c r="B1571" s="1" t="s">
        <v>1894</v>
      </c>
    </row>
    <row r="1572">
      <c r="A1572" s="1">
        <v>1571.0</v>
      </c>
      <c r="B1572" s="1" t="s">
        <v>1895</v>
      </c>
    </row>
    <row r="1573">
      <c r="A1573" s="1">
        <v>1572.0</v>
      </c>
      <c r="B1573" s="1" t="s">
        <v>1896</v>
      </c>
    </row>
    <row r="1574">
      <c r="A1574" s="1">
        <v>1573.0</v>
      </c>
      <c r="B1574" s="1" t="s">
        <v>1897</v>
      </c>
    </row>
    <row r="1575">
      <c r="A1575" s="1">
        <v>1574.0</v>
      </c>
      <c r="B1575" s="1" t="s">
        <v>1898</v>
      </c>
    </row>
    <row r="1576">
      <c r="A1576" s="1">
        <v>1575.0</v>
      </c>
      <c r="B1576" s="1" t="s">
        <v>1899</v>
      </c>
    </row>
    <row r="1577">
      <c r="A1577" s="1">
        <v>1576.0</v>
      </c>
      <c r="B1577" s="1" t="s">
        <v>1900</v>
      </c>
    </row>
    <row r="1578">
      <c r="A1578" s="1">
        <v>1577.0</v>
      </c>
      <c r="B1578" s="1" t="s">
        <v>1901</v>
      </c>
    </row>
    <row r="1579">
      <c r="A1579" s="1">
        <v>1578.0</v>
      </c>
      <c r="B1579" s="1" t="s">
        <v>1902</v>
      </c>
    </row>
    <row r="1580">
      <c r="A1580" s="1">
        <v>1579.0</v>
      </c>
      <c r="B1580" s="1" t="s">
        <v>1903</v>
      </c>
    </row>
    <row r="1581">
      <c r="A1581" s="1">
        <v>1580.0</v>
      </c>
      <c r="B1581" s="1" t="s">
        <v>1904</v>
      </c>
    </row>
    <row r="1582">
      <c r="A1582" s="1">
        <v>1581.0</v>
      </c>
      <c r="B1582" s="1" t="s">
        <v>1905</v>
      </c>
    </row>
    <row r="1583">
      <c r="A1583" s="1">
        <v>1582.0</v>
      </c>
      <c r="B1583" s="1" t="s">
        <v>1906</v>
      </c>
    </row>
    <row r="1584">
      <c r="A1584" s="1">
        <v>1583.0</v>
      </c>
      <c r="B1584" s="1" t="s">
        <v>1907</v>
      </c>
    </row>
    <row r="1585">
      <c r="A1585" s="1">
        <v>1584.0</v>
      </c>
      <c r="B1585" s="1" t="s">
        <v>1908</v>
      </c>
    </row>
    <row r="1586">
      <c r="A1586" s="1">
        <v>1585.0</v>
      </c>
      <c r="B1586" s="1" t="s">
        <v>1909</v>
      </c>
    </row>
    <row r="1587">
      <c r="A1587" s="1">
        <v>1586.0</v>
      </c>
      <c r="B1587" s="1" t="s">
        <v>1910</v>
      </c>
    </row>
    <row r="1588">
      <c r="A1588" s="1">
        <v>1587.0</v>
      </c>
      <c r="B1588" s="1" t="s">
        <v>1911</v>
      </c>
    </row>
    <row r="1589">
      <c r="A1589" s="1">
        <v>1588.0</v>
      </c>
      <c r="B1589" s="1" t="s">
        <v>1912</v>
      </c>
    </row>
    <row r="1590">
      <c r="A1590" s="1">
        <v>1589.0</v>
      </c>
      <c r="B1590" s="1" t="s">
        <v>1913</v>
      </c>
    </row>
    <row r="1591">
      <c r="A1591" s="1">
        <v>1590.0</v>
      </c>
      <c r="B1591" s="1" t="s">
        <v>1914</v>
      </c>
    </row>
    <row r="1592">
      <c r="A1592" s="1">
        <v>1591.0</v>
      </c>
      <c r="B1592" s="1" t="s">
        <v>1915</v>
      </c>
    </row>
    <row r="1593">
      <c r="A1593" s="1">
        <v>1592.0</v>
      </c>
      <c r="B1593" s="1" t="s">
        <v>1916</v>
      </c>
    </row>
    <row r="1594">
      <c r="A1594" s="1">
        <v>1593.0</v>
      </c>
      <c r="B1594" s="1" t="s">
        <v>1917</v>
      </c>
    </row>
    <row r="1595">
      <c r="A1595" s="1">
        <v>1594.0</v>
      </c>
      <c r="B1595" s="1" t="s">
        <v>1918</v>
      </c>
    </row>
    <row r="1596">
      <c r="A1596" s="1">
        <v>1595.0</v>
      </c>
      <c r="B1596" s="1" t="s">
        <v>1919</v>
      </c>
    </row>
    <row r="1597">
      <c r="A1597" s="1">
        <v>1596.0</v>
      </c>
      <c r="B1597" s="1" t="s">
        <v>1920</v>
      </c>
    </row>
    <row r="1598">
      <c r="A1598" s="1">
        <v>1597.0</v>
      </c>
      <c r="B1598" s="1" t="s">
        <v>1921</v>
      </c>
    </row>
    <row r="1599">
      <c r="A1599" s="1">
        <v>1598.0</v>
      </c>
      <c r="B1599" s="1" t="s">
        <v>1922</v>
      </c>
    </row>
    <row r="1600">
      <c r="A1600" s="1">
        <v>1599.0</v>
      </c>
      <c r="B1600" s="1" t="s">
        <v>1923</v>
      </c>
    </row>
    <row r="1601">
      <c r="A1601" s="1">
        <v>1600.0</v>
      </c>
      <c r="B1601" s="1" t="s">
        <v>1924</v>
      </c>
    </row>
    <row r="1602">
      <c r="A1602" s="1">
        <v>1601.0</v>
      </c>
      <c r="B1602" s="1" t="s">
        <v>1925</v>
      </c>
    </row>
    <row r="1603">
      <c r="A1603" s="1">
        <v>1602.0</v>
      </c>
      <c r="B1603" s="1" t="s">
        <v>1926</v>
      </c>
    </row>
    <row r="1604">
      <c r="A1604" s="1">
        <v>1603.0</v>
      </c>
      <c r="B1604" s="1" t="s">
        <v>1927</v>
      </c>
    </row>
    <row r="1605">
      <c r="A1605" s="1">
        <v>1604.0</v>
      </c>
      <c r="B1605" s="1" t="s">
        <v>1928</v>
      </c>
    </row>
    <row r="1606">
      <c r="A1606" s="1">
        <v>1605.0</v>
      </c>
      <c r="B1606" s="1" t="s">
        <v>1929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IFERROR(__xludf.DUMMYFUNCTION("importrange(""1Hywvh5BUMumJFTX0Q0pJ6u30RFkJSsqqKbIwfDt3mmU"",""Hoja 1!A1:N"")"),"id")</f>
        <v>id</v>
      </c>
      <c r="B1" s="2" t="str">
        <f>IFERROR(__xludf.DUMMYFUNCTION("""COMPUTED_VALUE"""),"contact")</f>
        <v>contact</v>
      </c>
      <c r="C1" s="2" t="str">
        <f>IFERROR(__xludf.DUMMYFUNCTION("""COMPUTED_VALUE"""),"email")</f>
        <v>email</v>
      </c>
      <c r="D1" s="2" t="str">
        <f>IFERROR(__xludf.DUMMYFUNCTION("""COMPUTED_VALUE"""),"country_id")</f>
        <v>country_id</v>
      </c>
      <c r="E1" s="2" t="str">
        <f>IFERROR(__xludf.DUMMYFUNCTION("""COMPUTED_VALUE"""),"stock_industry_id")</f>
        <v>stock_industry_id</v>
      </c>
      <c r="F1" s="2" t="str">
        <f>IFERROR(__xludf.DUMMYFUNCTION("""COMPUTED_VALUE"""),"stock_sector_id")</f>
        <v>stock_sector_id</v>
      </c>
      <c r="G1" s="2" t="str">
        <f>IFERROR(__xludf.DUMMYFUNCTION("""COMPUTED_VALUE"""),"stock_name_id")</f>
        <v>stock_name_id</v>
      </c>
      <c r="H1" s="2" t="str">
        <f>IFERROR(__xludf.DUMMYFUNCTION("""COMPUTED_VALUE"""),"investment_expectation_2021_in_millions")</f>
        <v>investment_expectation_2021_in_millions</v>
      </c>
      <c r="I1" s="2" t="str">
        <f>IFERROR(__xludf.DUMMYFUNCTION("""COMPUTED_VALUE"""),"actual_investment_2021_in_millions")</f>
        <v>actual_investment_2021_in_millions</v>
      </c>
      <c r="J1" s="2" t="str">
        <f>IFERROR(__xludf.DUMMYFUNCTION("""COMPUTED_VALUE"""),"investment_expectation_2022_in_millions")</f>
        <v>investment_expectation_2022_in_millions</v>
      </c>
      <c r="K1" s="2" t="str">
        <f>IFERROR(__xludf.DUMMYFUNCTION("""COMPUTED_VALUE"""),"actual_investment_2022_in_millions")</f>
        <v>actual_investment_2022_in_millions</v>
      </c>
      <c r="L1" s="2" t="str">
        <f>IFERROR(__xludf.DUMMYFUNCTION("""COMPUTED_VALUE"""),"qualification_id")</f>
        <v>qualification_id</v>
      </c>
      <c r="M1" s="2" t="str">
        <f>IFERROR(__xludf.DUMMYFUNCTION("""COMPUTED_VALUE"""),"average_qualification")</f>
        <v>average_qualification</v>
      </c>
      <c r="N1" s="2" t="str">
        <f>IFERROR(__xludf.DUMMYFUNCTION("""COMPUTED_VALUE"""),"current_contract")</f>
        <v>current_contract</v>
      </c>
    </row>
    <row r="2">
      <c r="A2" s="2">
        <f>IFERROR(__xludf.DUMMYFUNCTION("""COMPUTED_VALUE"""),1.0)</f>
        <v>1</v>
      </c>
      <c r="B2" s="2" t="str">
        <f>IFERROR(__xludf.DUMMYFUNCTION("""COMPUTED_VALUE"""),"Janna Howarth")</f>
        <v>Janna Howarth</v>
      </c>
      <c r="C2" s="2" t="str">
        <f>IFERROR(__xludf.DUMMYFUNCTION("""COMPUTED_VALUE"""),"jhowarth0@wp.com")</f>
        <v>jhowarth0@wp.com</v>
      </c>
      <c r="D2" s="4">
        <f>IFERROR(__xludf.DUMMYFUNCTION("""COMPUTED_VALUE"""),29.0)</f>
        <v>29</v>
      </c>
      <c r="E2" s="4">
        <f>IFERROR(__xludf.DUMMYFUNCTION("""COMPUTED_VALUE"""),99.0)</f>
        <v>99</v>
      </c>
      <c r="F2" s="4">
        <f>IFERROR(__xludf.DUMMYFUNCTION("""COMPUTED_VALUE"""),1.0)</f>
        <v>1</v>
      </c>
      <c r="G2" s="4">
        <f>IFERROR(__xludf.DUMMYFUNCTION("""COMPUTED_VALUE"""),1023.0)</f>
        <v>1023</v>
      </c>
      <c r="H2" s="5">
        <f>IFERROR(__xludf.DUMMYFUNCTION("""COMPUTED_VALUE"""),4461.51)</f>
        <v>4461.51</v>
      </c>
      <c r="I2" s="5">
        <f>IFERROR(__xludf.DUMMYFUNCTION("""COMPUTED_VALUE"""),4152.08)</f>
        <v>4152.08</v>
      </c>
      <c r="J2" s="5">
        <f>IFERROR(__xludf.DUMMYFUNCTION("""COMPUTED_VALUE"""),7943.22)</f>
        <v>7943.22</v>
      </c>
      <c r="K2" s="5">
        <f>IFERROR(__xludf.DUMMYFUNCTION("""COMPUTED_VALUE"""),9203.06)</f>
        <v>9203.06</v>
      </c>
      <c r="L2" s="4">
        <f>IFERROR(__xludf.DUMMYFUNCTION("""COMPUTED_VALUE"""),5.0)</f>
        <v>5</v>
      </c>
      <c r="M2" s="4">
        <f>IFERROR(__xludf.DUMMYFUNCTION("""COMPUTED_VALUE"""),46.0)</f>
        <v>46</v>
      </c>
      <c r="N2" s="2" t="str">
        <f>IFERROR(__xludf.DUMMYFUNCTION("""COMPUTED_VALUE"""),"FALSO")</f>
        <v>FALSO</v>
      </c>
    </row>
    <row r="3">
      <c r="A3" s="2">
        <f>IFERROR(__xludf.DUMMYFUNCTION("""COMPUTED_VALUE"""),2.0)</f>
        <v>2</v>
      </c>
      <c r="B3" s="2" t="str">
        <f>IFERROR(__xludf.DUMMYFUNCTION("""COMPUTED_VALUE"""),"Charleen Fridaye")</f>
        <v>Charleen Fridaye</v>
      </c>
      <c r="C3" s="2" t="str">
        <f>IFERROR(__xludf.DUMMYFUNCTION("""COMPUTED_VALUE"""),"cfridaye1@foxnews.com")</f>
        <v>cfridaye1@foxnews.com</v>
      </c>
      <c r="D3" s="4">
        <f>IFERROR(__xludf.DUMMYFUNCTION("""COMPUTED_VALUE"""),121.0)</f>
        <v>121</v>
      </c>
      <c r="E3" s="4">
        <f>IFERROR(__xludf.DUMMYFUNCTION("""COMPUTED_VALUE"""),81.0)</f>
        <v>81</v>
      </c>
      <c r="F3" s="4">
        <f>IFERROR(__xludf.DUMMYFUNCTION("""COMPUTED_VALUE"""),2.0)</f>
        <v>2</v>
      </c>
      <c r="G3" s="4">
        <f>IFERROR(__xludf.DUMMYFUNCTION("""COMPUTED_VALUE"""),361.0)</f>
        <v>361</v>
      </c>
      <c r="H3" s="5">
        <f>IFERROR(__xludf.DUMMYFUNCTION("""COMPUTED_VALUE"""),2154.17)</f>
        <v>2154.17</v>
      </c>
      <c r="I3" s="5">
        <f>IFERROR(__xludf.DUMMYFUNCTION("""COMPUTED_VALUE"""),4807.71)</f>
        <v>4807.71</v>
      </c>
      <c r="J3" s="5">
        <f>IFERROR(__xludf.DUMMYFUNCTION("""COMPUTED_VALUE"""),1580.26)</f>
        <v>1580.26</v>
      </c>
      <c r="K3" s="5">
        <f>IFERROR(__xludf.DUMMYFUNCTION("""COMPUTED_VALUE"""),3774.39)</f>
        <v>3774.39</v>
      </c>
      <c r="L3" s="4">
        <f>IFERROR(__xludf.DUMMYFUNCTION("""COMPUTED_VALUE"""),1.0)</f>
        <v>1</v>
      </c>
      <c r="M3" s="4">
        <f>IFERROR(__xludf.DUMMYFUNCTION("""COMPUTED_VALUE"""),16.0)</f>
        <v>16</v>
      </c>
      <c r="N3" s="2" t="str">
        <f>IFERROR(__xludf.DUMMYFUNCTION("""COMPUTED_VALUE"""),"VERDADERO")</f>
        <v>VERDADERO</v>
      </c>
    </row>
    <row r="4">
      <c r="A4" s="2">
        <f>IFERROR(__xludf.DUMMYFUNCTION("""COMPUTED_VALUE"""),3.0)</f>
        <v>3</v>
      </c>
      <c r="B4" s="2" t="str">
        <f>IFERROR(__xludf.DUMMYFUNCTION("""COMPUTED_VALUE"""),"Bethanne Rustedge")</f>
        <v>Bethanne Rustedge</v>
      </c>
      <c r="C4" s="2" t="str">
        <f>IFERROR(__xludf.DUMMYFUNCTION("""COMPUTED_VALUE"""),"brustedge2@a8.net")</f>
        <v>brustedge2@a8.net</v>
      </c>
      <c r="D4" s="4">
        <f>IFERROR(__xludf.DUMMYFUNCTION("""COMPUTED_VALUE"""),65.0)</f>
        <v>65</v>
      </c>
      <c r="E4" s="4">
        <f>IFERROR(__xludf.DUMMYFUNCTION("""COMPUTED_VALUE"""),60.0)</f>
        <v>60</v>
      </c>
      <c r="F4" s="4">
        <f>IFERROR(__xludf.DUMMYFUNCTION("""COMPUTED_VALUE"""),3.0)</f>
        <v>3</v>
      </c>
      <c r="G4" s="4">
        <f>IFERROR(__xludf.DUMMYFUNCTION("""COMPUTED_VALUE"""),1378.0)</f>
        <v>1378</v>
      </c>
      <c r="H4" s="5">
        <f>IFERROR(__xludf.DUMMYFUNCTION("""COMPUTED_VALUE"""),4461.61)</f>
        <v>4461.61</v>
      </c>
      <c r="I4" s="5">
        <f>IFERROR(__xludf.DUMMYFUNCTION("""COMPUTED_VALUE"""),6943.02)</f>
        <v>6943.02</v>
      </c>
      <c r="J4" s="5">
        <f>IFERROR(__xludf.DUMMYFUNCTION("""COMPUTED_VALUE"""),5133.36)</f>
        <v>5133.36</v>
      </c>
      <c r="K4" s="5">
        <f>IFERROR(__xludf.DUMMYFUNCTION("""COMPUTED_VALUE"""),7294.25)</f>
        <v>7294.25</v>
      </c>
      <c r="L4" s="4">
        <f>IFERROR(__xludf.DUMMYFUNCTION("""COMPUTED_VALUE"""),16.0)</f>
        <v>16</v>
      </c>
      <c r="M4" s="4">
        <f>IFERROR(__xludf.DUMMYFUNCTION("""COMPUTED_VALUE"""),85.0)</f>
        <v>85</v>
      </c>
      <c r="N4" s="2" t="str">
        <f>IFERROR(__xludf.DUMMYFUNCTION("""COMPUTED_VALUE"""),"VERDADERO")</f>
        <v>VERDADERO</v>
      </c>
    </row>
    <row r="5">
      <c r="A5" s="2">
        <f>IFERROR(__xludf.DUMMYFUNCTION("""COMPUTED_VALUE"""),4.0)</f>
        <v>4</v>
      </c>
      <c r="B5" s="2" t="str">
        <f>IFERROR(__xludf.DUMMYFUNCTION("""COMPUTED_VALUE"""),"Piper Creek")</f>
        <v>Piper Creek</v>
      </c>
      <c r="C5" s="2" t="str">
        <f>IFERROR(__xludf.DUMMYFUNCTION("""COMPUTED_VALUE"""),"pcreek3@clickbank.net")</f>
        <v>pcreek3@clickbank.net</v>
      </c>
      <c r="D5" s="4">
        <f>IFERROR(__xludf.DUMMYFUNCTION("""COMPUTED_VALUE"""),153.0)</f>
        <v>153</v>
      </c>
      <c r="E5" s="4">
        <f>IFERROR(__xludf.DUMMYFUNCTION("""COMPUTED_VALUE"""),85.0)</f>
        <v>85</v>
      </c>
      <c r="F5" s="4">
        <f>IFERROR(__xludf.DUMMYFUNCTION("""COMPUTED_VALUE"""),3.0)</f>
        <v>3</v>
      </c>
      <c r="G5" s="4">
        <f>IFERROR(__xludf.DUMMYFUNCTION("""COMPUTED_VALUE"""),1599.0)</f>
        <v>1599</v>
      </c>
      <c r="H5" s="5">
        <f>IFERROR(__xludf.DUMMYFUNCTION("""COMPUTED_VALUE"""),7390.95)</f>
        <v>7390.95</v>
      </c>
      <c r="I5" s="5">
        <f>IFERROR(__xludf.DUMMYFUNCTION("""COMPUTED_VALUE"""),5768.14)</f>
        <v>5768.14</v>
      </c>
      <c r="J5" s="5">
        <f>IFERROR(__xludf.DUMMYFUNCTION("""COMPUTED_VALUE"""),9518.32)</f>
        <v>9518.32</v>
      </c>
      <c r="K5" s="5">
        <f>IFERROR(__xludf.DUMMYFUNCTION("""COMPUTED_VALUE"""),637.97)</f>
        <v>637.97</v>
      </c>
      <c r="L5" s="4">
        <f>IFERROR(__xludf.DUMMYFUNCTION("""COMPUTED_VALUE"""),11.0)</f>
        <v>11</v>
      </c>
      <c r="M5" s="4">
        <f>IFERROR(__xludf.DUMMYFUNCTION("""COMPUTED_VALUE"""),32.0)</f>
        <v>32</v>
      </c>
      <c r="N5" s="2" t="str">
        <f>IFERROR(__xludf.DUMMYFUNCTION("""COMPUTED_VALUE"""),"FALSO")</f>
        <v>FALSO</v>
      </c>
    </row>
    <row r="6">
      <c r="A6" s="2">
        <f>IFERROR(__xludf.DUMMYFUNCTION("""COMPUTED_VALUE"""),5.0)</f>
        <v>5</v>
      </c>
      <c r="B6" s="2" t="str">
        <f>IFERROR(__xludf.DUMMYFUNCTION("""COMPUTED_VALUE"""),"Sharl Aris")</f>
        <v>Sharl Aris</v>
      </c>
      <c r="C6" s="2" t="str">
        <f>IFERROR(__xludf.DUMMYFUNCTION("""COMPUTED_VALUE"""),"saris4@i2i.jp")</f>
        <v>saris4@i2i.jp</v>
      </c>
      <c r="D6" s="4">
        <f>IFERROR(__xludf.DUMMYFUNCTION("""COMPUTED_VALUE"""),49.0)</f>
        <v>49</v>
      </c>
      <c r="E6" s="4">
        <f>IFERROR(__xludf.DUMMYFUNCTION("""COMPUTED_VALUE"""),81.0)</f>
        <v>81</v>
      </c>
      <c r="F6" s="4">
        <f>IFERROR(__xludf.DUMMYFUNCTION("""COMPUTED_VALUE"""),2.0)</f>
        <v>2</v>
      </c>
      <c r="G6" s="4">
        <f>IFERROR(__xludf.DUMMYFUNCTION("""COMPUTED_VALUE"""),795.0)</f>
        <v>795</v>
      </c>
      <c r="H6" s="5">
        <f>IFERROR(__xludf.DUMMYFUNCTION("""COMPUTED_VALUE"""),9475.3)</f>
        <v>9475.3</v>
      </c>
      <c r="I6" s="5">
        <f>IFERROR(__xludf.DUMMYFUNCTION("""COMPUTED_VALUE"""),8371.94)</f>
        <v>8371.94</v>
      </c>
      <c r="J6" s="5">
        <f>IFERROR(__xludf.DUMMYFUNCTION("""COMPUTED_VALUE"""),670.77)</f>
        <v>670.77</v>
      </c>
      <c r="K6" s="5">
        <f>IFERROR(__xludf.DUMMYFUNCTION("""COMPUTED_VALUE"""),838.33)</f>
        <v>838.33</v>
      </c>
      <c r="L6" s="4">
        <f>IFERROR(__xludf.DUMMYFUNCTION("""COMPUTED_VALUE"""),5.0)</f>
        <v>5</v>
      </c>
      <c r="M6" s="4">
        <f>IFERROR(__xludf.DUMMYFUNCTION("""COMPUTED_VALUE"""),43.0)</f>
        <v>43</v>
      </c>
      <c r="N6" s="2" t="str">
        <f>IFERROR(__xludf.DUMMYFUNCTION("""COMPUTED_VALUE"""),"FALSO")</f>
        <v>FALSO</v>
      </c>
    </row>
    <row r="7">
      <c r="A7" s="2">
        <f>IFERROR(__xludf.DUMMYFUNCTION("""COMPUTED_VALUE"""),6.0)</f>
        <v>6</v>
      </c>
      <c r="B7" s="2" t="str">
        <f>IFERROR(__xludf.DUMMYFUNCTION("""COMPUTED_VALUE"""),"Mervin Braunfeld")</f>
        <v>Mervin Braunfeld</v>
      </c>
      <c r="C7" s="2" t="str">
        <f>IFERROR(__xludf.DUMMYFUNCTION("""COMPUTED_VALUE"""),"mbraunfeld5@weibo.com")</f>
        <v>mbraunfeld5@weibo.com</v>
      </c>
      <c r="D7" s="4">
        <f>IFERROR(__xludf.DUMMYFUNCTION("""COMPUTED_VALUE"""),29.0)</f>
        <v>29</v>
      </c>
      <c r="E7" s="4">
        <f>IFERROR(__xludf.DUMMYFUNCTION("""COMPUTED_VALUE"""),81.0)</f>
        <v>81</v>
      </c>
      <c r="F7" s="4">
        <f>IFERROR(__xludf.DUMMYFUNCTION("""COMPUTED_VALUE"""),2.0)</f>
        <v>2</v>
      </c>
      <c r="G7" s="4">
        <f>IFERROR(__xludf.DUMMYFUNCTION("""COMPUTED_VALUE"""),808.0)</f>
        <v>808</v>
      </c>
      <c r="H7" s="5">
        <f>IFERROR(__xludf.DUMMYFUNCTION("""COMPUTED_VALUE"""),4737.37)</f>
        <v>4737.37</v>
      </c>
      <c r="I7" s="5">
        <f>IFERROR(__xludf.DUMMYFUNCTION("""COMPUTED_VALUE"""),4177.49)</f>
        <v>4177.49</v>
      </c>
      <c r="J7" s="5">
        <f>IFERROR(__xludf.DUMMYFUNCTION("""COMPUTED_VALUE"""),8656.64)</f>
        <v>8656.64</v>
      </c>
      <c r="K7" s="5">
        <f>IFERROR(__xludf.DUMMYFUNCTION("""COMPUTED_VALUE"""),739.85)</f>
        <v>739.85</v>
      </c>
      <c r="L7" s="4">
        <f>IFERROR(__xludf.DUMMYFUNCTION("""COMPUTED_VALUE"""),18.0)</f>
        <v>18</v>
      </c>
      <c r="M7" s="4">
        <f>IFERROR(__xludf.DUMMYFUNCTION("""COMPUTED_VALUE"""),21.0)</f>
        <v>21</v>
      </c>
      <c r="N7" s="2" t="str">
        <f>IFERROR(__xludf.DUMMYFUNCTION("""COMPUTED_VALUE"""),"VERDADERO")</f>
        <v>VERDADERO</v>
      </c>
    </row>
    <row r="8">
      <c r="A8" s="2">
        <f>IFERROR(__xludf.DUMMYFUNCTION("""COMPUTED_VALUE"""),7.0)</f>
        <v>7</v>
      </c>
      <c r="B8" s="2" t="str">
        <f>IFERROR(__xludf.DUMMYFUNCTION("""COMPUTED_VALUE"""),"Melina Geering")</f>
        <v>Melina Geering</v>
      </c>
      <c r="C8" s="2" t="str">
        <f>IFERROR(__xludf.DUMMYFUNCTION("""COMPUTED_VALUE"""),"mgeering6@uol.com.br")</f>
        <v>mgeering6@uol.com.br</v>
      </c>
      <c r="D8" s="4">
        <f>IFERROR(__xludf.DUMMYFUNCTION("""COMPUTED_VALUE"""),139.0)</f>
        <v>139</v>
      </c>
      <c r="E8" s="4">
        <f>IFERROR(__xludf.DUMMYFUNCTION("""COMPUTED_VALUE"""),81.0)</f>
        <v>81</v>
      </c>
      <c r="F8" s="4">
        <f>IFERROR(__xludf.DUMMYFUNCTION("""COMPUTED_VALUE"""),2.0)</f>
        <v>2</v>
      </c>
      <c r="G8" s="4">
        <f>IFERROR(__xludf.DUMMYFUNCTION("""COMPUTED_VALUE"""),357.0)</f>
        <v>357</v>
      </c>
      <c r="H8" s="5">
        <f>IFERROR(__xludf.DUMMYFUNCTION("""COMPUTED_VALUE"""),6299.93)</f>
        <v>6299.93</v>
      </c>
      <c r="I8" s="5">
        <f>IFERROR(__xludf.DUMMYFUNCTION("""COMPUTED_VALUE"""),5599.63)</f>
        <v>5599.63</v>
      </c>
      <c r="J8" s="5">
        <f>IFERROR(__xludf.DUMMYFUNCTION("""COMPUTED_VALUE"""),4753.33)</f>
        <v>4753.33</v>
      </c>
      <c r="K8" s="5">
        <f>IFERROR(__xludf.DUMMYFUNCTION("""COMPUTED_VALUE"""),875.2)</f>
        <v>875.2</v>
      </c>
      <c r="L8" s="4">
        <f>IFERROR(__xludf.DUMMYFUNCTION("""COMPUTED_VALUE"""),13.0)</f>
        <v>13</v>
      </c>
      <c r="M8" s="4">
        <f>IFERROR(__xludf.DUMMYFUNCTION("""COMPUTED_VALUE"""),98.0)</f>
        <v>98</v>
      </c>
      <c r="N8" s="2" t="str">
        <f>IFERROR(__xludf.DUMMYFUNCTION("""COMPUTED_VALUE"""),"FALSO")</f>
        <v>FALSO</v>
      </c>
    </row>
    <row r="9">
      <c r="A9" s="2">
        <f>IFERROR(__xludf.DUMMYFUNCTION("""COMPUTED_VALUE"""),8.0)</f>
        <v>8</v>
      </c>
      <c r="B9" s="2" t="str">
        <f>IFERROR(__xludf.DUMMYFUNCTION("""COMPUTED_VALUE"""),"Saundra Cutridge")</f>
        <v>Saundra Cutridge</v>
      </c>
      <c r="C9" s="2" t="str">
        <f>IFERROR(__xludf.DUMMYFUNCTION("""COMPUTED_VALUE"""),"scutridge7@typepad.com")</f>
        <v>scutridge7@typepad.com</v>
      </c>
      <c r="D9" s="4">
        <f>IFERROR(__xludf.DUMMYFUNCTION("""COMPUTED_VALUE"""),65.0)</f>
        <v>65</v>
      </c>
      <c r="E9" s="4">
        <f>IFERROR(__xludf.DUMMYFUNCTION("""COMPUTED_VALUE"""),64.0)</f>
        <v>64</v>
      </c>
      <c r="F9" s="4">
        <f>IFERROR(__xludf.DUMMYFUNCTION("""COMPUTED_VALUE"""),4.0)</f>
        <v>4</v>
      </c>
      <c r="G9" s="4">
        <f>IFERROR(__xludf.DUMMYFUNCTION("""COMPUTED_VALUE"""),1435.0)</f>
        <v>1435</v>
      </c>
      <c r="H9" s="5">
        <f>IFERROR(__xludf.DUMMYFUNCTION("""COMPUTED_VALUE"""),4420.65)</f>
        <v>4420.65</v>
      </c>
      <c r="I9" s="5">
        <f>IFERROR(__xludf.DUMMYFUNCTION("""COMPUTED_VALUE"""),8219.37)</f>
        <v>8219.37</v>
      </c>
      <c r="J9" s="5">
        <f>IFERROR(__xludf.DUMMYFUNCTION("""COMPUTED_VALUE"""),1139.61)</f>
        <v>1139.61</v>
      </c>
      <c r="K9" s="5">
        <f>IFERROR(__xludf.DUMMYFUNCTION("""COMPUTED_VALUE"""),7034.81)</f>
        <v>7034.81</v>
      </c>
      <c r="L9" s="4">
        <f>IFERROR(__xludf.DUMMYFUNCTION("""COMPUTED_VALUE"""),6.0)</f>
        <v>6</v>
      </c>
      <c r="M9" s="4">
        <f>IFERROR(__xludf.DUMMYFUNCTION("""COMPUTED_VALUE"""),37.0)</f>
        <v>37</v>
      </c>
      <c r="N9" s="2" t="str">
        <f>IFERROR(__xludf.DUMMYFUNCTION("""COMPUTED_VALUE"""),"VERDADERO")</f>
        <v>VERDADERO</v>
      </c>
    </row>
    <row r="10">
      <c r="A10" s="2">
        <f>IFERROR(__xludf.DUMMYFUNCTION("""COMPUTED_VALUE"""),9.0)</f>
        <v>9</v>
      </c>
      <c r="B10" s="2" t="str">
        <f>IFERROR(__xludf.DUMMYFUNCTION("""COMPUTED_VALUE"""),"Marlo Sier")</f>
        <v>Marlo Sier</v>
      </c>
      <c r="C10" s="2" t="str">
        <f>IFERROR(__xludf.DUMMYFUNCTION("""COMPUTED_VALUE"""),"msier8@tripod.com")</f>
        <v>msier8@tripod.com</v>
      </c>
      <c r="D10" s="4">
        <f>IFERROR(__xludf.DUMMYFUNCTION("""COMPUTED_VALUE"""),150.0)</f>
        <v>150</v>
      </c>
      <c r="E10" s="4">
        <f>IFERROR(__xludf.DUMMYFUNCTION("""COMPUTED_VALUE"""),109.0)</f>
        <v>109</v>
      </c>
      <c r="F10" s="4">
        <f>IFERROR(__xludf.DUMMYFUNCTION("""COMPUTED_VALUE"""),5.0)</f>
        <v>5</v>
      </c>
      <c r="G10" s="4">
        <f>IFERROR(__xludf.DUMMYFUNCTION("""COMPUTED_VALUE"""),495.0)</f>
        <v>495</v>
      </c>
      <c r="H10" s="5">
        <f>IFERROR(__xludf.DUMMYFUNCTION("""COMPUTED_VALUE"""),7613.69)</f>
        <v>7613.69</v>
      </c>
      <c r="I10" s="5">
        <f>IFERROR(__xludf.DUMMYFUNCTION("""COMPUTED_VALUE"""),2774.11)</f>
        <v>2774.11</v>
      </c>
      <c r="J10" s="5">
        <f>IFERROR(__xludf.DUMMYFUNCTION("""COMPUTED_VALUE"""),5463.79)</f>
        <v>5463.79</v>
      </c>
      <c r="K10" s="5">
        <f>IFERROR(__xludf.DUMMYFUNCTION("""COMPUTED_VALUE"""),7454.54)</f>
        <v>7454.54</v>
      </c>
      <c r="L10" s="4">
        <f>IFERROR(__xludf.DUMMYFUNCTION("""COMPUTED_VALUE"""),5.0)</f>
        <v>5</v>
      </c>
      <c r="M10" s="4">
        <f>IFERROR(__xludf.DUMMYFUNCTION("""COMPUTED_VALUE"""),87.0)</f>
        <v>87</v>
      </c>
      <c r="N10" s="2" t="str">
        <f>IFERROR(__xludf.DUMMYFUNCTION("""COMPUTED_VALUE"""),"VERDADERO")</f>
        <v>VERDADERO</v>
      </c>
    </row>
    <row r="11">
      <c r="A11" s="2">
        <f>IFERROR(__xludf.DUMMYFUNCTION("""COMPUTED_VALUE"""),10.0)</f>
        <v>10</v>
      </c>
      <c r="B11" s="2" t="str">
        <f>IFERROR(__xludf.DUMMYFUNCTION("""COMPUTED_VALUE"""),"Adelheid Hatherall")</f>
        <v>Adelheid Hatherall</v>
      </c>
      <c r="C11" s="2" t="str">
        <f>IFERROR(__xludf.DUMMYFUNCTION("""COMPUTED_VALUE"""),"ahatherall9@vk.com")</f>
        <v>ahatherall9@vk.com</v>
      </c>
      <c r="D11" s="4">
        <f>IFERROR(__xludf.DUMMYFUNCTION("""COMPUTED_VALUE"""),153.0)</f>
        <v>153</v>
      </c>
      <c r="E11" s="4">
        <f>IFERROR(__xludf.DUMMYFUNCTION("""COMPUTED_VALUE"""),66.0)</f>
        <v>66</v>
      </c>
      <c r="F11" s="4">
        <f>IFERROR(__xludf.DUMMYFUNCTION("""COMPUTED_VALUE"""),6.0)</f>
        <v>6</v>
      </c>
      <c r="G11" s="4">
        <f>IFERROR(__xludf.DUMMYFUNCTION("""COMPUTED_VALUE"""),752.0)</f>
        <v>752</v>
      </c>
      <c r="H11" s="5">
        <f>IFERROR(__xludf.DUMMYFUNCTION("""COMPUTED_VALUE"""),1034.54)</f>
        <v>1034.54</v>
      </c>
      <c r="I11" s="5">
        <f>IFERROR(__xludf.DUMMYFUNCTION("""COMPUTED_VALUE"""),5670.51)</f>
        <v>5670.51</v>
      </c>
      <c r="J11" s="5">
        <f>IFERROR(__xludf.DUMMYFUNCTION("""COMPUTED_VALUE"""),1764.31)</f>
        <v>1764.31</v>
      </c>
      <c r="K11" s="5">
        <f>IFERROR(__xludf.DUMMYFUNCTION("""COMPUTED_VALUE"""),4168.1)</f>
        <v>4168.1</v>
      </c>
      <c r="L11" s="4">
        <f>IFERROR(__xludf.DUMMYFUNCTION("""COMPUTED_VALUE"""),8.0)</f>
        <v>8</v>
      </c>
      <c r="M11" s="4">
        <f>IFERROR(__xludf.DUMMYFUNCTION("""COMPUTED_VALUE"""),84.0)</f>
        <v>84</v>
      </c>
      <c r="N11" s="2" t="str">
        <f>IFERROR(__xludf.DUMMYFUNCTION("""COMPUTED_VALUE"""),"VERDADERO")</f>
        <v>VERDADERO</v>
      </c>
    </row>
    <row r="12">
      <c r="A12" s="2">
        <f>IFERROR(__xludf.DUMMYFUNCTION("""COMPUTED_VALUE"""),11.0)</f>
        <v>11</v>
      </c>
      <c r="B12" s="2" t="str">
        <f>IFERROR(__xludf.DUMMYFUNCTION("""COMPUTED_VALUE"""),"Gene Charlton")</f>
        <v>Gene Charlton</v>
      </c>
      <c r="C12" s="2" t="str">
        <f>IFERROR(__xludf.DUMMYFUNCTION("""COMPUTED_VALUE"""),"gcharltona@dot.gov")</f>
        <v>gcharltona@dot.gov</v>
      </c>
      <c r="D12" s="4">
        <f>IFERROR(__xludf.DUMMYFUNCTION("""COMPUTED_VALUE"""),124.0)</f>
        <v>124</v>
      </c>
      <c r="E12" s="4">
        <f>IFERROR(__xludf.DUMMYFUNCTION("""COMPUTED_VALUE"""),81.0)</f>
        <v>81</v>
      </c>
      <c r="F12" s="4">
        <f>IFERROR(__xludf.DUMMYFUNCTION("""COMPUTED_VALUE"""),2.0)</f>
        <v>2</v>
      </c>
      <c r="G12" s="4">
        <f>IFERROR(__xludf.DUMMYFUNCTION("""COMPUTED_VALUE"""),1558.0)</f>
        <v>1558</v>
      </c>
      <c r="H12" s="5">
        <f>IFERROR(__xludf.DUMMYFUNCTION("""COMPUTED_VALUE"""),5752.54)</f>
        <v>5752.54</v>
      </c>
      <c r="I12" s="5">
        <f>IFERROR(__xludf.DUMMYFUNCTION("""COMPUTED_VALUE"""),7006.25)</f>
        <v>7006.25</v>
      </c>
      <c r="J12" s="5">
        <f>IFERROR(__xludf.DUMMYFUNCTION("""COMPUTED_VALUE"""),8369.33)</f>
        <v>8369.33</v>
      </c>
      <c r="K12" s="5">
        <f>IFERROR(__xludf.DUMMYFUNCTION("""COMPUTED_VALUE"""),5111.28)</f>
        <v>5111.28</v>
      </c>
      <c r="L12" s="4">
        <f>IFERROR(__xludf.DUMMYFUNCTION("""COMPUTED_VALUE"""),12.0)</f>
        <v>12</v>
      </c>
      <c r="M12" s="4">
        <f>IFERROR(__xludf.DUMMYFUNCTION("""COMPUTED_VALUE"""),22.0)</f>
        <v>22</v>
      </c>
      <c r="N12" s="2" t="str">
        <f>IFERROR(__xludf.DUMMYFUNCTION("""COMPUTED_VALUE"""),"FALSO")</f>
        <v>FALSO</v>
      </c>
    </row>
    <row r="13">
      <c r="A13" s="2">
        <f>IFERROR(__xludf.DUMMYFUNCTION("""COMPUTED_VALUE"""),12.0)</f>
        <v>12</v>
      </c>
      <c r="B13" s="2" t="str">
        <f>IFERROR(__xludf.DUMMYFUNCTION("""COMPUTED_VALUE"""),"Lura Boulter")</f>
        <v>Lura Boulter</v>
      </c>
      <c r="C13" s="2" t="str">
        <f>IFERROR(__xludf.DUMMYFUNCTION("""COMPUTED_VALUE"""),"lboulterb@yellowpages.com")</f>
        <v>lboulterb@yellowpages.com</v>
      </c>
      <c r="D13" s="4">
        <f>IFERROR(__xludf.DUMMYFUNCTION("""COMPUTED_VALUE"""),120.0)</f>
        <v>120</v>
      </c>
      <c r="E13" s="4">
        <f>IFERROR(__xludf.DUMMYFUNCTION("""COMPUTED_VALUE"""),67.0)</f>
        <v>67</v>
      </c>
      <c r="F13" s="4">
        <f>IFERROR(__xludf.DUMMYFUNCTION("""COMPUTED_VALUE"""),7.0)</f>
        <v>7</v>
      </c>
      <c r="G13" s="4">
        <f>IFERROR(__xludf.DUMMYFUNCTION("""COMPUTED_VALUE"""),271.0)</f>
        <v>271</v>
      </c>
      <c r="H13" s="5">
        <f>IFERROR(__xludf.DUMMYFUNCTION("""COMPUTED_VALUE"""),1077.2)</f>
        <v>1077.2</v>
      </c>
      <c r="I13" s="5">
        <f>IFERROR(__xludf.DUMMYFUNCTION("""COMPUTED_VALUE"""),605.26)</f>
        <v>605.26</v>
      </c>
      <c r="J13" s="5">
        <f>IFERROR(__xludf.DUMMYFUNCTION("""COMPUTED_VALUE"""),692.3)</f>
        <v>692.3</v>
      </c>
      <c r="K13" s="5">
        <f>IFERROR(__xludf.DUMMYFUNCTION("""COMPUTED_VALUE"""),6782.66)</f>
        <v>6782.66</v>
      </c>
      <c r="L13" s="4">
        <f>IFERROR(__xludf.DUMMYFUNCTION("""COMPUTED_VALUE"""),16.0)</f>
        <v>16</v>
      </c>
      <c r="M13" s="4">
        <f>IFERROR(__xludf.DUMMYFUNCTION("""COMPUTED_VALUE"""),88.0)</f>
        <v>88</v>
      </c>
      <c r="N13" s="2" t="str">
        <f>IFERROR(__xludf.DUMMYFUNCTION("""COMPUTED_VALUE"""),"FALSO")</f>
        <v>FALSO</v>
      </c>
    </row>
    <row r="14">
      <c r="A14" s="2">
        <f>IFERROR(__xludf.DUMMYFUNCTION("""COMPUTED_VALUE"""),13.0)</f>
        <v>13</v>
      </c>
      <c r="B14" s="2" t="str">
        <f>IFERROR(__xludf.DUMMYFUNCTION("""COMPUTED_VALUE"""),"Natalina Hove")</f>
        <v>Natalina Hove</v>
      </c>
      <c r="C14" s="2" t="str">
        <f>IFERROR(__xludf.DUMMYFUNCTION("""COMPUTED_VALUE"""),"nhovec@harvard.edu")</f>
        <v>nhovec@harvard.edu</v>
      </c>
      <c r="D14" s="4">
        <f>IFERROR(__xludf.DUMMYFUNCTION("""COMPUTED_VALUE"""),150.0)</f>
        <v>150</v>
      </c>
      <c r="E14" s="4">
        <f>IFERROR(__xludf.DUMMYFUNCTION("""COMPUTED_VALUE"""),64.0)</f>
        <v>64</v>
      </c>
      <c r="F14" s="4">
        <f>IFERROR(__xludf.DUMMYFUNCTION("""COMPUTED_VALUE"""),4.0)</f>
        <v>4</v>
      </c>
      <c r="G14" s="4">
        <f>IFERROR(__xludf.DUMMYFUNCTION("""COMPUTED_VALUE"""),704.0)</f>
        <v>704</v>
      </c>
      <c r="H14" s="5">
        <f>IFERROR(__xludf.DUMMYFUNCTION("""COMPUTED_VALUE"""),8214.6)</f>
        <v>8214.6</v>
      </c>
      <c r="I14" s="5">
        <f>IFERROR(__xludf.DUMMYFUNCTION("""COMPUTED_VALUE"""),2916.55)</f>
        <v>2916.55</v>
      </c>
      <c r="J14" s="5">
        <f>IFERROR(__xludf.DUMMYFUNCTION("""COMPUTED_VALUE"""),1036.81)</f>
        <v>1036.81</v>
      </c>
      <c r="K14" s="5">
        <f>IFERROR(__xludf.DUMMYFUNCTION("""COMPUTED_VALUE"""),5904.61)</f>
        <v>5904.61</v>
      </c>
      <c r="L14" s="4">
        <f>IFERROR(__xludf.DUMMYFUNCTION("""COMPUTED_VALUE"""),14.0)</f>
        <v>14</v>
      </c>
      <c r="M14" s="4">
        <f>IFERROR(__xludf.DUMMYFUNCTION("""COMPUTED_VALUE"""),80.0)</f>
        <v>80</v>
      </c>
      <c r="N14" s="2" t="str">
        <f>IFERROR(__xludf.DUMMYFUNCTION("""COMPUTED_VALUE"""),"FALSO")</f>
        <v>FALSO</v>
      </c>
    </row>
    <row r="15">
      <c r="A15" s="2">
        <f>IFERROR(__xludf.DUMMYFUNCTION("""COMPUTED_VALUE"""),14.0)</f>
        <v>14</v>
      </c>
      <c r="B15" s="2" t="str">
        <f>IFERROR(__xludf.DUMMYFUNCTION("""COMPUTED_VALUE"""),"Tania Folks")</f>
        <v>Tania Folks</v>
      </c>
      <c r="C15" s="2" t="str">
        <f>IFERROR(__xludf.DUMMYFUNCTION("""COMPUTED_VALUE"""),"tfolksd@ycombinator.com")</f>
        <v>tfolksd@ycombinator.com</v>
      </c>
      <c r="D15" s="4">
        <f>IFERROR(__xludf.DUMMYFUNCTION("""COMPUTED_VALUE"""),157.0)</f>
        <v>157</v>
      </c>
      <c r="E15" s="4">
        <f>IFERROR(__xludf.DUMMYFUNCTION("""COMPUTED_VALUE"""),18.0)</f>
        <v>18</v>
      </c>
      <c r="F15" s="4">
        <f>IFERROR(__xludf.DUMMYFUNCTION("""COMPUTED_VALUE"""),8.0)</f>
        <v>8</v>
      </c>
      <c r="G15" s="4">
        <f>IFERROR(__xludf.DUMMYFUNCTION("""COMPUTED_VALUE"""),296.0)</f>
        <v>296</v>
      </c>
      <c r="H15" s="5">
        <f>IFERROR(__xludf.DUMMYFUNCTION("""COMPUTED_VALUE"""),3605.72)</f>
        <v>3605.72</v>
      </c>
      <c r="I15" s="5">
        <f>IFERROR(__xludf.DUMMYFUNCTION("""COMPUTED_VALUE"""),2123.14)</f>
        <v>2123.14</v>
      </c>
      <c r="J15" s="5">
        <f>IFERROR(__xludf.DUMMYFUNCTION("""COMPUTED_VALUE"""),9240.1)</f>
        <v>9240.1</v>
      </c>
      <c r="K15" s="5">
        <f>IFERROR(__xludf.DUMMYFUNCTION("""COMPUTED_VALUE"""),599.31)</f>
        <v>599.31</v>
      </c>
      <c r="L15" s="4">
        <f>IFERROR(__xludf.DUMMYFUNCTION("""COMPUTED_VALUE"""),1.0)</f>
        <v>1</v>
      </c>
      <c r="M15" s="4">
        <f>IFERROR(__xludf.DUMMYFUNCTION("""COMPUTED_VALUE"""),56.0)</f>
        <v>56</v>
      </c>
      <c r="N15" s="2" t="str">
        <f>IFERROR(__xludf.DUMMYFUNCTION("""COMPUTED_VALUE"""),"FALSO")</f>
        <v>FALSO</v>
      </c>
    </row>
    <row r="16">
      <c r="A16" s="2">
        <f>IFERROR(__xludf.DUMMYFUNCTION("""COMPUTED_VALUE"""),15.0)</f>
        <v>15</v>
      </c>
      <c r="B16" s="2" t="str">
        <f>IFERROR(__xludf.DUMMYFUNCTION("""COMPUTED_VALUE"""),"Petra Whitland")</f>
        <v>Petra Whitland</v>
      </c>
      <c r="C16" s="2" t="str">
        <f>IFERROR(__xludf.DUMMYFUNCTION("""COMPUTED_VALUE"""),"pwhitlande@nbcnews.com")</f>
        <v>pwhitlande@nbcnews.com</v>
      </c>
      <c r="D16" s="4">
        <f>IFERROR(__xludf.DUMMYFUNCTION("""COMPUTED_VALUE"""),124.0)</f>
        <v>124</v>
      </c>
      <c r="E16" s="4">
        <f>IFERROR(__xludf.DUMMYFUNCTION("""COMPUTED_VALUE"""),64.0)</f>
        <v>64</v>
      </c>
      <c r="F16" s="4">
        <f>IFERROR(__xludf.DUMMYFUNCTION("""COMPUTED_VALUE"""),4.0)</f>
        <v>4</v>
      </c>
      <c r="G16" s="4">
        <f>IFERROR(__xludf.DUMMYFUNCTION("""COMPUTED_VALUE"""),1314.0)</f>
        <v>1314</v>
      </c>
      <c r="H16" s="5">
        <f>IFERROR(__xludf.DUMMYFUNCTION("""COMPUTED_VALUE"""),4099.92)</f>
        <v>4099.92</v>
      </c>
      <c r="I16" s="5">
        <f>IFERROR(__xludf.DUMMYFUNCTION("""COMPUTED_VALUE"""),5101.49)</f>
        <v>5101.49</v>
      </c>
      <c r="J16" s="5">
        <f>IFERROR(__xludf.DUMMYFUNCTION("""COMPUTED_VALUE"""),394.53)</f>
        <v>394.53</v>
      </c>
      <c r="K16" s="5">
        <f>IFERROR(__xludf.DUMMYFUNCTION("""COMPUTED_VALUE"""),8795.64)</f>
        <v>8795.64</v>
      </c>
      <c r="L16" s="4">
        <f>IFERROR(__xludf.DUMMYFUNCTION("""COMPUTED_VALUE"""),15.0)</f>
        <v>15</v>
      </c>
      <c r="M16" s="4">
        <f>IFERROR(__xludf.DUMMYFUNCTION("""COMPUTED_VALUE"""),54.0)</f>
        <v>54</v>
      </c>
      <c r="N16" s="2" t="str">
        <f>IFERROR(__xludf.DUMMYFUNCTION("""COMPUTED_VALUE"""),"FALSO")</f>
        <v>FALSO</v>
      </c>
    </row>
    <row r="17">
      <c r="A17" s="2">
        <f>IFERROR(__xludf.DUMMYFUNCTION("""COMPUTED_VALUE"""),16.0)</f>
        <v>16</v>
      </c>
      <c r="B17" s="2" t="str">
        <f>IFERROR(__xludf.DUMMYFUNCTION("""COMPUTED_VALUE"""),"Germaine Buxey")</f>
        <v>Germaine Buxey</v>
      </c>
      <c r="C17" s="2" t="str">
        <f>IFERROR(__xludf.DUMMYFUNCTION("""COMPUTED_VALUE"""),"gbuxeyf@bandcamp.com")</f>
        <v>gbuxeyf@bandcamp.com</v>
      </c>
      <c r="D17" s="4">
        <f>IFERROR(__xludf.DUMMYFUNCTION("""COMPUTED_VALUE"""),89.0)</f>
        <v>89</v>
      </c>
      <c r="E17" s="4">
        <f>IFERROR(__xludf.DUMMYFUNCTION("""COMPUTED_VALUE"""),100.0)</f>
        <v>100</v>
      </c>
      <c r="F17" s="4">
        <f>IFERROR(__xludf.DUMMYFUNCTION("""COMPUTED_VALUE"""),9.0)</f>
        <v>9</v>
      </c>
      <c r="G17" s="4">
        <f>IFERROR(__xludf.DUMMYFUNCTION("""COMPUTED_VALUE"""),1002.0)</f>
        <v>1002</v>
      </c>
      <c r="H17" s="5">
        <f>IFERROR(__xludf.DUMMYFUNCTION("""COMPUTED_VALUE"""),6075.79)</f>
        <v>6075.79</v>
      </c>
      <c r="I17" s="5">
        <f>IFERROR(__xludf.DUMMYFUNCTION("""COMPUTED_VALUE"""),2557.9)</f>
        <v>2557.9</v>
      </c>
      <c r="J17" s="5">
        <f>IFERROR(__xludf.DUMMYFUNCTION("""COMPUTED_VALUE"""),3905.35)</f>
        <v>3905.35</v>
      </c>
      <c r="K17" s="5">
        <f>IFERROR(__xludf.DUMMYFUNCTION("""COMPUTED_VALUE"""),6361.13)</f>
        <v>6361.13</v>
      </c>
      <c r="L17" s="4">
        <f>IFERROR(__xludf.DUMMYFUNCTION("""COMPUTED_VALUE"""),1.0)</f>
        <v>1</v>
      </c>
      <c r="M17" s="4">
        <f>IFERROR(__xludf.DUMMYFUNCTION("""COMPUTED_VALUE"""),72.0)</f>
        <v>72</v>
      </c>
      <c r="N17" s="2" t="str">
        <f>IFERROR(__xludf.DUMMYFUNCTION("""COMPUTED_VALUE"""),"FALSO")</f>
        <v>FALSO</v>
      </c>
    </row>
    <row r="18">
      <c r="A18" s="2">
        <f>IFERROR(__xludf.DUMMYFUNCTION("""COMPUTED_VALUE"""),17.0)</f>
        <v>17</v>
      </c>
      <c r="B18" s="2" t="str">
        <f>IFERROR(__xludf.DUMMYFUNCTION("""COMPUTED_VALUE"""),"Grenville Marti")</f>
        <v>Grenville Marti</v>
      </c>
      <c r="C18" s="2" t="str">
        <f>IFERROR(__xludf.DUMMYFUNCTION("""COMPUTED_VALUE"""),"gmartig@multiply.com")</f>
        <v>gmartig@multiply.com</v>
      </c>
      <c r="D18" s="4">
        <f>IFERROR(__xludf.DUMMYFUNCTION("""COMPUTED_VALUE"""),20.0)</f>
        <v>20</v>
      </c>
      <c r="E18" s="4">
        <f>IFERROR(__xludf.DUMMYFUNCTION("""COMPUTED_VALUE"""),66.0)</f>
        <v>66</v>
      </c>
      <c r="F18" s="4">
        <f>IFERROR(__xludf.DUMMYFUNCTION("""COMPUTED_VALUE"""),6.0)</f>
        <v>6</v>
      </c>
      <c r="G18" s="4">
        <f>IFERROR(__xludf.DUMMYFUNCTION("""COMPUTED_VALUE"""),419.0)</f>
        <v>419</v>
      </c>
      <c r="H18" s="5">
        <f>IFERROR(__xludf.DUMMYFUNCTION("""COMPUTED_VALUE"""),5112.3)</f>
        <v>5112.3</v>
      </c>
      <c r="I18" s="5">
        <f>IFERROR(__xludf.DUMMYFUNCTION("""COMPUTED_VALUE"""),6477.16)</f>
        <v>6477.16</v>
      </c>
      <c r="J18" s="5">
        <f>IFERROR(__xludf.DUMMYFUNCTION("""COMPUTED_VALUE"""),675.88)</f>
        <v>675.88</v>
      </c>
      <c r="K18" s="5">
        <f>IFERROR(__xludf.DUMMYFUNCTION("""COMPUTED_VALUE"""),4264.3)</f>
        <v>4264.3</v>
      </c>
      <c r="L18" s="4">
        <f>IFERROR(__xludf.DUMMYFUNCTION("""COMPUTED_VALUE"""),5.0)</f>
        <v>5</v>
      </c>
      <c r="M18" s="4">
        <f>IFERROR(__xludf.DUMMYFUNCTION("""COMPUTED_VALUE"""),33.0)</f>
        <v>33</v>
      </c>
      <c r="N18" s="2" t="str">
        <f>IFERROR(__xludf.DUMMYFUNCTION("""COMPUTED_VALUE"""),"VERDADERO")</f>
        <v>VERDADERO</v>
      </c>
    </row>
    <row r="19">
      <c r="A19" s="2">
        <f>IFERROR(__xludf.DUMMYFUNCTION("""COMPUTED_VALUE"""),18.0)</f>
        <v>18</v>
      </c>
      <c r="B19" s="2" t="str">
        <f>IFERROR(__xludf.DUMMYFUNCTION("""COMPUTED_VALUE"""),"Giraldo Sedger")</f>
        <v>Giraldo Sedger</v>
      </c>
      <c r="C19" s="2" t="str">
        <f>IFERROR(__xludf.DUMMYFUNCTION("""COMPUTED_VALUE"""),"gsedgerh@delicious.com")</f>
        <v>gsedgerh@delicious.com</v>
      </c>
      <c r="D19" s="4">
        <f>IFERROR(__xludf.DUMMYFUNCTION("""COMPUTED_VALUE"""),65.0)</f>
        <v>65</v>
      </c>
      <c r="E19" s="4">
        <f>IFERROR(__xludf.DUMMYFUNCTION("""COMPUTED_VALUE"""),81.0)</f>
        <v>81</v>
      </c>
      <c r="F19" s="4">
        <f>IFERROR(__xludf.DUMMYFUNCTION("""COMPUTED_VALUE"""),2.0)</f>
        <v>2</v>
      </c>
      <c r="G19" s="4">
        <f>IFERROR(__xludf.DUMMYFUNCTION("""COMPUTED_VALUE"""),563.0)</f>
        <v>563</v>
      </c>
      <c r="H19" s="5">
        <f>IFERROR(__xludf.DUMMYFUNCTION("""COMPUTED_VALUE"""),1982.19)</f>
        <v>1982.19</v>
      </c>
      <c r="I19" s="5">
        <f>IFERROR(__xludf.DUMMYFUNCTION("""COMPUTED_VALUE"""),5002.47)</f>
        <v>5002.47</v>
      </c>
      <c r="J19" s="5">
        <f>IFERROR(__xludf.DUMMYFUNCTION("""COMPUTED_VALUE"""),696.51)</f>
        <v>696.51</v>
      </c>
      <c r="K19" s="5">
        <f>IFERROR(__xludf.DUMMYFUNCTION("""COMPUTED_VALUE"""),3038.71)</f>
        <v>3038.71</v>
      </c>
      <c r="L19" s="4">
        <f>IFERROR(__xludf.DUMMYFUNCTION("""COMPUTED_VALUE"""),20.0)</f>
        <v>20</v>
      </c>
      <c r="M19" s="4">
        <f>IFERROR(__xludf.DUMMYFUNCTION("""COMPUTED_VALUE"""),85.0)</f>
        <v>85</v>
      </c>
      <c r="N19" s="2" t="str">
        <f>IFERROR(__xludf.DUMMYFUNCTION("""COMPUTED_VALUE"""),"FALSO")</f>
        <v>FALSO</v>
      </c>
    </row>
    <row r="20">
      <c r="A20" s="2">
        <f>IFERROR(__xludf.DUMMYFUNCTION("""COMPUTED_VALUE"""),19.0)</f>
        <v>19</v>
      </c>
      <c r="B20" s="2" t="str">
        <f>IFERROR(__xludf.DUMMYFUNCTION("""COMPUTED_VALUE"""),"Giusto Crier")</f>
        <v>Giusto Crier</v>
      </c>
      <c r="C20" s="2" t="str">
        <f>IFERROR(__xludf.DUMMYFUNCTION("""COMPUTED_VALUE"""),"gcrieri@unicef.org")</f>
        <v>gcrieri@unicef.org</v>
      </c>
      <c r="D20" s="4">
        <f>IFERROR(__xludf.DUMMYFUNCTION("""COMPUTED_VALUE"""),121.0)</f>
        <v>121</v>
      </c>
      <c r="E20" s="4">
        <f>IFERROR(__xludf.DUMMYFUNCTION("""COMPUTED_VALUE"""),44.0)</f>
        <v>44</v>
      </c>
      <c r="F20" s="4">
        <f>IFERROR(__xludf.DUMMYFUNCTION("""COMPUTED_VALUE"""),9.0)</f>
        <v>9</v>
      </c>
      <c r="G20" s="4">
        <f>IFERROR(__xludf.DUMMYFUNCTION("""COMPUTED_VALUE"""),908.0)</f>
        <v>908</v>
      </c>
      <c r="H20" s="5">
        <f>IFERROR(__xludf.DUMMYFUNCTION("""COMPUTED_VALUE"""),5449.79)</f>
        <v>5449.79</v>
      </c>
      <c r="I20" s="5">
        <f>IFERROR(__xludf.DUMMYFUNCTION("""COMPUTED_VALUE"""),4399.51)</f>
        <v>4399.51</v>
      </c>
      <c r="J20" s="5">
        <f>IFERROR(__xludf.DUMMYFUNCTION("""COMPUTED_VALUE"""),1740.75)</f>
        <v>1740.75</v>
      </c>
      <c r="K20" s="5">
        <f>IFERROR(__xludf.DUMMYFUNCTION("""COMPUTED_VALUE"""),9646.67)</f>
        <v>9646.67</v>
      </c>
      <c r="L20" s="4">
        <f>IFERROR(__xludf.DUMMYFUNCTION("""COMPUTED_VALUE"""),7.0)</f>
        <v>7</v>
      </c>
      <c r="M20" s="4">
        <f>IFERROR(__xludf.DUMMYFUNCTION("""COMPUTED_VALUE"""),76.0)</f>
        <v>76</v>
      </c>
      <c r="N20" s="2" t="str">
        <f>IFERROR(__xludf.DUMMYFUNCTION("""COMPUTED_VALUE"""),"VERDADERO")</f>
        <v>VERDADERO</v>
      </c>
    </row>
    <row r="21">
      <c r="A21" s="2">
        <f>IFERROR(__xludf.DUMMYFUNCTION("""COMPUTED_VALUE"""),20.0)</f>
        <v>20</v>
      </c>
      <c r="B21" s="2" t="str">
        <f>IFERROR(__xludf.DUMMYFUNCTION("""COMPUTED_VALUE"""),"Ives Magwood")</f>
        <v>Ives Magwood</v>
      </c>
      <c r="C21" s="2" t="str">
        <f>IFERROR(__xludf.DUMMYFUNCTION("""COMPUTED_VALUE"""),"imagwoodj@nba.com")</f>
        <v>imagwoodj@nba.com</v>
      </c>
      <c r="D21" s="4">
        <f>IFERROR(__xludf.DUMMYFUNCTION("""COMPUTED_VALUE"""),29.0)</f>
        <v>29</v>
      </c>
      <c r="E21" s="4">
        <f>IFERROR(__xludf.DUMMYFUNCTION("""COMPUTED_VALUE"""),10.0)</f>
        <v>10</v>
      </c>
      <c r="F21" s="4">
        <f>IFERROR(__xludf.DUMMYFUNCTION("""COMPUTED_VALUE"""),4.0)</f>
        <v>4</v>
      </c>
      <c r="G21" s="4">
        <f>IFERROR(__xludf.DUMMYFUNCTION("""COMPUTED_VALUE"""),714.0)</f>
        <v>714</v>
      </c>
      <c r="H21" s="5">
        <f>IFERROR(__xludf.DUMMYFUNCTION("""COMPUTED_VALUE"""),1333.31)</f>
        <v>1333.31</v>
      </c>
      <c r="I21" s="5">
        <f>IFERROR(__xludf.DUMMYFUNCTION("""COMPUTED_VALUE"""),679.45)</f>
        <v>679.45</v>
      </c>
      <c r="J21" s="5">
        <f>IFERROR(__xludf.DUMMYFUNCTION("""COMPUTED_VALUE"""),4424.4)</f>
        <v>4424.4</v>
      </c>
      <c r="K21" s="5">
        <f>IFERROR(__xludf.DUMMYFUNCTION("""COMPUTED_VALUE"""),5212.72)</f>
        <v>5212.72</v>
      </c>
      <c r="L21" s="4">
        <f>IFERROR(__xludf.DUMMYFUNCTION("""COMPUTED_VALUE"""),4.0)</f>
        <v>4</v>
      </c>
      <c r="M21" s="4">
        <f>IFERROR(__xludf.DUMMYFUNCTION("""COMPUTED_VALUE"""),38.0)</f>
        <v>38</v>
      </c>
      <c r="N21" s="2" t="str">
        <f>IFERROR(__xludf.DUMMYFUNCTION("""COMPUTED_VALUE"""),"VERDADERO")</f>
        <v>VERDADERO</v>
      </c>
    </row>
    <row r="22">
      <c r="A22" s="2">
        <f>IFERROR(__xludf.DUMMYFUNCTION("""COMPUTED_VALUE"""),21.0)</f>
        <v>21</v>
      </c>
      <c r="B22" s="2" t="str">
        <f>IFERROR(__xludf.DUMMYFUNCTION("""COMPUTED_VALUE"""),"Tod Charkham")</f>
        <v>Tod Charkham</v>
      </c>
      <c r="C22" s="2" t="str">
        <f>IFERROR(__xludf.DUMMYFUNCTION("""COMPUTED_VALUE"""),"tcharkhamk@skyrock.com")</f>
        <v>tcharkhamk@skyrock.com</v>
      </c>
      <c r="D22" s="4">
        <f>IFERROR(__xludf.DUMMYFUNCTION("""COMPUTED_VALUE"""),122.0)</f>
        <v>122</v>
      </c>
      <c r="E22" s="4">
        <f>IFERROR(__xludf.DUMMYFUNCTION("""COMPUTED_VALUE"""),107.0)</f>
        <v>107</v>
      </c>
      <c r="F22" s="4">
        <f>IFERROR(__xludf.DUMMYFUNCTION("""COMPUTED_VALUE"""),5.0)</f>
        <v>5</v>
      </c>
      <c r="G22" s="4">
        <f>IFERROR(__xludf.DUMMYFUNCTION("""COMPUTED_VALUE"""),363.0)</f>
        <v>363</v>
      </c>
      <c r="H22" s="5">
        <f>IFERROR(__xludf.DUMMYFUNCTION("""COMPUTED_VALUE"""),8643.16)</f>
        <v>8643.16</v>
      </c>
      <c r="I22" s="5">
        <f>IFERROR(__xludf.DUMMYFUNCTION("""COMPUTED_VALUE"""),5569.26)</f>
        <v>5569.26</v>
      </c>
      <c r="J22" s="5">
        <f>IFERROR(__xludf.DUMMYFUNCTION("""COMPUTED_VALUE"""),9192.21)</f>
        <v>9192.21</v>
      </c>
      <c r="K22" s="5">
        <f>IFERROR(__xludf.DUMMYFUNCTION("""COMPUTED_VALUE"""),4840.43)</f>
        <v>4840.43</v>
      </c>
      <c r="L22" s="4">
        <f>IFERROR(__xludf.DUMMYFUNCTION("""COMPUTED_VALUE"""),7.0)</f>
        <v>7</v>
      </c>
      <c r="M22" s="4">
        <f>IFERROR(__xludf.DUMMYFUNCTION("""COMPUTED_VALUE"""),12.0)</f>
        <v>12</v>
      </c>
      <c r="N22" s="2" t="str">
        <f>IFERROR(__xludf.DUMMYFUNCTION("""COMPUTED_VALUE"""),"FALSO")</f>
        <v>FALSO</v>
      </c>
    </row>
    <row r="23">
      <c r="A23" s="2">
        <f>IFERROR(__xludf.DUMMYFUNCTION("""COMPUTED_VALUE"""),22.0)</f>
        <v>22</v>
      </c>
      <c r="B23" s="2" t="str">
        <f>IFERROR(__xludf.DUMMYFUNCTION("""COMPUTED_VALUE"""),"Nerte Braybrooke")</f>
        <v>Nerte Braybrooke</v>
      </c>
      <c r="C23" s="2" t="str">
        <f>IFERROR(__xludf.DUMMYFUNCTION("""COMPUTED_VALUE"""),"nbraybrookel@boston.com")</f>
        <v>nbraybrookel@boston.com</v>
      </c>
      <c r="D23" s="4">
        <f>IFERROR(__xludf.DUMMYFUNCTION("""COMPUTED_VALUE"""),65.0)</f>
        <v>65</v>
      </c>
      <c r="E23" s="4">
        <f>IFERROR(__xludf.DUMMYFUNCTION("""COMPUTED_VALUE"""),41.0)</f>
        <v>41</v>
      </c>
      <c r="F23" s="4">
        <f>IFERROR(__xludf.DUMMYFUNCTION("""COMPUTED_VALUE"""),8.0)</f>
        <v>8</v>
      </c>
      <c r="G23" s="4">
        <f>IFERROR(__xludf.DUMMYFUNCTION("""COMPUTED_VALUE"""),354.0)</f>
        <v>354</v>
      </c>
      <c r="H23" s="5">
        <f>IFERROR(__xludf.DUMMYFUNCTION("""COMPUTED_VALUE"""),5872.86)</f>
        <v>5872.86</v>
      </c>
      <c r="I23" s="5">
        <f>IFERROR(__xludf.DUMMYFUNCTION("""COMPUTED_VALUE"""),2880.01)</f>
        <v>2880.01</v>
      </c>
      <c r="J23" s="5">
        <f>IFERROR(__xludf.DUMMYFUNCTION("""COMPUTED_VALUE"""),8527.98)</f>
        <v>8527.98</v>
      </c>
      <c r="K23" s="5">
        <f>IFERROR(__xludf.DUMMYFUNCTION("""COMPUTED_VALUE"""),7557.95)</f>
        <v>7557.95</v>
      </c>
      <c r="L23" s="4">
        <f>IFERROR(__xludf.DUMMYFUNCTION("""COMPUTED_VALUE"""),17.0)</f>
        <v>17</v>
      </c>
      <c r="M23" s="4">
        <f>IFERROR(__xludf.DUMMYFUNCTION("""COMPUTED_VALUE"""),4.0)</f>
        <v>4</v>
      </c>
      <c r="N23" s="2" t="str">
        <f>IFERROR(__xludf.DUMMYFUNCTION("""COMPUTED_VALUE"""),"FALSO")</f>
        <v>FALSO</v>
      </c>
    </row>
    <row r="24">
      <c r="A24" s="2">
        <f>IFERROR(__xludf.DUMMYFUNCTION("""COMPUTED_VALUE"""),23.0)</f>
        <v>23</v>
      </c>
      <c r="B24" s="2" t="str">
        <f>IFERROR(__xludf.DUMMYFUNCTION("""COMPUTED_VALUE"""),"Katey Rigbye")</f>
        <v>Katey Rigbye</v>
      </c>
      <c r="C24" s="2" t="str">
        <f>IFERROR(__xludf.DUMMYFUNCTION("""COMPUTED_VALUE"""),"krigbyem@myspace.com")</f>
        <v>krigbyem@myspace.com</v>
      </c>
      <c r="D24" s="4">
        <f>IFERROR(__xludf.DUMMYFUNCTION("""COMPUTED_VALUE"""),30.0)</f>
        <v>30</v>
      </c>
      <c r="E24" s="4">
        <f>IFERROR(__xludf.DUMMYFUNCTION("""COMPUTED_VALUE"""),66.0)</f>
        <v>66</v>
      </c>
      <c r="F24" s="4">
        <f>IFERROR(__xludf.DUMMYFUNCTION("""COMPUTED_VALUE"""),6.0)</f>
        <v>6</v>
      </c>
      <c r="G24" s="4">
        <f>IFERROR(__xludf.DUMMYFUNCTION("""COMPUTED_VALUE"""),1399.0)</f>
        <v>1399</v>
      </c>
      <c r="H24" s="5">
        <f>IFERROR(__xludf.DUMMYFUNCTION("""COMPUTED_VALUE"""),1759.43)</f>
        <v>1759.43</v>
      </c>
      <c r="I24" s="5">
        <f>IFERROR(__xludf.DUMMYFUNCTION("""COMPUTED_VALUE"""),2646.6)</f>
        <v>2646.6</v>
      </c>
      <c r="J24" s="5">
        <f>IFERROR(__xludf.DUMMYFUNCTION("""COMPUTED_VALUE"""),8989.71)</f>
        <v>8989.71</v>
      </c>
      <c r="K24" s="5">
        <f>IFERROR(__xludf.DUMMYFUNCTION("""COMPUTED_VALUE"""),8068.14)</f>
        <v>8068.14</v>
      </c>
      <c r="L24" s="4">
        <f>IFERROR(__xludf.DUMMYFUNCTION("""COMPUTED_VALUE"""),13.0)</f>
        <v>13</v>
      </c>
      <c r="M24" s="4">
        <f>IFERROR(__xludf.DUMMYFUNCTION("""COMPUTED_VALUE"""),8.0)</f>
        <v>8</v>
      </c>
      <c r="N24" s="2" t="str">
        <f>IFERROR(__xludf.DUMMYFUNCTION("""COMPUTED_VALUE"""),"VERDADERO")</f>
        <v>VERDADERO</v>
      </c>
    </row>
    <row r="25">
      <c r="A25" s="2">
        <f>IFERROR(__xludf.DUMMYFUNCTION("""COMPUTED_VALUE"""),24.0)</f>
        <v>24</v>
      </c>
      <c r="B25" s="2" t="str">
        <f>IFERROR(__xludf.DUMMYFUNCTION("""COMPUTED_VALUE"""),"Jean Woodington")</f>
        <v>Jean Woodington</v>
      </c>
      <c r="C25" s="2" t="str">
        <f>IFERROR(__xludf.DUMMYFUNCTION("""COMPUTED_VALUE"""),"jwoodingtonn@geocities.com")</f>
        <v>jwoodingtonn@geocities.com</v>
      </c>
      <c r="D25" s="4">
        <f>IFERROR(__xludf.DUMMYFUNCTION("""COMPUTED_VALUE"""),153.0)</f>
        <v>153</v>
      </c>
      <c r="E25" s="4">
        <f>IFERROR(__xludf.DUMMYFUNCTION("""COMPUTED_VALUE"""),54.0)</f>
        <v>54</v>
      </c>
      <c r="F25" s="4">
        <f>IFERROR(__xludf.DUMMYFUNCTION("""COMPUTED_VALUE"""),10.0)</f>
        <v>10</v>
      </c>
      <c r="G25" s="4">
        <f>IFERROR(__xludf.DUMMYFUNCTION("""COMPUTED_VALUE"""),762.0)</f>
        <v>762</v>
      </c>
      <c r="H25" s="5">
        <f>IFERROR(__xludf.DUMMYFUNCTION("""COMPUTED_VALUE"""),3669.89)</f>
        <v>3669.89</v>
      </c>
      <c r="I25" s="5">
        <f>IFERROR(__xludf.DUMMYFUNCTION("""COMPUTED_VALUE"""),3412.73)</f>
        <v>3412.73</v>
      </c>
      <c r="J25" s="5">
        <f>IFERROR(__xludf.DUMMYFUNCTION("""COMPUTED_VALUE"""),9671.34)</f>
        <v>9671.34</v>
      </c>
      <c r="K25" s="5">
        <f>IFERROR(__xludf.DUMMYFUNCTION("""COMPUTED_VALUE"""),1497.87)</f>
        <v>1497.87</v>
      </c>
      <c r="L25" s="4">
        <f>IFERROR(__xludf.DUMMYFUNCTION("""COMPUTED_VALUE"""),1.0)</f>
        <v>1</v>
      </c>
      <c r="M25" s="4">
        <f>IFERROR(__xludf.DUMMYFUNCTION("""COMPUTED_VALUE"""),100.0)</f>
        <v>100</v>
      </c>
      <c r="N25" s="2" t="str">
        <f>IFERROR(__xludf.DUMMYFUNCTION("""COMPUTED_VALUE"""),"FALSO")</f>
        <v>FALSO</v>
      </c>
    </row>
    <row r="26">
      <c r="A26" s="2">
        <f>IFERROR(__xludf.DUMMYFUNCTION("""COMPUTED_VALUE"""),25.0)</f>
        <v>25</v>
      </c>
      <c r="B26" s="2" t="str">
        <f>IFERROR(__xludf.DUMMYFUNCTION("""COMPUTED_VALUE"""),"Alaine Breslane")</f>
        <v>Alaine Breslane</v>
      </c>
      <c r="C26" s="2" t="str">
        <f>IFERROR(__xludf.DUMMYFUNCTION("""COMPUTED_VALUE"""),"abreslaneo@symantec.com")</f>
        <v>abreslaneo@symantec.com</v>
      </c>
      <c r="D26" s="4">
        <f>IFERROR(__xludf.DUMMYFUNCTION("""COMPUTED_VALUE"""),29.0)</f>
        <v>29</v>
      </c>
      <c r="E26" s="4">
        <f>IFERROR(__xludf.DUMMYFUNCTION("""COMPUTED_VALUE"""),119.0)</f>
        <v>119</v>
      </c>
      <c r="F26" s="4">
        <f>IFERROR(__xludf.DUMMYFUNCTION("""COMPUTED_VALUE"""),5.0)</f>
        <v>5</v>
      </c>
      <c r="G26" s="4">
        <f>IFERROR(__xludf.DUMMYFUNCTION("""COMPUTED_VALUE"""),228.0)</f>
        <v>228</v>
      </c>
      <c r="H26" s="5">
        <f>IFERROR(__xludf.DUMMYFUNCTION("""COMPUTED_VALUE"""),622.61)</f>
        <v>622.61</v>
      </c>
      <c r="I26" s="5">
        <f>IFERROR(__xludf.DUMMYFUNCTION("""COMPUTED_VALUE"""),9717.28)</f>
        <v>9717.28</v>
      </c>
      <c r="J26" s="5">
        <f>IFERROR(__xludf.DUMMYFUNCTION("""COMPUTED_VALUE"""),9992.26)</f>
        <v>9992.26</v>
      </c>
      <c r="K26" s="5">
        <f>IFERROR(__xludf.DUMMYFUNCTION("""COMPUTED_VALUE"""),2101.98)</f>
        <v>2101.98</v>
      </c>
      <c r="L26" s="4">
        <f>IFERROR(__xludf.DUMMYFUNCTION("""COMPUTED_VALUE"""),3.0)</f>
        <v>3</v>
      </c>
      <c r="M26" s="4">
        <f>IFERROR(__xludf.DUMMYFUNCTION("""COMPUTED_VALUE"""),54.0)</f>
        <v>54</v>
      </c>
      <c r="N26" s="2" t="str">
        <f>IFERROR(__xludf.DUMMYFUNCTION("""COMPUTED_VALUE"""),"VERDADERO")</f>
        <v>VERDADERO</v>
      </c>
    </row>
    <row r="27">
      <c r="A27" s="2">
        <f>IFERROR(__xludf.DUMMYFUNCTION("""COMPUTED_VALUE"""),26.0)</f>
        <v>26</v>
      </c>
      <c r="B27" s="2" t="str">
        <f>IFERROR(__xludf.DUMMYFUNCTION("""COMPUTED_VALUE"""),"Marybelle Sinott")</f>
        <v>Marybelle Sinott</v>
      </c>
      <c r="C27" s="2" t="str">
        <f>IFERROR(__xludf.DUMMYFUNCTION("""COMPUTED_VALUE"""),"msinottp@un.org")</f>
        <v>msinottp@un.org</v>
      </c>
      <c r="D27" s="4">
        <f>IFERROR(__xludf.DUMMYFUNCTION("""COMPUTED_VALUE"""),124.0)</f>
        <v>124</v>
      </c>
      <c r="E27" s="4">
        <f>IFERROR(__xludf.DUMMYFUNCTION("""COMPUTED_VALUE"""),81.0)</f>
        <v>81</v>
      </c>
      <c r="F27" s="4">
        <f>IFERROR(__xludf.DUMMYFUNCTION("""COMPUTED_VALUE"""),2.0)</f>
        <v>2</v>
      </c>
      <c r="G27" s="4">
        <f>IFERROR(__xludf.DUMMYFUNCTION("""COMPUTED_VALUE"""),1048.0)</f>
        <v>1048</v>
      </c>
      <c r="H27" s="5">
        <f>IFERROR(__xludf.DUMMYFUNCTION("""COMPUTED_VALUE"""),8958.14)</f>
        <v>8958.14</v>
      </c>
      <c r="I27" s="5">
        <f>IFERROR(__xludf.DUMMYFUNCTION("""COMPUTED_VALUE"""),4379.95)</f>
        <v>4379.95</v>
      </c>
      <c r="J27" s="5">
        <f>IFERROR(__xludf.DUMMYFUNCTION("""COMPUTED_VALUE"""),1114.42)</f>
        <v>1114.42</v>
      </c>
      <c r="K27" s="5">
        <f>IFERROR(__xludf.DUMMYFUNCTION("""COMPUTED_VALUE"""),2505.11)</f>
        <v>2505.11</v>
      </c>
      <c r="L27" s="4">
        <f>IFERROR(__xludf.DUMMYFUNCTION("""COMPUTED_VALUE"""),11.0)</f>
        <v>11</v>
      </c>
      <c r="M27" s="4">
        <f>IFERROR(__xludf.DUMMYFUNCTION("""COMPUTED_VALUE"""),89.0)</f>
        <v>89</v>
      </c>
      <c r="N27" s="2" t="str">
        <f>IFERROR(__xludf.DUMMYFUNCTION("""COMPUTED_VALUE"""),"VERDADERO")</f>
        <v>VERDADERO</v>
      </c>
    </row>
    <row r="28">
      <c r="A28" s="2">
        <f>IFERROR(__xludf.DUMMYFUNCTION("""COMPUTED_VALUE"""),27.0)</f>
        <v>27</v>
      </c>
      <c r="B28" s="2" t="str">
        <f>IFERROR(__xludf.DUMMYFUNCTION("""COMPUTED_VALUE"""),"Doria Pryce")</f>
        <v>Doria Pryce</v>
      </c>
      <c r="C28" s="2" t="str">
        <f>IFERROR(__xludf.DUMMYFUNCTION("""COMPUTED_VALUE"""),"dpryceq@themeforest.net")</f>
        <v>dpryceq@themeforest.net</v>
      </c>
      <c r="D28" s="4">
        <f>IFERROR(__xludf.DUMMYFUNCTION("""COMPUTED_VALUE"""),17.0)</f>
        <v>17</v>
      </c>
      <c r="E28" s="4">
        <f>IFERROR(__xludf.DUMMYFUNCTION("""COMPUTED_VALUE"""),81.0)</f>
        <v>81</v>
      </c>
      <c r="F28" s="4">
        <f>IFERROR(__xludf.DUMMYFUNCTION("""COMPUTED_VALUE"""),2.0)</f>
        <v>2</v>
      </c>
      <c r="G28" s="4">
        <f>IFERROR(__xludf.DUMMYFUNCTION("""COMPUTED_VALUE"""),1007.0)</f>
        <v>1007</v>
      </c>
      <c r="H28" s="5">
        <f>IFERROR(__xludf.DUMMYFUNCTION("""COMPUTED_VALUE"""),4873.1)</f>
        <v>4873.1</v>
      </c>
      <c r="I28" s="5">
        <f>IFERROR(__xludf.DUMMYFUNCTION("""COMPUTED_VALUE"""),4988.21)</f>
        <v>4988.21</v>
      </c>
      <c r="J28" s="5">
        <f>IFERROR(__xludf.DUMMYFUNCTION("""COMPUTED_VALUE"""),7493.79)</f>
        <v>7493.79</v>
      </c>
      <c r="K28" s="5">
        <f>IFERROR(__xludf.DUMMYFUNCTION("""COMPUTED_VALUE"""),3682.96)</f>
        <v>3682.96</v>
      </c>
      <c r="L28" s="4">
        <f>IFERROR(__xludf.DUMMYFUNCTION("""COMPUTED_VALUE"""),10.0)</f>
        <v>10</v>
      </c>
      <c r="M28" s="4">
        <f>IFERROR(__xludf.DUMMYFUNCTION("""COMPUTED_VALUE"""),95.0)</f>
        <v>95</v>
      </c>
      <c r="N28" s="2" t="str">
        <f>IFERROR(__xludf.DUMMYFUNCTION("""COMPUTED_VALUE"""),"VERDADERO")</f>
        <v>VERDADERO</v>
      </c>
    </row>
    <row r="29">
      <c r="A29" s="2">
        <f>IFERROR(__xludf.DUMMYFUNCTION("""COMPUTED_VALUE"""),28.0)</f>
        <v>28</v>
      </c>
      <c r="B29" s="2" t="str">
        <f>IFERROR(__xludf.DUMMYFUNCTION("""COMPUTED_VALUE"""),"Paulita Danelut")</f>
        <v>Paulita Danelut</v>
      </c>
      <c r="C29" s="2" t="str">
        <f>IFERROR(__xludf.DUMMYFUNCTION("""COMPUTED_VALUE"""),"pdanelutr@shinystat.com")</f>
        <v>pdanelutr@shinystat.com</v>
      </c>
      <c r="D29" s="4">
        <f>IFERROR(__xludf.DUMMYFUNCTION("""COMPUTED_VALUE"""),2.0)</f>
        <v>2</v>
      </c>
      <c r="E29" s="4">
        <f>IFERROR(__xludf.DUMMYFUNCTION("""COMPUTED_VALUE"""),67.0)</f>
        <v>67</v>
      </c>
      <c r="F29" s="4">
        <f>IFERROR(__xludf.DUMMYFUNCTION("""COMPUTED_VALUE"""),7.0)</f>
        <v>7</v>
      </c>
      <c r="G29" s="4">
        <f>IFERROR(__xludf.DUMMYFUNCTION("""COMPUTED_VALUE"""),1450.0)</f>
        <v>1450</v>
      </c>
      <c r="H29" s="5">
        <f>IFERROR(__xludf.DUMMYFUNCTION("""COMPUTED_VALUE"""),5344.6)</f>
        <v>5344.6</v>
      </c>
      <c r="I29" s="5">
        <f>IFERROR(__xludf.DUMMYFUNCTION("""COMPUTED_VALUE"""),9983.05)</f>
        <v>9983.05</v>
      </c>
      <c r="J29" s="5">
        <f>IFERROR(__xludf.DUMMYFUNCTION("""COMPUTED_VALUE"""),5452.51)</f>
        <v>5452.51</v>
      </c>
      <c r="K29" s="5">
        <f>IFERROR(__xludf.DUMMYFUNCTION("""COMPUTED_VALUE"""),6892.88)</f>
        <v>6892.88</v>
      </c>
      <c r="L29" s="4">
        <f>IFERROR(__xludf.DUMMYFUNCTION("""COMPUTED_VALUE"""),2.0)</f>
        <v>2</v>
      </c>
      <c r="M29" s="4">
        <f>IFERROR(__xludf.DUMMYFUNCTION("""COMPUTED_VALUE"""),73.0)</f>
        <v>73</v>
      </c>
      <c r="N29" s="2" t="str">
        <f>IFERROR(__xludf.DUMMYFUNCTION("""COMPUTED_VALUE"""),"FALSO")</f>
        <v>FALSO</v>
      </c>
    </row>
    <row r="30">
      <c r="A30" s="2">
        <f>IFERROR(__xludf.DUMMYFUNCTION("""COMPUTED_VALUE"""),29.0)</f>
        <v>29</v>
      </c>
      <c r="B30" s="2" t="str">
        <f>IFERROR(__xludf.DUMMYFUNCTION("""COMPUTED_VALUE"""),"Stefania Leroy")</f>
        <v>Stefania Leroy</v>
      </c>
      <c r="C30" s="2" t="str">
        <f>IFERROR(__xludf.DUMMYFUNCTION("""COMPUTED_VALUE"""),"sleroys@addtoany.com")</f>
        <v>sleroys@addtoany.com</v>
      </c>
      <c r="D30" s="4">
        <f>IFERROR(__xludf.DUMMYFUNCTION("""COMPUTED_VALUE"""),120.0)</f>
        <v>120</v>
      </c>
      <c r="E30" s="4">
        <f>IFERROR(__xludf.DUMMYFUNCTION("""COMPUTED_VALUE"""),12.0)</f>
        <v>12</v>
      </c>
      <c r="F30" s="4">
        <f>IFERROR(__xludf.DUMMYFUNCTION("""COMPUTED_VALUE"""),6.0)</f>
        <v>6</v>
      </c>
      <c r="G30" s="4">
        <f>IFERROR(__xludf.DUMMYFUNCTION("""COMPUTED_VALUE"""),17.0)</f>
        <v>17</v>
      </c>
      <c r="H30" s="5">
        <f>IFERROR(__xludf.DUMMYFUNCTION("""COMPUTED_VALUE"""),7214.94)</f>
        <v>7214.94</v>
      </c>
      <c r="I30" s="5">
        <f>IFERROR(__xludf.DUMMYFUNCTION("""COMPUTED_VALUE"""),3122.21)</f>
        <v>3122.21</v>
      </c>
      <c r="J30" s="5">
        <f>IFERROR(__xludf.DUMMYFUNCTION("""COMPUTED_VALUE"""),4559.02)</f>
        <v>4559.02</v>
      </c>
      <c r="K30" s="5">
        <f>IFERROR(__xludf.DUMMYFUNCTION("""COMPUTED_VALUE"""),6974.31)</f>
        <v>6974.31</v>
      </c>
      <c r="L30" s="4">
        <f>IFERROR(__xludf.DUMMYFUNCTION("""COMPUTED_VALUE"""),19.0)</f>
        <v>19</v>
      </c>
      <c r="M30" s="4">
        <f>IFERROR(__xludf.DUMMYFUNCTION("""COMPUTED_VALUE"""),38.0)</f>
        <v>38</v>
      </c>
      <c r="N30" s="2" t="str">
        <f>IFERROR(__xludf.DUMMYFUNCTION("""COMPUTED_VALUE"""),"VERDADERO")</f>
        <v>VERDADERO</v>
      </c>
    </row>
    <row r="31">
      <c r="A31" s="2">
        <f>IFERROR(__xludf.DUMMYFUNCTION("""COMPUTED_VALUE"""),30.0)</f>
        <v>30</v>
      </c>
      <c r="B31" s="2" t="str">
        <f>IFERROR(__xludf.DUMMYFUNCTION("""COMPUTED_VALUE"""),"Taryn McDirmid")</f>
        <v>Taryn McDirmid</v>
      </c>
      <c r="C31" s="2" t="str">
        <f>IFERROR(__xludf.DUMMYFUNCTION("""COMPUTED_VALUE"""),"tmcdirmidt@npr.org")</f>
        <v>tmcdirmidt@npr.org</v>
      </c>
      <c r="D31" s="4">
        <f>IFERROR(__xludf.DUMMYFUNCTION("""COMPUTED_VALUE"""),153.0)</f>
        <v>153</v>
      </c>
      <c r="E31" s="4">
        <f>IFERROR(__xludf.DUMMYFUNCTION("""COMPUTED_VALUE"""),64.0)</f>
        <v>64</v>
      </c>
      <c r="F31" s="4">
        <f>IFERROR(__xludf.DUMMYFUNCTION("""COMPUTED_VALUE"""),4.0)</f>
        <v>4</v>
      </c>
      <c r="G31" s="4">
        <f>IFERROR(__xludf.DUMMYFUNCTION("""COMPUTED_VALUE"""),1255.0)</f>
        <v>1255</v>
      </c>
      <c r="H31" s="5">
        <f>IFERROR(__xludf.DUMMYFUNCTION("""COMPUTED_VALUE"""),1158.39)</f>
        <v>1158.39</v>
      </c>
      <c r="I31" s="5">
        <f>IFERROR(__xludf.DUMMYFUNCTION("""COMPUTED_VALUE"""),8517.36)</f>
        <v>8517.36</v>
      </c>
      <c r="J31" s="5">
        <f>IFERROR(__xludf.DUMMYFUNCTION("""COMPUTED_VALUE"""),6604.71)</f>
        <v>6604.71</v>
      </c>
      <c r="K31" s="5">
        <f>IFERROR(__xludf.DUMMYFUNCTION("""COMPUTED_VALUE"""),8099.37)</f>
        <v>8099.37</v>
      </c>
      <c r="L31" s="4">
        <f>IFERROR(__xludf.DUMMYFUNCTION("""COMPUTED_VALUE"""),11.0)</f>
        <v>11</v>
      </c>
      <c r="M31" s="4">
        <f>IFERROR(__xludf.DUMMYFUNCTION("""COMPUTED_VALUE"""),61.0)</f>
        <v>61</v>
      </c>
      <c r="N31" s="2" t="str">
        <f>IFERROR(__xludf.DUMMYFUNCTION("""COMPUTED_VALUE"""),"FALSO")</f>
        <v>FALSO</v>
      </c>
    </row>
    <row r="32">
      <c r="A32" s="2">
        <f>IFERROR(__xludf.DUMMYFUNCTION("""COMPUTED_VALUE"""),31.0)</f>
        <v>31</v>
      </c>
      <c r="B32" s="2" t="str">
        <f>IFERROR(__xludf.DUMMYFUNCTION("""COMPUTED_VALUE"""),"Valle Yewman")</f>
        <v>Valle Yewman</v>
      </c>
      <c r="C32" s="2" t="str">
        <f>IFERROR(__xludf.DUMMYFUNCTION("""COMPUTED_VALUE"""),"vyewmanu@hud.gov")</f>
        <v>vyewmanu@hud.gov</v>
      </c>
      <c r="D32" s="4">
        <f>IFERROR(__xludf.DUMMYFUNCTION("""COMPUTED_VALUE"""),48.0)</f>
        <v>48</v>
      </c>
      <c r="E32" s="4">
        <f>IFERROR(__xludf.DUMMYFUNCTION("""COMPUTED_VALUE"""),64.0)</f>
        <v>64</v>
      </c>
      <c r="F32" s="4">
        <f>IFERROR(__xludf.DUMMYFUNCTION("""COMPUTED_VALUE"""),4.0)</f>
        <v>4</v>
      </c>
      <c r="G32" s="4">
        <f>IFERROR(__xludf.DUMMYFUNCTION("""COMPUTED_VALUE"""),1392.0)</f>
        <v>1392</v>
      </c>
      <c r="H32" s="5">
        <f>IFERROR(__xludf.DUMMYFUNCTION("""COMPUTED_VALUE"""),1269.57)</f>
        <v>1269.57</v>
      </c>
      <c r="I32" s="5">
        <f>IFERROR(__xludf.DUMMYFUNCTION("""COMPUTED_VALUE"""),2451.8)</f>
        <v>2451.8</v>
      </c>
      <c r="J32" s="5">
        <f>IFERROR(__xludf.DUMMYFUNCTION("""COMPUTED_VALUE"""),9421.24)</f>
        <v>9421.24</v>
      </c>
      <c r="K32" s="5">
        <f>IFERROR(__xludf.DUMMYFUNCTION("""COMPUTED_VALUE"""),7071.43)</f>
        <v>7071.43</v>
      </c>
      <c r="L32" s="4">
        <f>IFERROR(__xludf.DUMMYFUNCTION("""COMPUTED_VALUE"""),17.0)</f>
        <v>17</v>
      </c>
      <c r="M32" s="4">
        <f>IFERROR(__xludf.DUMMYFUNCTION("""COMPUTED_VALUE"""),38.0)</f>
        <v>38</v>
      </c>
      <c r="N32" s="2" t="str">
        <f>IFERROR(__xludf.DUMMYFUNCTION("""COMPUTED_VALUE"""),"FALSO")</f>
        <v>FALSO</v>
      </c>
    </row>
    <row r="33">
      <c r="A33" s="2">
        <f>IFERROR(__xludf.DUMMYFUNCTION("""COMPUTED_VALUE"""),32.0)</f>
        <v>32</v>
      </c>
      <c r="B33" s="2" t="str">
        <f>IFERROR(__xludf.DUMMYFUNCTION("""COMPUTED_VALUE"""),"Tedmund Basketter")</f>
        <v>Tedmund Basketter</v>
      </c>
      <c r="C33" s="2" t="str">
        <f>IFERROR(__xludf.DUMMYFUNCTION("""COMPUTED_VALUE"""),"tbasketterv@virginia.edu")</f>
        <v>tbasketterv@virginia.edu</v>
      </c>
      <c r="D33" s="4">
        <f>IFERROR(__xludf.DUMMYFUNCTION("""COMPUTED_VALUE"""),65.0)</f>
        <v>65</v>
      </c>
      <c r="E33" s="4">
        <f>IFERROR(__xludf.DUMMYFUNCTION("""COMPUTED_VALUE"""),118.0)</f>
        <v>118</v>
      </c>
      <c r="F33" s="4">
        <f>IFERROR(__xludf.DUMMYFUNCTION("""COMPUTED_VALUE"""),9.0)</f>
        <v>9</v>
      </c>
      <c r="G33" s="4">
        <f>IFERROR(__xludf.DUMMYFUNCTION("""COMPUTED_VALUE"""),1022.0)</f>
        <v>1022</v>
      </c>
      <c r="H33" s="5">
        <f>IFERROR(__xludf.DUMMYFUNCTION("""COMPUTED_VALUE"""),1249.48)</f>
        <v>1249.48</v>
      </c>
      <c r="I33" s="5">
        <f>IFERROR(__xludf.DUMMYFUNCTION("""COMPUTED_VALUE"""),5544.81)</f>
        <v>5544.81</v>
      </c>
      <c r="J33" s="5">
        <f>IFERROR(__xludf.DUMMYFUNCTION("""COMPUTED_VALUE"""),7642.05)</f>
        <v>7642.05</v>
      </c>
      <c r="K33" s="5">
        <f>IFERROR(__xludf.DUMMYFUNCTION("""COMPUTED_VALUE"""),7384.53)</f>
        <v>7384.53</v>
      </c>
      <c r="L33" s="4">
        <f>IFERROR(__xludf.DUMMYFUNCTION("""COMPUTED_VALUE"""),12.0)</f>
        <v>12</v>
      </c>
      <c r="M33" s="4">
        <f>IFERROR(__xludf.DUMMYFUNCTION("""COMPUTED_VALUE"""),15.0)</f>
        <v>15</v>
      </c>
      <c r="N33" s="2" t="str">
        <f>IFERROR(__xludf.DUMMYFUNCTION("""COMPUTED_VALUE"""),"FALSO")</f>
        <v>FALSO</v>
      </c>
    </row>
    <row r="34">
      <c r="A34" s="2">
        <f>IFERROR(__xludf.DUMMYFUNCTION("""COMPUTED_VALUE"""),33.0)</f>
        <v>33</v>
      </c>
      <c r="B34" s="2" t="str">
        <f>IFERROR(__xludf.DUMMYFUNCTION("""COMPUTED_VALUE"""),"Shane Wisher")</f>
        <v>Shane Wisher</v>
      </c>
      <c r="C34" s="2" t="str">
        <f>IFERROR(__xludf.DUMMYFUNCTION("""COMPUTED_VALUE"""),"swisherw@prnewswire.com")</f>
        <v>swisherw@prnewswire.com</v>
      </c>
      <c r="D34" s="4">
        <f>IFERROR(__xludf.DUMMYFUNCTION("""COMPUTED_VALUE"""),31.0)</f>
        <v>31</v>
      </c>
      <c r="E34" s="4">
        <f>IFERROR(__xludf.DUMMYFUNCTION("""COMPUTED_VALUE"""),76.0)</f>
        <v>76</v>
      </c>
      <c r="F34" s="4">
        <f>IFERROR(__xludf.DUMMYFUNCTION("""COMPUTED_VALUE"""),9.0)</f>
        <v>9</v>
      </c>
      <c r="G34" s="4">
        <f>IFERROR(__xludf.DUMMYFUNCTION("""COMPUTED_VALUE"""),918.0)</f>
        <v>918</v>
      </c>
      <c r="H34" s="5">
        <f>IFERROR(__xludf.DUMMYFUNCTION("""COMPUTED_VALUE"""),1260.59)</f>
        <v>1260.59</v>
      </c>
      <c r="I34" s="5">
        <f>IFERROR(__xludf.DUMMYFUNCTION("""COMPUTED_VALUE"""),2353.89)</f>
        <v>2353.89</v>
      </c>
      <c r="J34" s="5">
        <f>IFERROR(__xludf.DUMMYFUNCTION("""COMPUTED_VALUE"""),4253.38)</f>
        <v>4253.38</v>
      </c>
      <c r="K34" s="5">
        <f>IFERROR(__xludf.DUMMYFUNCTION("""COMPUTED_VALUE"""),8132.68)</f>
        <v>8132.68</v>
      </c>
      <c r="L34" s="4">
        <f>IFERROR(__xludf.DUMMYFUNCTION("""COMPUTED_VALUE"""),19.0)</f>
        <v>19</v>
      </c>
      <c r="M34" s="4">
        <f>IFERROR(__xludf.DUMMYFUNCTION("""COMPUTED_VALUE"""),69.0)</f>
        <v>69</v>
      </c>
      <c r="N34" s="2" t="str">
        <f>IFERROR(__xludf.DUMMYFUNCTION("""COMPUTED_VALUE"""),"VERDADERO")</f>
        <v>VERDADERO</v>
      </c>
    </row>
    <row r="35">
      <c r="A35" s="2">
        <f>IFERROR(__xludf.DUMMYFUNCTION("""COMPUTED_VALUE"""),34.0)</f>
        <v>34</v>
      </c>
      <c r="B35" s="2" t="str">
        <f>IFERROR(__xludf.DUMMYFUNCTION("""COMPUTED_VALUE"""),"Rivkah Lancashire")</f>
        <v>Rivkah Lancashire</v>
      </c>
      <c r="C35" s="2" t="str">
        <f>IFERROR(__xludf.DUMMYFUNCTION("""COMPUTED_VALUE"""),"rlancashirex@symantec.com")</f>
        <v>rlancashirex@symantec.com</v>
      </c>
      <c r="D35" s="4">
        <f>IFERROR(__xludf.DUMMYFUNCTION("""COMPUTED_VALUE"""),65.0)</f>
        <v>65</v>
      </c>
      <c r="E35" s="4">
        <f>IFERROR(__xludf.DUMMYFUNCTION("""COMPUTED_VALUE"""),101.0)</f>
        <v>101</v>
      </c>
      <c r="F35" s="4">
        <f>IFERROR(__xludf.DUMMYFUNCTION("""COMPUTED_VALUE"""),5.0)</f>
        <v>5</v>
      </c>
      <c r="G35" s="4">
        <f>IFERROR(__xludf.DUMMYFUNCTION("""COMPUTED_VALUE"""),728.0)</f>
        <v>728</v>
      </c>
      <c r="H35" s="5">
        <f>IFERROR(__xludf.DUMMYFUNCTION("""COMPUTED_VALUE"""),4078.01)</f>
        <v>4078.01</v>
      </c>
      <c r="I35" s="5">
        <f>IFERROR(__xludf.DUMMYFUNCTION("""COMPUTED_VALUE"""),3252.49)</f>
        <v>3252.49</v>
      </c>
      <c r="J35" s="5">
        <f>IFERROR(__xludf.DUMMYFUNCTION("""COMPUTED_VALUE"""),3001.37)</f>
        <v>3001.37</v>
      </c>
      <c r="K35" s="5">
        <f>IFERROR(__xludf.DUMMYFUNCTION("""COMPUTED_VALUE"""),4564.82)</f>
        <v>4564.82</v>
      </c>
      <c r="L35" s="4">
        <f>IFERROR(__xludf.DUMMYFUNCTION("""COMPUTED_VALUE"""),16.0)</f>
        <v>16</v>
      </c>
      <c r="M35" s="4">
        <f>IFERROR(__xludf.DUMMYFUNCTION("""COMPUTED_VALUE"""),32.0)</f>
        <v>32</v>
      </c>
      <c r="N35" s="2" t="str">
        <f>IFERROR(__xludf.DUMMYFUNCTION("""COMPUTED_VALUE"""),"VERDADERO")</f>
        <v>VERDADERO</v>
      </c>
    </row>
    <row r="36">
      <c r="A36" s="2">
        <f>IFERROR(__xludf.DUMMYFUNCTION("""COMPUTED_VALUE"""),35.0)</f>
        <v>35</v>
      </c>
      <c r="B36" s="2" t="str">
        <f>IFERROR(__xludf.DUMMYFUNCTION("""COMPUTED_VALUE"""),"Caresse Hardy")</f>
        <v>Caresse Hardy</v>
      </c>
      <c r="C36" s="2" t="str">
        <f>IFERROR(__xludf.DUMMYFUNCTION("""COMPUTED_VALUE"""),"chardyy@usnews.com")</f>
        <v>chardyy@usnews.com</v>
      </c>
      <c r="D36" s="4">
        <f>IFERROR(__xludf.DUMMYFUNCTION("""COMPUTED_VALUE"""),121.0)</f>
        <v>121</v>
      </c>
      <c r="E36" s="4">
        <f>IFERROR(__xludf.DUMMYFUNCTION("""COMPUTED_VALUE"""),81.0)</f>
        <v>81</v>
      </c>
      <c r="F36" s="4">
        <f>IFERROR(__xludf.DUMMYFUNCTION("""COMPUTED_VALUE"""),2.0)</f>
        <v>2</v>
      </c>
      <c r="G36" s="4">
        <f>IFERROR(__xludf.DUMMYFUNCTION("""COMPUTED_VALUE"""),1056.0)</f>
        <v>1056</v>
      </c>
      <c r="H36" s="5">
        <f>IFERROR(__xludf.DUMMYFUNCTION("""COMPUTED_VALUE"""),8811.96)</f>
        <v>8811.96</v>
      </c>
      <c r="I36" s="5">
        <f>IFERROR(__xludf.DUMMYFUNCTION("""COMPUTED_VALUE"""),3016.76)</f>
        <v>3016.76</v>
      </c>
      <c r="J36" s="5">
        <f>IFERROR(__xludf.DUMMYFUNCTION("""COMPUTED_VALUE"""),5377.37)</f>
        <v>5377.37</v>
      </c>
      <c r="K36" s="5">
        <f>IFERROR(__xludf.DUMMYFUNCTION("""COMPUTED_VALUE"""),9841.06)</f>
        <v>9841.06</v>
      </c>
      <c r="L36" s="4">
        <f>IFERROR(__xludf.DUMMYFUNCTION("""COMPUTED_VALUE"""),9.0)</f>
        <v>9</v>
      </c>
      <c r="M36" s="4">
        <f>IFERROR(__xludf.DUMMYFUNCTION("""COMPUTED_VALUE"""),100.0)</f>
        <v>100</v>
      </c>
      <c r="N36" s="2" t="str">
        <f>IFERROR(__xludf.DUMMYFUNCTION("""COMPUTED_VALUE"""),"VERDADERO")</f>
        <v>VERDADERO</v>
      </c>
    </row>
    <row r="37">
      <c r="A37" s="2">
        <f>IFERROR(__xludf.DUMMYFUNCTION("""COMPUTED_VALUE"""),36.0)</f>
        <v>36</v>
      </c>
      <c r="B37" s="2" t="str">
        <f>IFERROR(__xludf.DUMMYFUNCTION("""COMPUTED_VALUE"""),"Merilyn Poulter")</f>
        <v>Merilyn Poulter</v>
      </c>
      <c r="C37" s="2" t="str">
        <f>IFERROR(__xludf.DUMMYFUNCTION("""COMPUTED_VALUE"""),"mpoulterz@redcross.org")</f>
        <v>mpoulterz@redcross.org</v>
      </c>
      <c r="D37" s="4">
        <f>IFERROR(__xludf.DUMMYFUNCTION("""COMPUTED_VALUE"""),65.0)</f>
        <v>65</v>
      </c>
      <c r="E37" s="4">
        <f>IFERROR(__xludf.DUMMYFUNCTION("""COMPUTED_VALUE"""),81.0)</f>
        <v>81</v>
      </c>
      <c r="F37" s="4">
        <f>IFERROR(__xludf.DUMMYFUNCTION("""COMPUTED_VALUE"""),2.0)</f>
        <v>2</v>
      </c>
      <c r="G37" s="4">
        <f>IFERROR(__xludf.DUMMYFUNCTION("""COMPUTED_VALUE"""),214.0)</f>
        <v>214</v>
      </c>
      <c r="H37" s="5">
        <f>IFERROR(__xludf.DUMMYFUNCTION("""COMPUTED_VALUE"""),7998.5)</f>
        <v>7998.5</v>
      </c>
      <c r="I37" s="5">
        <f>IFERROR(__xludf.DUMMYFUNCTION("""COMPUTED_VALUE"""),7350.4)</f>
        <v>7350.4</v>
      </c>
      <c r="J37" s="5">
        <f>IFERROR(__xludf.DUMMYFUNCTION("""COMPUTED_VALUE"""),3904.11)</f>
        <v>3904.11</v>
      </c>
      <c r="K37" s="5">
        <f>IFERROR(__xludf.DUMMYFUNCTION("""COMPUTED_VALUE"""),5228.24)</f>
        <v>5228.24</v>
      </c>
      <c r="L37" s="4">
        <f>IFERROR(__xludf.DUMMYFUNCTION("""COMPUTED_VALUE"""),10.0)</f>
        <v>10</v>
      </c>
      <c r="M37" s="4">
        <f>IFERROR(__xludf.DUMMYFUNCTION("""COMPUTED_VALUE"""),39.0)</f>
        <v>39</v>
      </c>
      <c r="N37" s="2" t="str">
        <f>IFERROR(__xludf.DUMMYFUNCTION("""COMPUTED_VALUE"""),"VERDADERO")</f>
        <v>VERDADERO</v>
      </c>
    </row>
    <row r="38">
      <c r="A38" s="2">
        <f>IFERROR(__xludf.DUMMYFUNCTION("""COMPUTED_VALUE"""),37.0)</f>
        <v>37</v>
      </c>
      <c r="B38" s="2" t="str">
        <f>IFERROR(__xludf.DUMMYFUNCTION("""COMPUTED_VALUE"""),"Mile Sineath")</f>
        <v>Mile Sineath</v>
      </c>
      <c r="C38" s="2" t="str">
        <f>IFERROR(__xludf.DUMMYFUNCTION("""COMPUTED_VALUE"""),"msineath10@eventbrite.com")</f>
        <v>msineath10@eventbrite.com</v>
      </c>
      <c r="D38" s="4">
        <f>IFERROR(__xludf.DUMMYFUNCTION("""COMPUTED_VALUE"""),119.0)</f>
        <v>119</v>
      </c>
      <c r="E38" s="4">
        <f>IFERROR(__xludf.DUMMYFUNCTION("""COMPUTED_VALUE"""),81.0)</f>
        <v>81</v>
      </c>
      <c r="F38" s="4">
        <f>IFERROR(__xludf.DUMMYFUNCTION("""COMPUTED_VALUE"""),2.0)</f>
        <v>2</v>
      </c>
      <c r="G38" s="4">
        <f>IFERROR(__xludf.DUMMYFUNCTION("""COMPUTED_VALUE"""),1487.0)</f>
        <v>1487</v>
      </c>
      <c r="H38" s="5">
        <f>IFERROR(__xludf.DUMMYFUNCTION("""COMPUTED_VALUE"""),6666.08)</f>
        <v>6666.08</v>
      </c>
      <c r="I38" s="5">
        <f>IFERROR(__xludf.DUMMYFUNCTION("""COMPUTED_VALUE"""),2650.26)</f>
        <v>2650.26</v>
      </c>
      <c r="J38" s="5">
        <f>IFERROR(__xludf.DUMMYFUNCTION("""COMPUTED_VALUE"""),4670.53)</f>
        <v>4670.53</v>
      </c>
      <c r="K38" s="5">
        <f>IFERROR(__xludf.DUMMYFUNCTION("""COMPUTED_VALUE"""),4622.86)</f>
        <v>4622.86</v>
      </c>
      <c r="L38" s="4">
        <f>IFERROR(__xludf.DUMMYFUNCTION("""COMPUTED_VALUE"""),14.0)</f>
        <v>14</v>
      </c>
      <c r="M38" s="4">
        <f>IFERROR(__xludf.DUMMYFUNCTION("""COMPUTED_VALUE"""),37.0)</f>
        <v>37</v>
      </c>
      <c r="N38" s="2" t="str">
        <f>IFERROR(__xludf.DUMMYFUNCTION("""COMPUTED_VALUE"""),"FALSO")</f>
        <v>FALSO</v>
      </c>
    </row>
    <row r="39">
      <c r="A39" s="2">
        <f>IFERROR(__xludf.DUMMYFUNCTION("""COMPUTED_VALUE"""),38.0)</f>
        <v>38</v>
      </c>
      <c r="B39" s="2" t="str">
        <f>IFERROR(__xludf.DUMMYFUNCTION("""COMPUTED_VALUE"""),"Noel Lonie")</f>
        <v>Noel Lonie</v>
      </c>
      <c r="C39" s="2" t="str">
        <f>IFERROR(__xludf.DUMMYFUNCTION("""COMPUTED_VALUE"""),"nlonie11@newsvine.com")</f>
        <v>nlonie11@newsvine.com</v>
      </c>
      <c r="D39" s="4">
        <f>IFERROR(__xludf.DUMMYFUNCTION("""COMPUTED_VALUE"""),137.0)</f>
        <v>137</v>
      </c>
      <c r="E39" s="4">
        <f>IFERROR(__xludf.DUMMYFUNCTION("""COMPUTED_VALUE"""),81.0)</f>
        <v>81</v>
      </c>
      <c r="F39" s="4">
        <f>IFERROR(__xludf.DUMMYFUNCTION("""COMPUTED_VALUE"""),2.0)</f>
        <v>2</v>
      </c>
      <c r="G39" s="4">
        <f>IFERROR(__xludf.DUMMYFUNCTION("""COMPUTED_VALUE"""),772.0)</f>
        <v>772</v>
      </c>
      <c r="H39" s="5">
        <f>IFERROR(__xludf.DUMMYFUNCTION("""COMPUTED_VALUE"""),4203.32)</f>
        <v>4203.32</v>
      </c>
      <c r="I39" s="5">
        <f>IFERROR(__xludf.DUMMYFUNCTION("""COMPUTED_VALUE"""),7622.23)</f>
        <v>7622.23</v>
      </c>
      <c r="J39" s="5">
        <f>IFERROR(__xludf.DUMMYFUNCTION("""COMPUTED_VALUE"""),788.98)</f>
        <v>788.98</v>
      </c>
      <c r="K39" s="5">
        <f>IFERROR(__xludf.DUMMYFUNCTION("""COMPUTED_VALUE"""),7202.45)</f>
        <v>7202.45</v>
      </c>
      <c r="L39" s="4">
        <f>IFERROR(__xludf.DUMMYFUNCTION("""COMPUTED_VALUE"""),19.0)</f>
        <v>19</v>
      </c>
      <c r="M39" s="4">
        <f>IFERROR(__xludf.DUMMYFUNCTION("""COMPUTED_VALUE"""),35.0)</f>
        <v>35</v>
      </c>
      <c r="N39" s="2" t="str">
        <f>IFERROR(__xludf.DUMMYFUNCTION("""COMPUTED_VALUE"""),"FALSO")</f>
        <v>FALSO</v>
      </c>
    </row>
    <row r="40">
      <c r="A40" s="2">
        <f>IFERROR(__xludf.DUMMYFUNCTION("""COMPUTED_VALUE"""),39.0)</f>
        <v>39</v>
      </c>
      <c r="B40" s="2" t="str">
        <f>IFERROR(__xludf.DUMMYFUNCTION("""COMPUTED_VALUE"""),"Gusti Millichap")</f>
        <v>Gusti Millichap</v>
      </c>
      <c r="C40" s="2" t="str">
        <f>IFERROR(__xludf.DUMMYFUNCTION("""COMPUTED_VALUE"""),"gmillichap12@weibo.com")</f>
        <v>gmillichap12@weibo.com</v>
      </c>
      <c r="D40" s="4">
        <f>IFERROR(__xludf.DUMMYFUNCTION("""COMPUTED_VALUE"""),131.0)</f>
        <v>131</v>
      </c>
      <c r="E40" s="4">
        <f>IFERROR(__xludf.DUMMYFUNCTION("""COMPUTED_VALUE"""),81.0)</f>
        <v>81</v>
      </c>
      <c r="F40" s="4">
        <f>IFERROR(__xludf.DUMMYFUNCTION("""COMPUTED_VALUE"""),2.0)</f>
        <v>2</v>
      </c>
      <c r="G40" s="4">
        <f>IFERROR(__xludf.DUMMYFUNCTION("""COMPUTED_VALUE"""),849.0)</f>
        <v>849</v>
      </c>
      <c r="H40" s="5">
        <f>IFERROR(__xludf.DUMMYFUNCTION("""COMPUTED_VALUE"""),3173.62)</f>
        <v>3173.62</v>
      </c>
      <c r="I40" s="5">
        <f>IFERROR(__xludf.DUMMYFUNCTION("""COMPUTED_VALUE"""),1936.26)</f>
        <v>1936.26</v>
      </c>
      <c r="J40" s="5">
        <f>IFERROR(__xludf.DUMMYFUNCTION("""COMPUTED_VALUE"""),7088.01)</f>
        <v>7088.01</v>
      </c>
      <c r="K40" s="5">
        <f>IFERROR(__xludf.DUMMYFUNCTION("""COMPUTED_VALUE"""),78.13)</f>
        <v>78.13</v>
      </c>
      <c r="L40" s="4">
        <f>IFERROR(__xludf.DUMMYFUNCTION("""COMPUTED_VALUE"""),13.0)</f>
        <v>13</v>
      </c>
      <c r="M40" s="4">
        <f>IFERROR(__xludf.DUMMYFUNCTION("""COMPUTED_VALUE"""),97.0)</f>
        <v>97</v>
      </c>
      <c r="N40" s="2" t="str">
        <f>IFERROR(__xludf.DUMMYFUNCTION("""COMPUTED_VALUE"""),"VERDADERO")</f>
        <v>VERDADERO</v>
      </c>
    </row>
    <row r="41">
      <c r="A41" s="2">
        <f>IFERROR(__xludf.DUMMYFUNCTION("""COMPUTED_VALUE"""),40.0)</f>
        <v>40</v>
      </c>
      <c r="B41" s="2" t="str">
        <f>IFERROR(__xludf.DUMMYFUNCTION("""COMPUTED_VALUE"""),"Peder Borel")</f>
        <v>Peder Borel</v>
      </c>
      <c r="C41" s="2" t="str">
        <f>IFERROR(__xludf.DUMMYFUNCTION("""COMPUTED_VALUE"""),"pborel13@soup.io")</f>
        <v>pborel13@soup.io</v>
      </c>
      <c r="D41" s="4">
        <f>IFERROR(__xludf.DUMMYFUNCTION("""COMPUTED_VALUE"""),150.0)</f>
        <v>150</v>
      </c>
      <c r="E41" s="4">
        <f>IFERROR(__xludf.DUMMYFUNCTION("""COMPUTED_VALUE"""),90.0)</f>
        <v>90</v>
      </c>
      <c r="F41" s="4">
        <f>IFERROR(__xludf.DUMMYFUNCTION("""COMPUTED_VALUE"""),5.0)</f>
        <v>5</v>
      </c>
      <c r="G41" s="4">
        <f>IFERROR(__xludf.DUMMYFUNCTION("""COMPUTED_VALUE"""),1279.0)</f>
        <v>1279</v>
      </c>
      <c r="H41" s="5">
        <f>IFERROR(__xludf.DUMMYFUNCTION("""COMPUTED_VALUE"""),6492.33)</f>
        <v>6492.33</v>
      </c>
      <c r="I41" s="5">
        <f>IFERROR(__xludf.DUMMYFUNCTION("""COMPUTED_VALUE"""),9301.79)</f>
        <v>9301.79</v>
      </c>
      <c r="J41" s="5">
        <f>IFERROR(__xludf.DUMMYFUNCTION("""COMPUTED_VALUE"""),1369.92)</f>
        <v>1369.92</v>
      </c>
      <c r="K41" s="5">
        <f>IFERROR(__xludf.DUMMYFUNCTION("""COMPUTED_VALUE"""),6213.6)</f>
        <v>6213.6</v>
      </c>
      <c r="L41" s="4">
        <f>IFERROR(__xludf.DUMMYFUNCTION("""COMPUTED_VALUE"""),6.0)</f>
        <v>6</v>
      </c>
      <c r="M41" s="4">
        <f>IFERROR(__xludf.DUMMYFUNCTION("""COMPUTED_VALUE"""),78.0)</f>
        <v>78</v>
      </c>
      <c r="N41" s="2" t="str">
        <f>IFERROR(__xludf.DUMMYFUNCTION("""COMPUTED_VALUE"""),"FALSO")</f>
        <v>FALSO</v>
      </c>
    </row>
    <row r="42">
      <c r="A42" s="2">
        <f>IFERROR(__xludf.DUMMYFUNCTION("""COMPUTED_VALUE"""),41.0)</f>
        <v>41</v>
      </c>
      <c r="B42" s="2" t="str">
        <f>IFERROR(__xludf.DUMMYFUNCTION("""COMPUTED_VALUE"""),"Filberte Joselson")</f>
        <v>Filberte Joselson</v>
      </c>
      <c r="C42" s="2" t="str">
        <f>IFERROR(__xludf.DUMMYFUNCTION("""COMPUTED_VALUE"""),"fjoselson14@printfriendly.com")</f>
        <v>fjoselson14@printfriendly.com</v>
      </c>
      <c r="D42" s="4">
        <f>IFERROR(__xludf.DUMMYFUNCTION("""COMPUTED_VALUE"""),116.0)</f>
        <v>116</v>
      </c>
      <c r="E42" s="4">
        <f>IFERROR(__xludf.DUMMYFUNCTION("""COMPUTED_VALUE"""),81.0)</f>
        <v>81</v>
      </c>
      <c r="F42" s="4">
        <f>IFERROR(__xludf.DUMMYFUNCTION("""COMPUTED_VALUE"""),2.0)</f>
        <v>2</v>
      </c>
      <c r="G42" s="4">
        <f>IFERROR(__xludf.DUMMYFUNCTION("""COMPUTED_VALUE"""),972.0)</f>
        <v>972</v>
      </c>
      <c r="H42" s="5">
        <f>IFERROR(__xludf.DUMMYFUNCTION("""COMPUTED_VALUE"""),173.86)</f>
        <v>173.86</v>
      </c>
      <c r="I42" s="5">
        <f>IFERROR(__xludf.DUMMYFUNCTION("""COMPUTED_VALUE"""),8967.88)</f>
        <v>8967.88</v>
      </c>
      <c r="J42" s="5">
        <f>IFERROR(__xludf.DUMMYFUNCTION("""COMPUTED_VALUE"""),2541.71)</f>
        <v>2541.71</v>
      </c>
      <c r="K42" s="5">
        <f>IFERROR(__xludf.DUMMYFUNCTION("""COMPUTED_VALUE"""),1167.76)</f>
        <v>1167.76</v>
      </c>
      <c r="L42" s="4">
        <f>IFERROR(__xludf.DUMMYFUNCTION("""COMPUTED_VALUE"""),10.0)</f>
        <v>10</v>
      </c>
      <c r="M42" s="4">
        <f>IFERROR(__xludf.DUMMYFUNCTION("""COMPUTED_VALUE"""),27.0)</f>
        <v>27</v>
      </c>
      <c r="N42" s="2" t="str">
        <f>IFERROR(__xludf.DUMMYFUNCTION("""COMPUTED_VALUE"""),"VERDADERO")</f>
        <v>VERDADERO</v>
      </c>
    </row>
    <row r="43">
      <c r="A43" s="2">
        <f>IFERROR(__xludf.DUMMYFUNCTION("""COMPUTED_VALUE"""),42.0)</f>
        <v>42</v>
      </c>
      <c r="B43" s="2" t="str">
        <f>IFERROR(__xludf.DUMMYFUNCTION("""COMPUTED_VALUE"""),"Dale Redhills")</f>
        <v>Dale Redhills</v>
      </c>
      <c r="C43" s="2" t="str">
        <f>IFERROR(__xludf.DUMMYFUNCTION("""COMPUTED_VALUE"""),"dredhills15@cnbc.com")</f>
        <v>dredhills15@cnbc.com</v>
      </c>
      <c r="D43" s="4">
        <f>IFERROR(__xludf.DUMMYFUNCTION("""COMPUTED_VALUE"""),29.0)</f>
        <v>29</v>
      </c>
      <c r="E43" s="4">
        <f>IFERROR(__xludf.DUMMYFUNCTION("""COMPUTED_VALUE"""),81.0)</f>
        <v>81</v>
      </c>
      <c r="F43" s="4">
        <f>IFERROR(__xludf.DUMMYFUNCTION("""COMPUTED_VALUE"""),2.0)</f>
        <v>2</v>
      </c>
      <c r="G43" s="4">
        <f>IFERROR(__xludf.DUMMYFUNCTION("""COMPUTED_VALUE"""),1567.0)</f>
        <v>1567</v>
      </c>
      <c r="H43" s="5">
        <f>IFERROR(__xludf.DUMMYFUNCTION("""COMPUTED_VALUE"""),4389.91)</f>
        <v>4389.91</v>
      </c>
      <c r="I43" s="5">
        <f>IFERROR(__xludf.DUMMYFUNCTION("""COMPUTED_VALUE"""),7705.04)</f>
        <v>7705.04</v>
      </c>
      <c r="J43" s="5">
        <f>IFERROR(__xludf.DUMMYFUNCTION("""COMPUTED_VALUE"""),7444.72)</f>
        <v>7444.72</v>
      </c>
      <c r="K43" s="5">
        <f>IFERROR(__xludf.DUMMYFUNCTION("""COMPUTED_VALUE"""),4430.75)</f>
        <v>4430.75</v>
      </c>
      <c r="L43" s="4">
        <f>IFERROR(__xludf.DUMMYFUNCTION("""COMPUTED_VALUE"""),14.0)</f>
        <v>14</v>
      </c>
      <c r="M43" s="4">
        <f>IFERROR(__xludf.DUMMYFUNCTION("""COMPUTED_VALUE"""),24.0)</f>
        <v>24</v>
      </c>
      <c r="N43" s="2" t="str">
        <f>IFERROR(__xludf.DUMMYFUNCTION("""COMPUTED_VALUE"""),"VERDADERO")</f>
        <v>VERDADERO</v>
      </c>
    </row>
    <row r="44">
      <c r="A44" s="2">
        <f>IFERROR(__xludf.DUMMYFUNCTION("""COMPUTED_VALUE"""),43.0)</f>
        <v>43</v>
      </c>
      <c r="B44" s="2" t="str">
        <f>IFERROR(__xludf.DUMMYFUNCTION("""COMPUTED_VALUE"""),"Lenna Crabbe")</f>
        <v>Lenna Crabbe</v>
      </c>
      <c r="C44" s="2" t="str">
        <f>IFERROR(__xludf.DUMMYFUNCTION("""COMPUTED_VALUE"""),"lcrabbe16@amazon.co.jp")</f>
        <v>lcrabbe16@amazon.co.jp</v>
      </c>
      <c r="D44" s="4">
        <f>IFERROR(__xludf.DUMMYFUNCTION("""COMPUTED_VALUE"""),65.0)</f>
        <v>65</v>
      </c>
      <c r="E44" s="4">
        <f>IFERROR(__xludf.DUMMYFUNCTION("""COMPUTED_VALUE"""),81.0)</f>
        <v>81</v>
      </c>
      <c r="F44" s="4">
        <f>IFERROR(__xludf.DUMMYFUNCTION("""COMPUTED_VALUE"""),2.0)</f>
        <v>2</v>
      </c>
      <c r="G44" s="4">
        <f>IFERROR(__xludf.DUMMYFUNCTION("""COMPUTED_VALUE"""),356.0)</f>
        <v>356</v>
      </c>
      <c r="H44" s="5">
        <f>IFERROR(__xludf.DUMMYFUNCTION("""COMPUTED_VALUE"""),6219.28)</f>
        <v>6219.28</v>
      </c>
      <c r="I44" s="5">
        <f>IFERROR(__xludf.DUMMYFUNCTION("""COMPUTED_VALUE"""),1542.72)</f>
        <v>1542.72</v>
      </c>
      <c r="J44" s="5">
        <f>IFERROR(__xludf.DUMMYFUNCTION("""COMPUTED_VALUE"""),7407.08)</f>
        <v>7407.08</v>
      </c>
      <c r="K44" s="5">
        <f>IFERROR(__xludf.DUMMYFUNCTION("""COMPUTED_VALUE"""),4103.04)</f>
        <v>4103.04</v>
      </c>
      <c r="L44" s="4">
        <f>IFERROR(__xludf.DUMMYFUNCTION("""COMPUTED_VALUE"""),17.0)</f>
        <v>17</v>
      </c>
      <c r="M44" s="4">
        <f>IFERROR(__xludf.DUMMYFUNCTION("""COMPUTED_VALUE"""),94.0)</f>
        <v>94</v>
      </c>
      <c r="N44" s="2" t="str">
        <f>IFERROR(__xludf.DUMMYFUNCTION("""COMPUTED_VALUE"""),"VERDADERO")</f>
        <v>VERDADERO</v>
      </c>
    </row>
    <row r="45">
      <c r="A45" s="2">
        <f>IFERROR(__xludf.DUMMYFUNCTION("""COMPUTED_VALUE"""),44.0)</f>
        <v>44</v>
      </c>
      <c r="B45" s="2" t="str">
        <f>IFERROR(__xludf.DUMMYFUNCTION("""COMPUTED_VALUE"""),"Sidonia Vickerman")</f>
        <v>Sidonia Vickerman</v>
      </c>
      <c r="C45" s="2" t="str">
        <f>IFERROR(__xludf.DUMMYFUNCTION("""COMPUTED_VALUE"""),"svickerman17@cornell.edu")</f>
        <v>svickerman17@cornell.edu</v>
      </c>
      <c r="D45" s="4">
        <f>IFERROR(__xludf.DUMMYFUNCTION("""COMPUTED_VALUE"""),29.0)</f>
        <v>29</v>
      </c>
      <c r="E45" s="4">
        <f>IFERROR(__xludf.DUMMYFUNCTION("""COMPUTED_VALUE"""),107.0)</f>
        <v>107</v>
      </c>
      <c r="F45" s="4">
        <f>IFERROR(__xludf.DUMMYFUNCTION("""COMPUTED_VALUE"""),5.0)</f>
        <v>5</v>
      </c>
      <c r="G45" s="4">
        <f>IFERROR(__xludf.DUMMYFUNCTION("""COMPUTED_VALUE"""),1178.0)</f>
        <v>1178</v>
      </c>
      <c r="H45" s="5">
        <f>IFERROR(__xludf.DUMMYFUNCTION("""COMPUTED_VALUE"""),8287.07)</f>
        <v>8287.07</v>
      </c>
      <c r="I45" s="5">
        <f>IFERROR(__xludf.DUMMYFUNCTION("""COMPUTED_VALUE"""),2737.13)</f>
        <v>2737.13</v>
      </c>
      <c r="J45" s="5">
        <f>IFERROR(__xludf.DUMMYFUNCTION("""COMPUTED_VALUE"""),9491.76)</f>
        <v>9491.76</v>
      </c>
      <c r="K45" s="5">
        <f>IFERROR(__xludf.DUMMYFUNCTION("""COMPUTED_VALUE"""),9903.04)</f>
        <v>9903.04</v>
      </c>
      <c r="L45" s="4">
        <f>IFERROR(__xludf.DUMMYFUNCTION("""COMPUTED_VALUE"""),8.0)</f>
        <v>8</v>
      </c>
      <c r="M45" s="4">
        <f>IFERROR(__xludf.DUMMYFUNCTION("""COMPUTED_VALUE"""),87.0)</f>
        <v>87</v>
      </c>
      <c r="N45" s="2" t="str">
        <f>IFERROR(__xludf.DUMMYFUNCTION("""COMPUTED_VALUE"""),"VERDADERO")</f>
        <v>VERDADERO</v>
      </c>
    </row>
    <row r="46">
      <c r="A46" s="2">
        <f>IFERROR(__xludf.DUMMYFUNCTION("""COMPUTED_VALUE"""),45.0)</f>
        <v>45</v>
      </c>
      <c r="B46" s="2" t="str">
        <f>IFERROR(__xludf.DUMMYFUNCTION("""COMPUTED_VALUE"""),"Clare Sawyer")</f>
        <v>Clare Sawyer</v>
      </c>
      <c r="C46" s="2" t="str">
        <f>IFERROR(__xludf.DUMMYFUNCTION("""COMPUTED_VALUE"""),"csawyer18@slate.com")</f>
        <v>csawyer18@slate.com</v>
      </c>
      <c r="D46" s="4">
        <f>IFERROR(__xludf.DUMMYFUNCTION("""COMPUTED_VALUE"""),135.0)</f>
        <v>135</v>
      </c>
      <c r="E46" s="4">
        <f>IFERROR(__xludf.DUMMYFUNCTION("""COMPUTED_VALUE"""),81.0)</f>
        <v>81</v>
      </c>
      <c r="F46" s="4">
        <f>IFERROR(__xludf.DUMMYFUNCTION("""COMPUTED_VALUE"""),2.0)</f>
        <v>2</v>
      </c>
      <c r="G46" s="4">
        <f>IFERROR(__xludf.DUMMYFUNCTION("""COMPUTED_VALUE"""),1522.0)</f>
        <v>1522</v>
      </c>
      <c r="H46" s="5">
        <f>IFERROR(__xludf.DUMMYFUNCTION("""COMPUTED_VALUE"""),5687.13)</f>
        <v>5687.13</v>
      </c>
      <c r="I46" s="5">
        <f>IFERROR(__xludf.DUMMYFUNCTION("""COMPUTED_VALUE"""),9095.77)</f>
        <v>9095.77</v>
      </c>
      <c r="J46" s="5">
        <f>IFERROR(__xludf.DUMMYFUNCTION("""COMPUTED_VALUE"""),7778.57)</f>
        <v>7778.57</v>
      </c>
      <c r="K46" s="5">
        <f>IFERROR(__xludf.DUMMYFUNCTION("""COMPUTED_VALUE"""),6489.6)</f>
        <v>6489.6</v>
      </c>
      <c r="L46" s="4">
        <f>IFERROR(__xludf.DUMMYFUNCTION("""COMPUTED_VALUE"""),4.0)</f>
        <v>4</v>
      </c>
      <c r="M46" s="4">
        <f>IFERROR(__xludf.DUMMYFUNCTION("""COMPUTED_VALUE"""),86.0)</f>
        <v>86</v>
      </c>
      <c r="N46" s="2" t="str">
        <f>IFERROR(__xludf.DUMMYFUNCTION("""COMPUTED_VALUE"""),"VERDADERO")</f>
        <v>VERDADERO</v>
      </c>
    </row>
    <row r="47">
      <c r="A47" s="2">
        <f>IFERROR(__xludf.DUMMYFUNCTION("""COMPUTED_VALUE"""),46.0)</f>
        <v>46</v>
      </c>
      <c r="B47" s="2" t="str">
        <f>IFERROR(__xludf.DUMMYFUNCTION("""COMPUTED_VALUE"""),"Karyl Lamprey")</f>
        <v>Karyl Lamprey</v>
      </c>
      <c r="C47" s="2" t="str">
        <f>IFERROR(__xludf.DUMMYFUNCTION("""COMPUTED_VALUE"""),"klamprey19@vkontakte.ru")</f>
        <v>klamprey19@vkontakte.ru</v>
      </c>
      <c r="D47" s="4">
        <f>IFERROR(__xludf.DUMMYFUNCTION("""COMPUTED_VALUE"""),29.0)</f>
        <v>29</v>
      </c>
      <c r="E47" s="4">
        <f>IFERROR(__xludf.DUMMYFUNCTION("""COMPUTED_VALUE"""),37.0)</f>
        <v>37</v>
      </c>
      <c r="F47" s="4">
        <f>IFERROR(__xludf.DUMMYFUNCTION("""COMPUTED_VALUE"""),11.0)</f>
        <v>11</v>
      </c>
      <c r="G47" s="4">
        <f>IFERROR(__xludf.DUMMYFUNCTION("""COMPUTED_VALUE"""),942.0)</f>
        <v>942</v>
      </c>
      <c r="H47" s="5">
        <f>IFERROR(__xludf.DUMMYFUNCTION("""COMPUTED_VALUE"""),6011.34)</f>
        <v>6011.34</v>
      </c>
      <c r="I47" s="5">
        <f>IFERROR(__xludf.DUMMYFUNCTION("""COMPUTED_VALUE"""),4142.76)</f>
        <v>4142.76</v>
      </c>
      <c r="J47" s="5">
        <f>IFERROR(__xludf.DUMMYFUNCTION("""COMPUTED_VALUE"""),3621.34)</f>
        <v>3621.34</v>
      </c>
      <c r="K47" s="5">
        <f>IFERROR(__xludf.DUMMYFUNCTION("""COMPUTED_VALUE"""),8783.32)</f>
        <v>8783.32</v>
      </c>
      <c r="L47" s="4">
        <f>IFERROR(__xludf.DUMMYFUNCTION("""COMPUTED_VALUE"""),5.0)</f>
        <v>5</v>
      </c>
      <c r="M47" s="4">
        <f>IFERROR(__xludf.DUMMYFUNCTION("""COMPUTED_VALUE"""),73.0)</f>
        <v>73</v>
      </c>
      <c r="N47" s="2" t="str">
        <f>IFERROR(__xludf.DUMMYFUNCTION("""COMPUTED_VALUE"""),"FALSO")</f>
        <v>FALSO</v>
      </c>
    </row>
    <row r="48">
      <c r="A48" s="2">
        <f>IFERROR(__xludf.DUMMYFUNCTION("""COMPUTED_VALUE"""),47.0)</f>
        <v>47</v>
      </c>
      <c r="B48" s="2" t="str">
        <f>IFERROR(__xludf.DUMMYFUNCTION("""COMPUTED_VALUE"""),"Jacenta Argent")</f>
        <v>Jacenta Argent</v>
      </c>
      <c r="C48" s="2" t="str">
        <f>IFERROR(__xludf.DUMMYFUNCTION("""COMPUTED_VALUE"""),"jargent1a@blinklist.com")</f>
        <v>jargent1a@blinklist.com</v>
      </c>
      <c r="D48" s="4">
        <f>IFERROR(__xludf.DUMMYFUNCTION("""COMPUTED_VALUE"""),29.0)</f>
        <v>29</v>
      </c>
      <c r="E48" s="4">
        <f>IFERROR(__xludf.DUMMYFUNCTION("""COMPUTED_VALUE"""),59.0)</f>
        <v>59</v>
      </c>
      <c r="F48" s="4">
        <f>IFERROR(__xludf.DUMMYFUNCTION("""COMPUTED_VALUE"""),6.0)</f>
        <v>6</v>
      </c>
      <c r="G48" s="4">
        <f>IFERROR(__xludf.DUMMYFUNCTION("""COMPUTED_VALUE"""),48.0)</f>
        <v>48</v>
      </c>
      <c r="H48" s="5">
        <f>IFERROR(__xludf.DUMMYFUNCTION("""COMPUTED_VALUE"""),8974.35)</f>
        <v>8974.35</v>
      </c>
      <c r="I48" s="5">
        <f>IFERROR(__xludf.DUMMYFUNCTION("""COMPUTED_VALUE"""),9604.95)</f>
        <v>9604.95</v>
      </c>
      <c r="J48" s="5">
        <f>IFERROR(__xludf.DUMMYFUNCTION("""COMPUTED_VALUE"""),1939.43)</f>
        <v>1939.43</v>
      </c>
      <c r="K48" s="5">
        <f>IFERROR(__xludf.DUMMYFUNCTION("""COMPUTED_VALUE"""),7936.76)</f>
        <v>7936.76</v>
      </c>
      <c r="L48" s="4">
        <f>IFERROR(__xludf.DUMMYFUNCTION("""COMPUTED_VALUE"""),20.0)</f>
        <v>20</v>
      </c>
      <c r="M48" s="4">
        <f>IFERROR(__xludf.DUMMYFUNCTION("""COMPUTED_VALUE"""),84.0)</f>
        <v>84</v>
      </c>
      <c r="N48" s="2" t="str">
        <f>IFERROR(__xludf.DUMMYFUNCTION("""COMPUTED_VALUE"""),"VERDADERO")</f>
        <v>VERDADERO</v>
      </c>
    </row>
    <row r="49">
      <c r="A49" s="2">
        <f>IFERROR(__xludf.DUMMYFUNCTION("""COMPUTED_VALUE"""),48.0)</f>
        <v>48</v>
      </c>
      <c r="B49" s="2" t="str">
        <f>IFERROR(__xludf.DUMMYFUNCTION("""COMPUTED_VALUE"""),"Adolph Docker")</f>
        <v>Adolph Docker</v>
      </c>
      <c r="C49" s="2" t="str">
        <f>IFERROR(__xludf.DUMMYFUNCTION("""COMPUTED_VALUE"""),"adocker1b@census.gov")</f>
        <v>adocker1b@census.gov</v>
      </c>
      <c r="D49" s="4">
        <f>IFERROR(__xludf.DUMMYFUNCTION("""COMPUTED_VALUE"""),29.0)</f>
        <v>29</v>
      </c>
      <c r="E49" s="4">
        <f>IFERROR(__xludf.DUMMYFUNCTION("""COMPUTED_VALUE"""),21.0)</f>
        <v>21</v>
      </c>
      <c r="F49" s="4">
        <f>IFERROR(__xludf.DUMMYFUNCTION("""COMPUTED_VALUE"""),12.0)</f>
        <v>12</v>
      </c>
      <c r="G49" s="4">
        <f>IFERROR(__xludf.DUMMYFUNCTION("""COMPUTED_VALUE"""),1403.0)</f>
        <v>1403</v>
      </c>
      <c r="H49" s="5">
        <f>IFERROR(__xludf.DUMMYFUNCTION("""COMPUTED_VALUE"""),418.34)</f>
        <v>418.34</v>
      </c>
      <c r="I49" s="5">
        <f>IFERROR(__xludf.DUMMYFUNCTION("""COMPUTED_VALUE"""),3388.43)</f>
        <v>3388.43</v>
      </c>
      <c r="J49" s="5">
        <f>IFERROR(__xludf.DUMMYFUNCTION("""COMPUTED_VALUE"""),2434.0)</f>
        <v>2434</v>
      </c>
      <c r="K49" s="5">
        <f>IFERROR(__xludf.DUMMYFUNCTION("""COMPUTED_VALUE"""),278.21)</f>
        <v>278.21</v>
      </c>
      <c r="L49" s="4">
        <f>IFERROR(__xludf.DUMMYFUNCTION("""COMPUTED_VALUE"""),15.0)</f>
        <v>15</v>
      </c>
      <c r="M49" s="4">
        <f>IFERROR(__xludf.DUMMYFUNCTION("""COMPUTED_VALUE"""),16.0)</f>
        <v>16</v>
      </c>
      <c r="N49" s="2" t="str">
        <f>IFERROR(__xludf.DUMMYFUNCTION("""COMPUTED_VALUE"""),"VERDADERO")</f>
        <v>VERDADERO</v>
      </c>
    </row>
    <row r="50">
      <c r="A50" s="2">
        <f>IFERROR(__xludf.DUMMYFUNCTION("""COMPUTED_VALUE"""),49.0)</f>
        <v>49</v>
      </c>
      <c r="B50" s="2" t="str">
        <f>IFERROR(__xludf.DUMMYFUNCTION("""COMPUTED_VALUE"""),"Rahal Lamond")</f>
        <v>Rahal Lamond</v>
      </c>
      <c r="C50" s="2" t="str">
        <f>IFERROR(__xludf.DUMMYFUNCTION("""COMPUTED_VALUE"""),"rlamond1c@wp.com")</f>
        <v>rlamond1c@wp.com</v>
      </c>
      <c r="D50" s="4">
        <f>IFERROR(__xludf.DUMMYFUNCTION("""COMPUTED_VALUE"""),120.0)</f>
        <v>120</v>
      </c>
      <c r="E50" s="4">
        <f>IFERROR(__xludf.DUMMYFUNCTION("""COMPUTED_VALUE"""),23.0)</f>
        <v>23</v>
      </c>
      <c r="F50" s="4">
        <f>IFERROR(__xludf.DUMMYFUNCTION("""COMPUTED_VALUE"""),5.0)</f>
        <v>5</v>
      </c>
      <c r="G50" s="4">
        <f>IFERROR(__xludf.DUMMYFUNCTION("""COMPUTED_VALUE"""),846.0)</f>
        <v>846</v>
      </c>
      <c r="H50" s="5">
        <f>IFERROR(__xludf.DUMMYFUNCTION("""COMPUTED_VALUE"""),6981.48)</f>
        <v>6981.48</v>
      </c>
      <c r="I50" s="5">
        <f>IFERROR(__xludf.DUMMYFUNCTION("""COMPUTED_VALUE"""),4615.91)</f>
        <v>4615.91</v>
      </c>
      <c r="J50" s="5">
        <f>IFERROR(__xludf.DUMMYFUNCTION("""COMPUTED_VALUE"""),2668.8)</f>
        <v>2668.8</v>
      </c>
      <c r="K50" s="5">
        <f>IFERROR(__xludf.DUMMYFUNCTION("""COMPUTED_VALUE"""),5918.64)</f>
        <v>5918.64</v>
      </c>
      <c r="L50" s="4">
        <f>IFERROR(__xludf.DUMMYFUNCTION("""COMPUTED_VALUE"""),19.0)</f>
        <v>19</v>
      </c>
      <c r="M50" s="4">
        <f>IFERROR(__xludf.DUMMYFUNCTION("""COMPUTED_VALUE"""),47.0)</f>
        <v>47</v>
      </c>
      <c r="N50" s="2" t="str">
        <f>IFERROR(__xludf.DUMMYFUNCTION("""COMPUTED_VALUE"""),"FALSO")</f>
        <v>FALSO</v>
      </c>
    </row>
    <row r="51">
      <c r="A51" s="2">
        <f>IFERROR(__xludf.DUMMYFUNCTION("""COMPUTED_VALUE"""),50.0)</f>
        <v>50</v>
      </c>
      <c r="B51" s="2" t="str">
        <f>IFERROR(__xludf.DUMMYFUNCTION("""COMPUTED_VALUE"""),"Benedikt McCarrell")</f>
        <v>Benedikt McCarrell</v>
      </c>
      <c r="C51" s="2" t="str">
        <f>IFERROR(__xludf.DUMMYFUNCTION("""COMPUTED_VALUE"""),"bmccarrell1d@vimeo.com")</f>
        <v>bmccarrell1d@vimeo.com</v>
      </c>
      <c r="D51" s="4">
        <f>IFERROR(__xludf.DUMMYFUNCTION("""COMPUTED_VALUE"""),29.0)</f>
        <v>29</v>
      </c>
      <c r="E51" s="4">
        <f>IFERROR(__xludf.DUMMYFUNCTION("""COMPUTED_VALUE"""),12.0)</f>
        <v>12</v>
      </c>
      <c r="F51" s="4">
        <f>IFERROR(__xludf.DUMMYFUNCTION("""COMPUTED_VALUE"""),6.0)</f>
        <v>6</v>
      </c>
      <c r="G51" s="4">
        <f>IFERROR(__xludf.DUMMYFUNCTION("""COMPUTED_VALUE"""),1217.0)</f>
        <v>1217</v>
      </c>
      <c r="H51" s="5">
        <f>IFERROR(__xludf.DUMMYFUNCTION("""COMPUTED_VALUE"""),7784.21)</f>
        <v>7784.21</v>
      </c>
      <c r="I51" s="5">
        <f>IFERROR(__xludf.DUMMYFUNCTION("""COMPUTED_VALUE"""),3896.02)</f>
        <v>3896.02</v>
      </c>
      <c r="J51" s="5">
        <f>IFERROR(__xludf.DUMMYFUNCTION("""COMPUTED_VALUE"""),6139.53)</f>
        <v>6139.53</v>
      </c>
      <c r="K51" s="5">
        <f>IFERROR(__xludf.DUMMYFUNCTION("""COMPUTED_VALUE"""),5059.36)</f>
        <v>5059.36</v>
      </c>
      <c r="L51" s="4">
        <f>IFERROR(__xludf.DUMMYFUNCTION("""COMPUTED_VALUE"""),7.0)</f>
        <v>7</v>
      </c>
      <c r="M51" s="4">
        <f>IFERROR(__xludf.DUMMYFUNCTION("""COMPUTED_VALUE"""),8.0)</f>
        <v>8</v>
      </c>
      <c r="N51" s="2" t="str">
        <f>IFERROR(__xludf.DUMMYFUNCTION("""COMPUTED_VALUE"""),"FALSO")</f>
        <v>FALSO</v>
      </c>
    </row>
    <row r="52">
      <c r="A52" s="2">
        <f>IFERROR(__xludf.DUMMYFUNCTION("""COMPUTED_VALUE"""),51.0)</f>
        <v>51</v>
      </c>
      <c r="B52" s="2" t="str">
        <f>IFERROR(__xludf.DUMMYFUNCTION("""COMPUTED_VALUE"""),"Miof mela Luckwell")</f>
        <v>Miof mela Luckwell</v>
      </c>
      <c r="C52" s="2" t="str">
        <f>IFERROR(__xludf.DUMMYFUNCTION("""COMPUTED_VALUE"""),"mmela1e@godaddy.com")</f>
        <v>mmela1e@godaddy.com</v>
      </c>
      <c r="D52" s="4">
        <f>IFERROR(__xludf.DUMMYFUNCTION("""COMPUTED_VALUE"""),65.0)</f>
        <v>65</v>
      </c>
      <c r="E52" s="4">
        <f>IFERROR(__xludf.DUMMYFUNCTION("""COMPUTED_VALUE"""),29.0)</f>
        <v>29</v>
      </c>
      <c r="F52" s="4">
        <f>IFERROR(__xludf.DUMMYFUNCTION("""COMPUTED_VALUE"""),11.0)</f>
        <v>11</v>
      </c>
      <c r="G52" s="4">
        <f>IFERROR(__xludf.DUMMYFUNCTION("""COMPUTED_VALUE"""),994.0)</f>
        <v>994</v>
      </c>
      <c r="H52" s="5">
        <f>IFERROR(__xludf.DUMMYFUNCTION("""COMPUTED_VALUE"""),8545.81)</f>
        <v>8545.81</v>
      </c>
      <c r="I52" s="5">
        <f>IFERROR(__xludf.DUMMYFUNCTION("""COMPUTED_VALUE"""),6248.35)</f>
        <v>6248.35</v>
      </c>
      <c r="J52" s="5">
        <f>IFERROR(__xludf.DUMMYFUNCTION("""COMPUTED_VALUE"""),5910.52)</f>
        <v>5910.52</v>
      </c>
      <c r="K52" s="5">
        <f>IFERROR(__xludf.DUMMYFUNCTION("""COMPUTED_VALUE"""),1682.78)</f>
        <v>1682.78</v>
      </c>
      <c r="L52" s="4">
        <f>IFERROR(__xludf.DUMMYFUNCTION("""COMPUTED_VALUE"""),3.0)</f>
        <v>3</v>
      </c>
      <c r="M52" s="4">
        <f>IFERROR(__xludf.DUMMYFUNCTION("""COMPUTED_VALUE"""),63.0)</f>
        <v>63</v>
      </c>
      <c r="N52" s="2" t="str">
        <f>IFERROR(__xludf.DUMMYFUNCTION("""COMPUTED_VALUE"""),"FALSO")</f>
        <v>FALSO</v>
      </c>
    </row>
    <row r="53">
      <c r="A53" s="2">
        <f>IFERROR(__xludf.DUMMYFUNCTION("""COMPUTED_VALUE"""),52.0)</f>
        <v>52</v>
      </c>
      <c r="B53" s="2" t="str">
        <f>IFERROR(__xludf.DUMMYFUNCTION("""COMPUTED_VALUE"""),"Gillian McCleary")</f>
        <v>Gillian McCleary</v>
      </c>
      <c r="C53" s="2" t="str">
        <f>IFERROR(__xludf.DUMMYFUNCTION("""COMPUTED_VALUE"""),"gmccleary1f@google.com.hk")</f>
        <v>gmccleary1f@google.com.hk</v>
      </c>
      <c r="D53" s="4">
        <f>IFERROR(__xludf.DUMMYFUNCTION("""COMPUTED_VALUE"""),137.0)</f>
        <v>137</v>
      </c>
      <c r="E53" s="4">
        <f>IFERROR(__xludf.DUMMYFUNCTION("""COMPUTED_VALUE"""),66.0)</f>
        <v>66</v>
      </c>
      <c r="F53" s="4">
        <f>IFERROR(__xludf.DUMMYFUNCTION("""COMPUTED_VALUE"""),6.0)</f>
        <v>6</v>
      </c>
      <c r="G53" s="4">
        <f>IFERROR(__xludf.DUMMYFUNCTION("""COMPUTED_VALUE"""),940.0)</f>
        <v>940</v>
      </c>
      <c r="H53" s="5">
        <f>IFERROR(__xludf.DUMMYFUNCTION("""COMPUTED_VALUE"""),6740.37)</f>
        <v>6740.37</v>
      </c>
      <c r="I53" s="5">
        <f>IFERROR(__xludf.DUMMYFUNCTION("""COMPUTED_VALUE"""),7743.18)</f>
        <v>7743.18</v>
      </c>
      <c r="J53" s="5">
        <f>IFERROR(__xludf.DUMMYFUNCTION("""COMPUTED_VALUE"""),1629.32)</f>
        <v>1629.32</v>
      </c>
      <c r="K53" s="5">
        <f>IFERROR(__xludf.DUMMYFUNCTION("""COMPUTED_VALUE"""),3652.64)</f>
        <v>3652.64</v>
      </c>
      <c r="L53" s="4">
        <f>IFERROR(__xludf.DUMMYFUNCTION("""COMPUTED_VALUE"""),14.0)</f>
        <v>14</v>
      </c>
      <c r="M53" s="4">
        <f>IFERROR(__xludf.DUMMYFUNCTION("""COMPUTED_VALUE"""),28.0)</f>
        <v>28</v>
      </c>
      <c r="N53" s="2" t="str">
        <f>IFERROR(__xludf.DUMMYFUNCTION("""COMPUTED_VALUE"""),"FALSO")</f>
        <v>FALSO</v>
      </c>
    </row>
    <row r="54">
      <c r="A54" s="2">
        <f>IFERROR(__xludf.DUMMYFUNCTION("""COMPUTED_VALUE"""),53.0)</f>
        <v>53</v>
      </c>
      <c r="B54" s="2" t="str">
        <f>IFERROR(__xludf.DUMMYFUNCTION("""COMPUTED_VALUE"""),"Fredrick Bullcock")</f>
        <v>Fredrick Bullcock</v>
      </c>
      <c r="C54" s="2" t="str">
        <f>IFERROR(__xludf.DUMMYFUNCTION("""COMPUTED_VALUE"""),"fbullcock1g@nyu.edu")</f>
        <v>fbullcock1g@nyu.edu</v>
      </c>
      <c r="D54" s="4">
        <f>IFERROR(__xludf.DUMMYFUNCTION("""COMPUTED_VALUE"""),65.0)</f>
        <v>65</v>
      </c>
      <c r="E54" s="4">
        <f>IFERROR(__xludf.DUMMYFUNCTION("""COMPUTED_VALUE"""),86.0)</f>
        <v>86</v>
      </c>
      <c r="F54" s="4">
        <f>IFERROR(__xludf.DUMMYFUNCTION("""COMPUTED_VALUE"""),3.0)</f>
        <v>3</v>
      </c>
      <c r="G54" s="4">
        <f>IFERROR(__xludf.DUMMYFUNCTION("""COMPUTED_VALUE"""),1341.0)</f>
        <v>1341</v>
      </c>
      <c r="H54" s="5">
        <f>IFERROR(__xludf.DUMMYFUNCTION("""COMPUTED_VALUE"""),1285.46)</f>
        <v>1285.46</v>
      </c>
      <c r="I54" s="5">
        <f>IFERROR(__xludf.DUMMYFUNCTION("""COMPUTED_VALUE"""),5135.47)</f>
        <v>5135.47</v>
      </c>
      <c r="J54" s="5">
        <f>IFERROR(__xludf.DUMMYFUNCTION("""COMPUTED_VALUE"""),9472.37)</f>
        <v>9472.37</v>
      </c>
      <c r="K54" s="5">
        <f>IFERROR(__xludf.DUMMYFUNCTION("""COMPUTED_VALUE"""),2709.69)</f>
        <v>2709.69</v>
      </c>
      <c r="L54" s="4">
        <f>IFERROR(__xludf.DUMMYFUNCTION("""COMPUTED_VALUE"""),5.0)</f>
        <v>5</v>
      </c>
      <c r="M54" s="4">
        <f>IFERROR(__xludf.DUMMYFUNCTION("""COMPUTED_VALUE"""),42.0)</f>
        <v>42</v>
      </c>
      <c r="N54" s="2" t="str">
        <f>IFERROR(__xludf.DUMMYFUNCTION("""COMPUTED_VALUE"""),"VERDADERO")</f>
        <v>VERDADERO</v>
      </c>
    </row>
    <row r="55">
      <c r="A55" s="2">
        <f>IFERROR(__xludf.DUMMYFUNCTION("""COMPUTED_VALUE"""),54.0)</f>
        <v>54</v>
      </c>
      <c r="B55" s="2" t="str">
        <f>IFERROR(__xludf.DUMMYFUNCTION("""COMPUTED_VALUE"""),"Alberto McBryde")</f>
        <v>Alberto McBryde</v>
      </c>
      <c r="C55" s="2" t="str">
        <f>IFERROR(__xludf.DUMMYFUNCTION("""COMPUTED_VALUE"""),"amcbryde1h@cyberchimps.com")</f>
        <v>amcbryde1h@cyberchimps.com</v>
      </c>
      <c r="D55" s="4">
        <f>IFERROR(__xludf.DUMMYFUNCTION("""COMPUTED_VALUE"""),65.0)</f>
        <v>65</v>
      </c>
      <c r="E55" s="4">
        <f>IFERROR(__xludf.DUMMYFUNCTION("""COMPUTED_VALUE"""),64.0)</f>
        <v>64</v>
      </c>
      <c r="F55" s="4">
        <f>IFERROR(__xludf.DUMMYFUNCTION("""COMPUTED_VALUE"""),4.0)</f>
        <v>4</v>
      </c>
      <c r="G55" s="4">
        <f>IFERROR(__xludf.DUMMYFUNCTION("""COMPUTED_VALUE"""),1555.0)</f>
        <v>1555</v>
      </c>
      <c r="H55" s="5">
        <f>IFERROR(__xludf.DUMMYFUNCTION("""COMPUTED_VALUE"""),5110.94)</f>
        <v>5110.94</v>
      </c>
      <c r="I55" s="5">
        <f>IFERROR(__xludf.DUMMYFUNCTION("""COMPUTED_VALUE"""),1224.27)</f>
        <v>1224.27</v>
      </c>
      <c r="J55" s="5">
        <f>IFERROR(__xludf.DUMMYFUNCTION("""COMPUTED_VALUE"""),8780.39)</f>
        <v>8780.39</v>
      </c>
      <c r="K55" s="5">
        <f>IFERROR(__xludf.DUMMYFUNCTION("""COMPUTED_VALUE"""),6218.98)</f>
        <v>6218.98</v>
      </c>
      <c r="L55" s="4">
        <f>IFERROR(__xludf.DUMMYFUNCTION("""COMPUTED_VALUE"""),10.0)</f>
        <v>10</v>
      </c>
      <c r="M55" s="4">
        <f>IFERROR(__xludf.DUMMYFUNCTION("""COMPUTED_VALUE"""),22.0)</f>
        <v>22</v>
      </c>
      <c r="N55" s="2" t="str">
        <f>IFERROR(__xludf.DUMMYFUNCTION("""COMPUTED_VALUE"""),"VERDADERO")</f>
        <v>VERDADERO</v>
      </c>
    </row>
    <row r="56">
      <c r="A56" s="2">
        <f>IFERROR(__xludf.DUMMYFUNCTION("""COMPUTED_VALUE"""),55.0)</f>
        <v>55</v>
      </c>
      <c r="B56" s="2" t="str">
        <f>IFERROR(__xludf.DUMMYFUNCTION("""COMPUTED_VALUE"""),"Sigfried Middlebrook")</f>
        <v>Sigfried Middlebrook</v>
      </c>
      <c r="C56" s="2" t="str">
        <f>IFERROR(__xludf.DUMMYFUNCTION("""COMPUTED_VALUE"""),"smiddlebrook1i@cargocollective.com")</f>
        <v>smiddlebrook1i@cargocollective.com</v>
      </c>
      <c r="D56" s="4">
        <f>IFERROR(__xludf.DUMMYFUNCTION("""COMPUTED_VALUE"""),120.0)</f>
        <v>120</v>
      </c>
      <c r="E56" s="4">
        <f>IFERROR(__xludf.DUMMYFUNCTION("""COMPUTED_VALUE"""),77.0)</f>
        <v>77</v>
      </c>
      <c r="F56" s="4">
        <f>IFERROR(__xludf.DUMMYFUNCTION("""COMPUTED_VALUE"""),10.0)</f>
        <v>10</v>
      </c>
      <c r="G56" s="4">
        <f>IFERROR(__xludf.DUMMYFUNCTION("""COMPUTED_VALUE"""),1059.0)</f>
        <v>1059</v>
      </c>
      <c r="H56" s="5">
        <f>IFERROR(__xludf.DUMMYFUNCTION("""COMPUTED_VALUE"""),732.65)</f>
        <v>732.65</v>
      </c>
      <c r="I56" s="5">
        <f>IFERROR(__xludf.DUMMYFUNCTION("""COMPUTED_VALUE"""),4103.76)</f>
        <v>4103.76</v>
      </c>
      <c r="J56" s="5">
        <f>IFERROR(__xludf.DUMMYFUNCTION("""COMPUTED_VALUE"""),3562.69)</f>
        <v>3562.69</v>
      </c>
      <c r="K56" s="5">
        <f>IFERROR(__xludf.DUMMYFUNCTION("""COMPUTED_VALUE"""),7316.94)</f>
        <v>7316.94</v>
      </c>
      <c r="L56" s="4">
        <f>IFERROR(__xludf.DUMMYFUNCTION("""COMPUTED_VALUE"""),17.0)</f>
        <v>17</v>
      </c>
      <c r="M56" s="4">
        <f>IFERROR(__xludf.DUMMYFUNCTION("""COMPUTED_VALUE"""),14.0)</f>
        <v>14</v>
      </c>
      <c r="N56" s="2" t="str">
        <f>IFERROR(__xludf.DUMMYFUNCTION("""COMPUTED_VALUE"""),"FALSO")</f>
        <v>FALSO</v>
      </c>
    </row>
    <row r="57">
      <c r="A57" s="2">
        <f>IFERROR(__xludf.DUMMYFUNCTION("""COMPUTED_VALUE"""),56.0)</f>
        <v>56</v>
      </c>
      <c r="B57" s="2" t="str">
        <f>IFERROR(__xludf.DUMMYFUNCTION("""COMPUTED_VALUE"""),"Candi Hedgeley")</f>
        <v>Candi Hedgeley</v>
      </c>
      <c r="C57" s="2" t="str">
        <f>IFERROR(__xludf.DUMMYFUNCTION("""COMPUTED_VALUE"""),"chedgeley1j@ustream.tv")</f>
        <v>chedgeley1j@ustream.tv</v>
      </c>
      <c r="D57" s="4">
        <f>IFERROR(__xludf.DUMMYFUNCTION("""COMPUTED_VALUE"""),65.0)</f>
        <v>65</v>
      </c>
      <c r="E57" s="4">
        <f>IFERROR(__xludf.DUMMYFUNCTION("""COMPUTED_VALUE"""),58.0)</f>
        <v>58</v>
      </c>
      <c r="F57" s="4">
        <f>IFERROR(__xludf.DUMMYFUNCTION("""COMPUTED_VALUE"""),3.0)</f>
        <v>3</v>
      </c>
      <c r="G57" s="4">
        <f>IFERROR(__xludf.DUMMYFUNCTION("""COMPUTED_VALUE"""),237.0)</f>
        <v>237</v>
      </c>
      <c r="H57" s="5">
        <f>IFERROR(__xludf.DUMMYFUNCTION("""COMPUTED_VALUE"""),6364.21)</f>
        <v>6364.21</v>
      </c>
      <c r="I57" s="5">
        <f>IFERROR(__xludf.DUMMYFUNCTION("""COMPUTED_VALUE"""),61.2)</f>
        <v>61.2</v>
      </c>
      <c r="J57" s="5">
        <f>IFERROR(__xludf.DUMMYFUNCTION("""COMPUTED_VALUE"""),1970.15)</f>
        <v>1970.15</v>
      </c>
      <c r="K57" s="5">
        <f>IFERROR(__xludf.DUMMYFUNCTION("""COMPUTED_VALUE"""),336.35)</f>
        <v>336.35</v>
      </c>
      <c r="L57" s="4">
        <f>IFERROR(__xludf.DUMMYFUNCTION("""COMPUTED_VALUE"""),15.0)</f>
        <v>15</v>
      </c>
      <c r="M57" s="4">
        <f>IFERROR(__xludf.DUMMYFUNCTION("""COMPUTED_VALUE"""),4.0)</f>
        <v>4</v>
      </c>
      <c r="N57" s="2" t="str">
        <f>IFERROR(__xludf.DUMMYFUNCTION("""COMPUTED_VALUE"""),"FALSO")</f>
        <v>FALSO</v>
      </c>
    </row>
    <row r="58">
      <c r="A58" s="2">
        <f>IFERROR(__xludf.DUMMYFUNCTION("""COMPUTED_VALUE"""),57.0)</f>
        <v>57</v>
      </c>
      <c r="B58" s="2" t="str">
        <f>IFERROR(__xludf.DUMMYFUNCTION("""COMPUTED_VALUE"""),"Jsandye Dermott")</f>
        <v>Jsandye Dermott</v>
      </c>
      <c r="C58" s="2" t="str">
        <f>IFERROR(__xludf.DUMMYFUNCTION("""COMPUTED_VALUE"""),"jdermott1k@sun.com")</f>
        <v>jdermott1k@sun.com</v>
      </c>
      <c r="D58" s="4">
        <f>IFERROR(__xludf.DUMMYFUNCTION("""COMPUTED_VALUE"""),124.0)</f>
        <v>124</v>
      </c>
      <c r="E58" s="4">
        <f>IFERROR(__xludf.DUMMYFUNCTION("""COMPUTED_VALUE"""),81.0)</f>
        <v>81</v>
      </c>
      <c r="F58" s="4">
        <f>IFERROR(__xludf.DUMMYFUNCTION("""COMPUTED_VALUE"""),2.0)</f>
        <v>2</v>
      </c>
      <c r="G58" s="4">
        <f>IFERROR(__xludf.DUMMYFUNCTION("""COMPUTED_VALUE"""),651.0)</f>
        <v>651</v>
      </c>
      <c r="H58" s="5">
        <f>IFERROR(__xludf.DUMMYFUNCTION("""COMPUTED_VALUE"""),1536.78)</f>
        <v>1536.78</v>
      </c>
      <c r="I58" s="5">
        <f>IFERROR(__xludf.DUMMYFUNCTION("""COMPUTED_VALUE"""),4114.37)</f>
        <v>4114.37</v>
      </c>
      <c r="J58" s="5">
        <f>IFERROR(__xludf.DUMMYFUNCTION("""COMPUTED_VALUE"""),5282.3)</f>
        <v>5282.3</v>
      </c>
      <c r="K58" s="5">
        <f>IFERROR(__xludf.DUMMYFUNCTION("""COMPUTED_VALUE"""),9753.03)</f>
        <v>9753.03</v>
      </c>
      <c r="L58" s="4">
        <f>IFERROR(__xludf.DUMMYFUNCTION("""COMPUTED_VALUE"""),7.0)</f>
        <v>7</v>
      </c>
      <c r="M58" s="4">
        <f>IFERROR(__xludf.DUMMYFUNCTION("""COMPUTED_VALUE"""),96.0)</f>
        <v>96</v>
      </c>
      <c r="N58" s="2" t="str">
        <f>IFERROR(__xludf.DUMMYFUNCTION("""COMPUTED_VALUE"""),"VERDADERO")</f>
        <v>VERDADERO</v>
      </c>
    </row>
    <row r="59">
      <c r="A59" s="2">
        <f>IFERROR(__xludf.DUMMYFUNCTION("""COMPUTED_VALUE"""),58.0)</f>
        <v>58</v>
      </c>
      <c r="B59" s="2" t="str">
        <f>IFERROR(__xludf.DUMMYFUNCTION("""COMPUTED_VALUE"""),"Anita Astling")</f>
        <v>Anita Astling</v>
      </c>
      <c r="C59" s="2" t="str">
        <f>IFERROR(__xludf.DUMMYFUNCTION("""COMPUTED_VALUE"""),"aastling1l@nps.gov")</f>
        <v>aastling1l@nps.gov</v>
      </c>
      <c r="D59" s="4">
        <f>IFERROR(__xludf.DUMMYFUNCTION("""COMPUTED_VALUE"""),88.0)</f>
        <v>88</v>
      </c>
      <c r="E59" s="4">
        <f>IFERROR(__xludf.DUMMYFUNCTION("""COMPUTED_VALUE"""),39.0)</f>
        <v>39</v>
      </c>
      <c r="F59" s="4">
        <f>IFERROR(__xludf.DUMMYFUNCTION("""COMPUTED_VALUE"""),11.0)</f>
        <v>11</v>
      </c>
      <c r="G59" s="4">
        <f>IFERROR(__xludf.DUMMYFUNCTION("""COMPUTED_VALUE"""),993.0)</f>
        <v>993</v>
      </c>
      <c r="H59" s="5">
        <f>IFERROR(__xludf.DUMMYFUNCTION("""COMPUTED_VALUE"""),9743.01)</f>
        <v>9743.01</v>
      </c>
      <c r="I59" s="5">
        <f>IFERROR(__xludf.DUMMYFUNCTION("""COMPUTED_VALUE"""),7389.95)</f>
        <v>7389.95</v>
      </c>
      <c r="J59" s="5">
        <f>IFERROR(__xludf.DUMMYFUNCTION("""COMPUTED_VALUE"""),8648.56)</f>
        <v>8648.56</v>
      </c>
      <c r="K59" s="5">
        <f>IFERROR(__xludf.DUMMYFUNCTION("""COMPUTED_VALUE"""),7918.97)</f>
        <v>7918.97</v>
      </c>
      <c r="L59" s="4">
        <f>IFERROR(__xludf.DUMMYFUNCTION("""COMPUTED_VALUE"""),20.0)</f>
        <v>20</v>
      </c>
      <c r="M59" s="4">
        <f>IFERROR(__xludf.DUMMYFUNCTION("""COMPUTED_VALUE"""),31.0)</f>
        <v>31</v>
      </c>
      <c r="N59" s="2" t="str">
        <f>IFERROR(__xludf.DUMMYFUNCTION("""COMPUTED_VALUE"""),"FALSO")</f>
        <v>FALSO</v>
      </c>
    </row>
    <row r="60">
      <c r="A60" s="2">
        <f>IFERROR(__xludf.DUMMYFUNCTION("""COMPUTED_VALUE"""),59.0)</f>
        <v>59</v>
      </c>
      <c r="B60" s="2" t="str">
        <f>IFERROR(__xludf.DUMMYFUNCTION("""COMPUTED_VALUE"""),"Arabele Trolley")</f>
        <v>Arabele Trolley</v>
      </c>
      <c r="C60" s="2" t="str">
        <f>IFERROR(__xludf.DUMMYFUNCTION("""COMPUTED_VALUE"""),"atrolley1m@bing.com")</f>
        <v>atrolley1m@bing.com</v>
      </c>
      <c r="D60" s="4">
        <f>IFERROR(__xludf.DUMMYFUNCTION("""COMPUTED_VALUE"""),122.0)</f>
        <v>122</v>
      </c>
      <c r="E60" s="4">
        <f>IFERROR(__xludf.DUMMYFUNCTION("""COMPUTED_VALUE"""),66.0)</f>
        <v>66</v>
      </c>
      <c r="F60" s="4">
        <f>IFERROR(__xludf.DUMMYFUNCTION("""COMPUTED_VALUE"""),6.0)</f>
        <v>6</v>
      </c>
      <c r="G60" s="4">
        <f>IFERROR(__xludf.DUMMYFUNCTION("""COMPUTED_VALUE"""),867.0)</f>
        <v>867</v>
      </c>
      <c r="H60" s="5">
        <f>IFERROR(__xludf.DUMMYFUNCTION("""COMPUTED_VALUE"""),981.08)</f>
        <v>981.08</v>
      </c>
      <c r="I60" s="5">
        <f>IFERROR(__xludf.DUMMYFUNCTION("""COMPUTED_VALUE"""),9912.96)</f>
        <v>9912.96</v>
      </c>
      <c r="J60" s="5">
        <f>IFERROR(__xludf.DUMMYFUNCTION("""COMPUTED_VALUE"""),87.25)</f>
        <v>87.25</v>
      </c>
      <c r="K60" s="5">
        <f>IFERROR(__xludf.DUMMYFUNCTION("""COMPUTED_VALUE"""),6807.59)</f>
        <v>6807.59</v>
      </c>
      <c r="L60" s="4">
        <f>IFERROR(__xludf.DUMMYFUNCTION("""COMPUTED_VALUE"""),6.0)</f>
        <v>6</v>
      </c>
      <c r="M60" s="4">
        <f>IFERROR(__xludf.DUMMYFUNCTION("""COMPUTED_VALUE"""),41.0)</f>
        <v>41</v>
      </c>
      <c r="N60" s="2" t="str">
        <f>IFERROR(__xludf.DUMMYFUNCTION("""COMPUTED_VALUE"""),"FALSO")</f>
        <v>FALSO</v>
      </c>
    </row>
    <row r="61">
      <c r="A61" s="2">
        <f>IFERROR(__xludf.DUMMYFUNCTION("""COMPUTED_VALUE"""),60.0)</f>
        <v>60</v>
      </c>
      <c r="B61" s="2" t="str">
        <f>IFERROR(__xludf.DUMMYFUNCTION("""COMPUTED_VALUE"""),"Nita Binden")</f>
        <v>Nita Binden</v>
      </c>
      <c r="C61" s="2" t="str">
        <f>IFERROR(__xludf.DUMMYFUNCTION("""COMPUTED_VALUE"""),"nbinden1n@a8.net")</f>
        <v>nbinden1n@a8.net</v>
      </c>
      <c r="D61" s="4">
        <f>IFERROR(__xludf.DUMMYFUNCTION("""COMPUTED_VALUE"""),29.0)</f>
        <v>29</v>
      </c>
      <c r="E61" s="4">
        <f>IFERROR(__xludf.DUMMYFUNCTION("""COMPUTED_VALUE"""),81.0)</f>
        <v>81</v>
      </c>
      <c r="F61" s="4">
        <f>IFERROR(__xludf.DUMMYFUNCTION("""COMPUTED_VALUE"""),2.0)</f>
        <v>2</v>
      </c>
      <c r="G61" s="4">
        <f>IFERROR(__xludf.DUMMYFUNCTION("""COMPUTED_VALUE"""),1520.0)</f>
        <v>1520</v>
      </c>
      <c r="H61" s="5">
        <f>IFERROR(__xludf.DUMMYFUNCTION("""COMPUTED_VALUE"""),5468.65)</f>
        <v>5468.65</v>
      </c>
      <c r="I61" s="5">
        <f>IFERROR(__xludf.DUMMYFUNCTION("""COMPUTED_VALUE"""),8395.62)</f>
        <v>8395.62</v>
      </c>
      <c r="J61" s="5">
        <f>IFERROR(__xludf.DUMMYFUNCTION("""COMPUTED_VALUE"""),144.93)</f>
        <v>144.93</v>
      </c>
      <c r="K61" s="5">
        <f>IFERROR(__xludf.DUMMYFUNCTION("""COMPUTED_VALUE"""),464.96)</f>
        <v>464.96</v>
      </c>
      <c r="L61" s="4">
        <f>IFERROR(__xludf.DUMMYFUNCTION("""COMPUTED_VALUE"""),11.0)</f>
        <v>11</v>
      </c>
      <c r="M61" s="4">
        <f>IFERROR(__xludf.DUMMYFUNCTION("""COMPUTED_VALUE"""),98.0)</f>
        <v>98</v>
      </c>
      <c r="N61" s="2" t="str">
        <f>IFERROR(__xludf.DUMMYFUNCTION("""COMPUTED_VALUE"""),"FALSO")</f>
        <v>FALSO</v>
      </c>
    </row>
    <row r="62">
      <c r="A62" s="2">
        <f>IFERROR(__xludf.DUMMYFUNCTION("""COMPUTED_VALUE"""),61.0)</f>
        <v>61</v>
      </c>
      <c r="B62" s="2" t="str">
        <f>IFERROR(__xludf.DUMMYFUNCTION("""COMPUTED_VALUE"""),"Bucky McLuckie")</f>
        <v>Bucky McLuckie</v>
      </c>
      <c r="C62" s="2" t="str">
        <f>IFERROR(__xludf.DUMMYFUNCTION("""COMPUTED_VALUE"""),"bmcluckie1o@jimdo.com")</f>
        <v>bmcluckie1o@jimdo.com</v>
      </c>
      <c r="D62" s="4">
        <f>IFERROR(__xludf.DUMMYFUNCTION("""COMPUTED_VALUE"""),9.0)</f>
        <v>9</v>
      </c>
      <c r="E62" s="4">
        <f>IFERROR(__xludf.DUMMYFUNCTION("""COMPUTED_VALUE"""),26.0)</f>
        <v>26</v>
      </c>
      <c r="F62" s="4">
        <f>IFERROR(__xludf.DUMMYFUNCTION("""COMPUTED_VALUE"""),11.0)</f>
        <v>11</v>
      </c>
      <c r="G62" s="4">
        <f>IFERROR(__xludf.DUMMYFUNCTION("""COMPUTED_VALUE"""),120.0)</f>
        <v>120</v>
      </c>
      <c r="H62" s="5">
        <f>IFERROR(__xludf.DUMMYFUNCTION("""COMPUTED_VALUE"""),4889.97)</f>
        <v>4889.97</v>
      </c>
      <c r="I62" s="5">
        <f>IFERROR(__xludf.DUMMYFUNCTION("""COMPUTED_VALUE"""),3379.27)</f>
        <v>3379.27</v>
      </c>
      <c r="J62" s="5">
        <f>IFERROR(__xludf.DUMMYFUNCTION("""COMPUTED_VALUE"""),5171.42)</f>
        <v>5171.42</v>
      </c>
      <c r="K62" s="5">
        <f>IFERROR(__xludf.DUMMYFUNCTION("""COMPUTED_VALUE"""),825.46)</f>
        <v>825.46</v>
      </c>
      <c r="L62" s="4">
        <f>IFERROR(__xludf.DUMMYFUNCTION("""COMPUTED_VALUE"""),20.0)</f>
        <v>20</v>
      </c>
      <c r="M62" s="4">
        <f>IFERROR(__xludf.DUMMYFUNCTION("""COMPUTED_VALUE"""),60.0)</f>
        <v>60</v>
      </c>
      <c r="N62" s="2" t="str">
        <f>IFERROR(__xludf.DUMMYFUNCTION("""COMPUTED_VALUE"""),"VERDADERO")</f>
        <v>VERDADERO</v>
      </c>
    </row>
    <row r="63">
      <c r="A63" s="2">
        <f>IFERROR(__xludf.DUMMYFUNCTION("""COMPUTED_VALUE"""),62.0)</f>
        <v>62</v>
      </c>
      <c r="B63" s="2" t="str">
        <f>IFERROR(__xludf.DUMMYFUNCTION("""COMPUTED_VALUE"""),"Dino Ellingham")</f>
        <v>Dino Ellingham</v>
      </c>
      <c r="C63" s="2" t="str">
        <f>IFERROR(__xludf.DUMMYFUNCTION("""COMPUTED_VALUE"""),"dellingham1p@plala.or.jp")</f>
        <v>dellingham1p@plala.or.jp</v>
      </c>
      <c r="D63" s="4">
        <f>IFERROR(__xludf.DUMMYFUNCTION("""COMPUTED_VALUE"""),127.0)</f>
        <v>127</v>
      </c>
      <c r="E63" s="4">
        <f>IFERROR(__xludf.DUMMYFUNCTION("""COMPUTED_VALUE"""),81.0)</f>
        <v>81</v>
      </c>
      <c r="F63" s="4">
        <f>IFERROR(__xludf.DUMMYFUNCTION("""COMPUTED_VALUE"""),2.0)</f>
        <v>2</v>
      </c>
      <c r="G63" s="4">
        <f>IFERROR(__xludf.DUMMYFUNCTION("""COMPUTED_VALUE"""),481.0)</f>
        <v>481</v>
      </c>
      <c r="H63" s="5">
        <f>IFERROR(__xludf.DUMMYFUNCTION("""COMPUTED_VALUE"""),233.76)</f>
        <v>233.76</v>
      </c>
      <c r="I63" s="5">
        <f>IFERROR(__xludf.DUMMYFUNCTION("""COMPUTED_VALUE"""),4955.6)</f>
        <v>4955.6</v>
      </c>
      <c r="J63" s="5">
        <f>IFERROR(__xludf.DUMMYFUNCTION("""COMPUTED_VALUE"""),4103.02)</f>
        <v>4103.02</v>
      </c>
      <c r="K63" s="5">
        <f>IFERROR(__xludf.DUMMYFUNCTION("""COMPUTED_VALUE"""),2703.43)</f>
        <v>2703.43</v>
      </c>
      <c r="L63" s="4">
        <f>IFERROR(__xludf.DUMMYFUNCTION("""COMPUTED_VALUE"""),6.0)</f>
        <v>6</v>
      </c>
      <c r="M63" s="4">
        <f>IFERROR(__xludf.DUMMYFUNCTION("""COMPUTED_VALUE"""),17.0)</f>
        <v>17</v>
      </c>
      <c r="N63" s="2" t="str">
        <f>IFERROR(__xludf.DUMMYFUNCTION("""COMPUTED_VALUE"""),"FALSO")</f>
        <v>FALSO</v>
      </c>
    </row>
    <row r="64">
      <c r="A64" s="2">
        <f>IFERROR(__xludf.DUMMYFUNCTION("""COMPUTED_VALUE"""),63.0)</f>
        <v>63</v>
      </c>
      <c r="B64" s="2" t="str">
        <f>IFERROR(__xludf.DUMMYFUNCTION("""COMPUTED_VALUE"""),"Fan Mearns")</f>
        <v>Fan Mearns</v>
      </c>
      <c r="C64" s="2" t="str">
        <f>IFERROR(__xludf.DUMMYFUNCTION("""COMPUTED_VALUE"""),"fmearns1q@census.gov")</f>
        <v>fmearns1q@census.gov</v>
      </c>
      <c r="D64" s="4">
        <f>IFERROR(__xludf.DUMMYFUNCTION("""COMPUTED_VALUE"""),49.0)</f>
        <v>49</v>
      </c>
      <c r="E64" s="4">
        <f>IFERROR(__xludf.DUMMYFUNCTION("""COMPUTED_VALUE"""),12.0)</f>
        <v>12</v>
      </c>
      <c r="F64" s="4">
        <f>IFERROR(__xludf.DUMMYFUNCTION("""COMPUTED_VALUE"""),6.0)</f>
        <v>6</v>
      </c>
      <c r="G64" s="4">
        <f>IFERROR(__xludf.DUMMYFUNCTION("""COMPUTED_VALUE"""),970.0)</f>
        <v>970</v>
      </c>
      <c r="H64" s="5">
        <f>IFERROR(__xludf.DUMMYFUNCTION("""COMPUTED_VALUE"""),5520.57)</f>
        <v>5520.57</v>
      </c>
      <c r="I64" s="5">
        <f>IFERROR(__xludf.DUMMYFUNCTION("""COMPUTED_VALUE"""),1637.34)</f>
        <v>1637.34</v>
      </c>
      <c r="J64" s="5">
        <f>IFERROR(__xludf.DUMMYFUNCTION("""COMPUTED_VALUE"""),6643.8)</f>
        <v>6643.8</v>
      </c>
      <c r="K64" s="5">
        <f>IFERROR(__xludf.DUMMYFUNCTION("""COMPUTED_VALUE"""),227.97)</f>
        <v>227.97</v>
      </c>
      <c r="L64" s="4">
        <f>IFERROR(__xludf.DUMMYFUNCTION("""COMPUTED_VALUE"""),20.0)</f>
        <v>20</v>
      </c>
      <c r="M64" s="4">
        <f>IFERROR(__xludf.DUMMYFUNCTION("""COMPUTED_VALUE"""),84.0)</f>
        <v>84</v>
      </c>
      <c r="N64" s="2" t="str">
        <f>IFERROR(__xludf.DUMMYFUNCTION("""COMPUTED_VALUE"""),"VERDADERO")</f>
        <v>VERDADERO</v>
      </c>
    </row>
    <row r="65">
      <c r="A65" s="2">
        <f>IFERROR(__xludf.DUMMYFUNCTION("""COMPUTED_VALUE"""),64.0)</f>
        <v>64</v>
      </c>
      <c r="B65" s="2" t="str">
        <f>IFERROR(__xludf.DUMMYFUNCTION("""COMPUTED_VALUE"""),"Margi Sidebotton")</f>
        <v>Margi Sidebotton</v>
      </c>
      <c r="C65" s="2" t="str">
        <f>IFERROR(__xludf.DUMMYFUNCTION("""COMPUTED_VALUE"""),"msidebotton1r@sciencedaily.com")</f>
        <v>msidebotton1r@sciencedaily.com</v>
      </c>
      <c r="D65" s="4">
        <f>IFERROR(__xludf.DUMMYFUNCTION("""COMPUTED_VALUE"""),5.0)</f>
        <v>5</v>
      </c>
      <c r="E65" s="4">
        <f>IFERROR(__xludf.DUMMYFUNCTION("""COMPUTED_VALUE"""),29.0)</f>
        <v>29</v>
      </c>
      <c r="F65" s="4">
        <f>IFERROR(__xludf.DUMMYFUNCTION("""COMPUTED_VALUE"""),11.0)</f>
        <v>11</v>
      </c>
      <c r="G65" s="4">
        <f>IFERROR(__xludf.DUMMYFUNCTION("""COMPUTED_VALUE"""),2.0)</f>
        <v>2</v>
      </c>
      <c r="H65" s="5">
        <f>IFERROR(__xludf.DUMMYFUNCTION("""COMPUTED_VALUE"""),1155.2)</f>
        <v>1155.2</v>
      </c>
      <c r="I65" s="5">
        <f>IFERROR(__xludf.DUMMYFUNCTION("""COMPUTED_VALUE"""),8749.5)</f>
        <v>8749.5</v>
      </c>
      <c r="J65" s="5">
        <f>IFERROR(__xludf.DUMMYFUNCTION("""COMPUTED_VALUE"""),6787.0)</f>
        <v>6787</v>
      </c>
      <c r="K65" s="5">
        <f>IFERROR(__xludf.DUMMYFUNCTION("""COMPUTED_VALUE"""),854.97)</f>
        <v>854.97</v>
      </c>
      <c r="L65" s="4">
        <f>IFERROR(__xludf.DUMMYFUNCTION("""COMPUTED_VALUE"""),20.0)</f>
        <v>20</v>
      </c>
      <c r="M65" s="4">
        <f>IFERROR(__xludf.DUMMYFUNCTION("""COMPUTED_VALUE"""),94.0)</f>
        <v>94</v>
      </c>
      <c r="N65" s="2" t="str">
        <f>IFERROR(__xludf.DUMMYFUNCTION("""COMPUTED_VALUE"""),"FALSO")</f>
        <v>FALSO</v>
      </c>
    </row>
    <row r="66">
      <c r="A66" s="2">
        <f>IFERROR(__xludf.DUMMYFUNCTION("""COMPUTED_VALUE"""),65.0)</f>
        <v>65</v>
      </c>
      <c r="B66" s="2" t="str">
        <f>IFERROR(__xludf.DUMMYFUNCTION("""COMPUTED_VALUE"""),"Jdavie Sabater")</f>
        <v>Jdavie Sabater</v>
      </c>
      <c r="C66" s="2" t="str">
        <f>IFERROR(__xludf.DUMMYFUNCTION("""COMPUTED_VALUE"""),"jsabater1s@blinklist.com")</f>
        <v>jsabater1s@blinklist.com</v>
      </c>
      <c r="D66" s="4">
        <f>IFERROR(__xludf.DUMMYFUNCTION("""COMPUTED_VALUE"""),65.0)</f>
        <v>65</v>
      </c>
      <c r="E66" s="4">
        <f>IFERROR(__xludf.DUMMYFUNCTION("""COMPUTED_VALUE"""),20.0)</f>
        <v>20</v>
      </c>
      <c r="F66" s="4">
        <f>IFERROR(__xludf.DUMMYFUNCTION("""COMPUTED_VALUE"""),8.0)</f>
        <v>8</v>
      </c>
      <c r="G66" s="4">
        <f>IFERROR(__xludf.DUMMYFUNCTION("""COMPUTED_VALUE"""),670.0)</f>
        <v>670</v>
      </c>
      <c r="H66" s="5">
        <f>IFERROR(__xludf.DUMMYFUNCTION("""COMPUTED_VALUE"""),7220.3)</f>
        <v>7220.3</v>
      </c>
      <c r="I66" s="5">
        <f>IFERROR(__xludf.DUMMYFUNCTION("""COMPUTED_VALUE"""),8954.66)</f>
        <v>8954.66</v>
      </c>
      <c r="J66" s="5">
        <f>IFERROR(__xludf.DUMMYFUNCTION("""COMPUTED_VALUE"""),3566.6)</f>
        <v>3566.6</v>
      </c>
      <c r="K66" s="5">
        <f>IFERROR(__xludf.DUMMYFUNCTION("""COMPUTED_VALUE"""),516.56)</f>
        <v>516.56</v>
      </c>
      <c r="L66" s="4">
        <f>IFERROR(__xludf.DUMMYFUNCTION("""COMPUTED_VALUE"""),7.0)</f>
        <v>7</v>
      </c>
      <c r="M66" s="4">
        <f>IFERROR(__xludf.DUMMYFUNCTION("""COMPUTED_VALUE"""),22.0)</f>
        <v>22</v>
      </c>
      <c r="N66" s="2" t="str">
        <f>IFERROR(__xludf.DUMMYFUNCTION("""COMPUTED_VALUE"""),"VERDADERO")</f>
        <v>VERDADERO</v>
      </c>
    </row>
    <row r="67">
      <c r="A67" s="2">
        <f>IFERROR(__xludf.DUMMYFUNCTION("""COMPUTED_VALUE"""),66.0)</f>
        <v>66</v>
      </c>
      <c r="B67" s="2" t="str">
        <f>IFERROR(__xludf.DUMMYFUNCTION("""COMPUTED_VALUE"""),"Karlik Chislett")</f>
        <v>Karlik Chislett</v>
      </c>
      <c r="C67" s="2" t="str">
        <f>IFERROR(__xludf.DUMMYFUNCTION("""COMPUTED_VALUE"""),"kchislett1t@economist.com")</f>
        <v>kchislett1t@economist.com</v>
      </c>
      <c r="D67" s="4">
        <f>IFERROR(__xludf.DUMMYFUNCTION("""COMPUTED_VALUE"""),49.0)</f>
        <v>49</v>
      </c>
      <c r="E67" s="4">
        <f>IFERROR(__xludf.DUMMYFUNCTION("""COMPUTED_VALUE"""),29.0)</f>
        <v>29</v>
      </c>
      <c r="F67" s="4">
        <f>IFERROR(__xludf.DUMMYFUNCTION("""COMPUTED_VALUE"""),11.0)</f>
        <v>11</v>
      </c>
      <c r="G67" s="4">
        <f>IFERROR(__xludf.DUMMYFUNCTION("""COMPUTED_VALUE"""),427.0)</f>
        <v>427</v>
      </c>
      <c r="H67" s="5">
        <f>IFERROR(__xludf.DUMMYFUNCTION("""COMPUTED_VALUE"""),7227.37)</f>
        <v>7227.37</v>
      </c>
      <c r="I67" s="5">
        <f>IFERROR(__xludf.DUMMYFUNCTION("""COMPUTED_VALUE"""),7942.74)</f>
        <v>7942.74</v>
      </c>
      <c r="J67" s="5">
        <f>IFERROR(__xludf.DUMMYFUNCTION("""COMPUTED_VALUE"""),8350.02)</f>
        <v>8350.02</v>
      </c>
      <c r="K67" s="5">
        <f>IFERROR(__xludf.DUMMYFUNCTION("""COMPUTED_VALUE"""),437.47)</f>
        <v>437.47</v>
      </c>
      <c r="L67" s="4">
        <f>IFERROR(__xludf.DUMMYFUNCTION("""COMPUTED_VALUE"""),17.0)</f>
        <v>17</v>
      </c>
      <c r="M67" s="4">
        <f>IFERROR(__xludf.DUMMYFUNCTION("""COMPUTED_VALUE"""),43.0)</f>
        <v>43</v>
      </c>
      <c r="N67" s="2" t="str">
        <f>IFERROR(__xludf.DUMMYFUNCTION("""COMPUTED_VALUE"""),"FALSO")</f>
        <v>FALSO</v>
      </c>
    </row>
    <row r="68">
      <c r="A68" s="2">
        <f>IFERROR(__xludf.DUMMYFUNCTION("""COMPUTED_VALUE"""),67.0)</f>
        <v>67</v>
      </c>
      <c r="B68" s="2" t="str">
        <f>IFERROR(__xludf.DUMMYFUNCTION("""COMPUTED_VALUE"""),"Kali Wrathmell")</f>
        <v>Kali Wrathmell</v>
      </c>
      <c r="C68" s="2" t="str">
        <f>IFERROR(__xludf.DUMMYFUNCTION("""COMPUTED_VALUE"""),"kwrathmell1u@ucoz.ru")</f>
        <v>kwrathmell1u@ucoz.ru</v>
      </c>
      <c r="D68" s="4">
        <f>IFERROR(__xludf.DUMMYFUNCTION("""COMPUTED_VALUE"""),107.0)</f>
        <v>107</v>
      </c>
      <c r="E68" s="4">
        <f>IFERROR(__xludf.DUMMYFUNCTION("""COMPUTED_VALUE"""),81.0)</f>
        <v>81</v>
      </c>
      <c r="F68" s="4">
        <f>IFERROR(__xludf.DUMMYFUNCTION("""COMPUTED_VALUE"""),2.0)</f>
        <v>2</v>
      </c>
      <c r="G68" s="4">
        <f>IFERROR(__xludf.DUMMYFUNCTION("""COMPUTED_VALUE"""),1150.0)</f>
        <v>1150</v>
      </c>
      <c r="H68" s="5">
        <f>IFERROR(__xludf.DUMMYFUNCTION("""COMPUTED_VALUE"""),7119.32)</f>
        <v>7119.32</v>
      </c>
      <c r="I68" s="5">
        <f>IFERROR(__xludf.DUMMYFUNCTION("""COMPUTED_VALUE"""),692.51)</f>
        <v>692.51</v>
      </c>
      <c r="J68" s="5">
        <f>IFERROR(__xludf.DUMMYFUNCTION("""COMPUTED_VALUE"""),1038.02)</f>
        <v>1038.02</v>
      </c>
      <c r="K68" s="5">
        <f>IFERROR(__xludf.DUMMYFUNCTION("""COMPUTED_VALUE"""),6889.75)</f>
        <v>6889.75</v>
      </c>
      <c r="L68" s="4">
        <f>IFERROR(__xludf.DUMMYFUNCTION("""COMPUTED_VALUE"""),18.0)</f>
        <v>18</v>
      </c>
      <c r="M68" s="4">
        <f>IFERROR(__xludf.DUMMYFUNCTION("""COMPUTED_VALUE"""),6.0)</f>
        <v>6</v>
      </c>
      <c r="N68" s="2" t="str">
        <f>IFERROR(__xludf.DUMMYFUNCTION("""COMPUTED_VALUE"""),"VERDADERO")</f>
        <v>VERDADERO</v>
      </c>
    </row>
    <row r="69">
      <c r="A69" s="2">
        <f>IFERROR(__xludf.DUMMYFUNCTION("""COMPUTED_VALUE"""),68.0)</f>
        <v>68</v>
      </c>
      <c r="B69" s="2" t="str">
        <f>IFERROR(__xludf.DUMMYFUNCTION("""COMPUTED_VALUE"""),"Ardella Battams")</f>
        <v>Ardella Battams</v>
      </c>
      <c r="C69" s="2" t="str">
        <f>IFERROR(__xludf.DUMMYFUNCTION("""COMPUTED_VALUE"""),"abattams1v@nhs.uk")</f>
        <v>abattams1v@nhs.uk</v>
      </c>
      <c r="D69" s="4">
        <f>IFERROR(__xludf.DUMMYFUNCTION("""COMPUTED_VALUE"""),98.0)</f>
        <v>98</v>
      </c>
      <c r="E69" s="4">
        <f>IFERROR(__xludf.DUMMYFUNCTION("""COMPUTED_VALUE"""),21.0)</f>
        <v>21</v>
      </c>
      <c r="F69" s="4">
        <f>IFERROR(__xludf.DUMMYFUNCTION("""COMPUTED_VALUE"""),4.0)</f>
        <v>4</v>
      </c>
      <c r="G69" s="4">
        <f>IFERROR(__xludf.DUMMYFUNCTION("""COMPUTED_VALUE"""),676.0)</f>
        <v>676</v>
      </c>
      <c r="H69" s="5">
        <f>IFERROR(__xludf.DUMMYFUNCTION("""COMPUTED_VALUE"""),2140.08)</f>
        <v>2140.08</v>
      </c>
      <c r="I69" s="5">
        <f>IFERROR(__xludf.DUMMYFUNCTION("""COMPUTED_VALUE"""),6761.81)</f>
        <v>6761.81</v>
      </c>
      <c r="J69" s="5">
        <f>IFERROR(__xludf.DUMMYFUNCTION("""COMPUTED_VALUE"""),529.17)</f>
        <v>529.17</v>
      </c>
      <c r="K69" s="5">
        <f>IFERROR(__xludf.DUMMYFUNCTION("""COMPUTED_VALUE"""),3321.79)</f>
        <v>3321.79</v>
      </c>
      <c r="L69" s="4">
        <f>IFERROR(__xludf.DUMMYFUNCTION("""COMPUTED_VALUE"""),9.0)</f>
        <v>9</v>
      </c>
      <c r="M69" s="4">
        <f>IFERROR(__xludf.DUMMYFUNCTION("""COMPUTED_VALUE"""),21.0)</f>
        <v>21</v>
      </c>
      <c r="N69" s="2" t="str">
        <f>IFERROR(__xludf.DUMMYFUNCTION("""COMPUTED_VALUE"""),"FALSO")</f>
        <v>FALSO</v>
      </c>
    </row>
    <row r="70">
      <c r="A70" s="2">
        <f>IFERROR(__xludf.DUMMYFUNCTION("""COMPUTED_VALUE"""),69.0)</f>
        <v>69</v>
      </c>
      <c r="B70" s="2" t="str">
        <f>IFERROR(__xludf.DUMMYFUNCTION("""COMPUTED_VALUE"""),"Taylor Padula")</f>
        <v>Taylor Padula</v>
      </c>
      <c r="C70" s="2" t="str">
        <f>IFERROR(__xludf.DUMMYFUNCTION("""COMPUTED_VALUE"""),"tpadula1w@naver.com")</f>
        <v>tpadula1w@naver.com</v>
      </c>
      <c r="D70" s="4">
        <f>IFERROR(__xludf.DUMMYFUNCTION("""COMPUTED_VALUE"""),139.0)</f>
        <v>139</v>
      </c>
      <c r="E70" s="4">
        <f>IFERROR(__xludf.DUMMYFUNCTION("""COMPUTED_VALUE"""),81.0)</f>
        <v>81</v>
      </c>
      <c r="F70" s="4">
        <f>IFERROR(__xludf.DUMMYFUNCTION("""COMPUTED_VALUE"""),2.0)</f>
        <v>2</v>
      </c>
      <c r="G70" s="4">
        <f>IFERROR(__xludf.DUMMYFUNCTION("""COMPUTED_VALUE"""),1516.0)</f>
        <v>1516</v>
      </c>
      <c r="H70" s="5">
        <f>IFERROR(__xludf.DUMMYFUNCTION("""COMPUTED_VALUE"""),1338.3)</f>
        <v>1338.3</v>
      </c>
      <c r="I70" s="5">
        <f>IFERROR(__xludf.DUMMYFUNCTION("""COMPUTED_VALUE"""),9960.27)</f>
        <v>9960.27</v>
      </c>
      <c r="J70" s="5">
        <f>IFERROR(__xludf.DUMMYFUNCTION("""COMPUTED_VALUE"""),60.71)</f>
        <v>60.71</v>
      </c>
      <c r="K70" s="5">
        <f>IFERROR(__xludf.DUMMYFUNCTION("""COMPUTED_VALUE"""),1234.08)</f>
        <v>1234.08</v>
      </c>
      <c r="L70" s="4">
        <f>IFERROR(__xludf.DUMMYFUNCTION("""COMPUTED_VALUE"""),1.0)</f>
        <v>1</v>
      </c>
      <c r="M70" s="4">
        <f>IFERROR(__xludf.DUMMYFUNCTION("""COMPUTED_VALUE"""),30.0)</f>
        <v>30</v>
      </c>
      <c r="N70" s="2" t="str">
        <f>IFERROR(__xludf.DUMMYFUNCTION("""COMPUTED_VALUE"""),"FALSO")</f>
        <v>FALSO</v>
      </c>
    </row>
    <row r="71">
      <c r="A71" s="2">
        <f>IFERROR(__xludf.DUMMYFUNCTION("""COMPUTED_VALUE"""),70.0)</f>
        <v>70</v>
      </c>
      <c r="B71" s="2" t="str">
        <f>IFERROR(__xludf.DUMMYFUNCTION("""COMPUTED_VALUE"""),"Monroe Sapsed")</f>
        <v>Monroe Sapsed</v>
      </c>
      <c r="C71" s="2" t="str">
        <f>IFERROR(__xludf.DUMMYFUNCTION("""COMPUTED_VALUE"""),"msapsed1x@sphinn.com")</f>
        <v>msapsed1x@sphinn.com</v>
      </c>
      <c r="D71" s="4">
        <f>IFERROR(__xludf.DUMMYFUNCTION("""COMPUTED_VALUE"""),121.0)</f>
        <v>121</v>
      </c>
      <c r="E71" s="4">
        <f>IFERROR(__xludf.DUMMYFUNCTION("""COMPUTED_VALUE"""),112.0)</f>
        <v>112</v>
      </c>
      <c r="F71" s="4">
        <f>IFERROR(__xludf.DUMMYFUNCTION("""COMPUTED_VALUE"""),11.0)</f>
        <v>11</v>
      </c>
      <c r="G71" s="4">
        <f>IFERROR(__xludf.DUMMYFUNCTION("""COMPUTED_VALUE"""),26.0)</f>
        <v>26</v>
      </c>
      <c r="H71" s="5">
        <f>IFERROR(__xludf.DUMMYFUNCTION("""COMPUTED_VALUE"""),9583.24)</f>
        <v>9583.24</v>
      </c>
      <c r="I71" s="5">
        <f>IFERROR(__xludf.DUMMYFUNCTION("""COMPUTED_VALUE"""),2523.86)</f>
        <v>2523.86</v>
      </c>
      <c r="J71" s="5">
        <f>IFERROR(__xludf.DUMMYFUNCTION("""COMPUTED_VALUE"""),9813.53)</f>
        <v>9813.53</v>
      </c>
      <c r="K71" s="5">
        <f>IFERROR(__xludf.DUMMYFUNCTION("""COMPUTED_VALUE"""),72.18)</f>
        <v>72.18</v>
      </c>
      <c r="L71" s="4">
        <f>IFERROR(__xludf.DUMMYFUNCTION("""COMPUTED_VALUE"""),15.0)</f>
        <v>15</v>
      </c>
      <c r="M71" s="4">
        <f>IFERROR(__xludf.DUMMYFUNCTION("""COMPUTED_VALUE"""),39.0)</f>
        <v>39</v>
      </c>
      <c r="N71" s="2" t="str">
        <f>IFERROR(__xludf.DUMMYFUNCTION("""COMPUTED_VALUE"""),"VERDADERO")</f>
        <v>VERDADERO</v>
      </c>
    </row>
    <row r="72">
      <c r="A72" s="2">
        <f>IFERROR(__xludf.DUMMYFUNCTION("""COMPUTED_VALUE"""),71.0)</f>
        <v>71</v>
      </c>
      <c r="B72" s="2" t="str">
        <f>IFERROR(__xludf.DUMMYFUNCTION("""COMPUTED_VALUE"""),"Terrance Jachimczak")</f>
        <v>Terrance Jachimczak</v>
      </c>
      <c r="C72" s="2" t="str">
        <f>IFERROR(__xludf.DUMMYFUNCTION("""COMPUTED_VALUE"""),"tjachimczak1y@mapquest.com")</f>
        <v>tjachimczak1y@mapquest.com</v>
      </c>
      <c r="D72" s="4">
        <f>IFERROR(__xludf.DUMMYFUNCTION("""COMPUTED_VALUE"""),54.0)</f>
        <v>54</v>
      </c>
      <c r="E72" s="4">
        <f>IFERROR(__xludf.DUMMYFUNCTION("""COMPUTED_VALUE"""),12.0)</f>
        <v>12</v>
      </c>
      <c r="F72" s="4">
        <f>IFERROR(__xludf.DUMMYFUNCTION("""COMPUTED_VALUE"""),6.0)</f>
        <v>6</v>
      </c>
      <c r="G72" s="4">
        <f>IFERROR(__xludf.DUMMYFUNCTION("""COMPUTED_VALUE"""),1128.0)</f>
        <v>1128</v>
      </c>
      <c r="H72" s="5">
        <f>IFERROR(__xludf.DUMMYFUNCTION("""COMPUTED_VALUE"""),3336.05)</f>
        <v>3336.05</v>
      </c>
      <c r="I72" s="5">
        <f>IFERROR(__xludf.DUMMYFUNCTION("""COMPUTED_VALUE"""),4338.02)</f>
        <v>4338.02</v>
      </c>
      <c r="J72" s="5">
        <f>IFERROR(__xludf.DUMMYFUNCTION("""COMPUTED_VALUE"""),8546.92)</f>
        <v>8546.92</v>
      </c>
      <c r="K72" s="5">
        <f>IFERROR(__xludf.DUMMYFUNCTION("""COMPUTED_VALUE"""),1866.32)</f>
        <v>1866.32</v>
      </c>
      <c r="L72" s="4">
        <f>IFERROR(__xludf.DUMMYFUNCTION("""COMPUTED_VALUE"""),8.0)</f>
        <v>8</v>
      </c>
      <c r="M72" s="4">
        <f>IFERROR(__xludf.DUMMYFUNCTION("""COMPUTED_VALUE"""),60.0)</f>
        <v>60</v>
      </c>
      <c r="N72" s="2" t="str">
        <f>IFERROR(__xludf.DUMMYFUNCTION("""COMPUTED_VALUE"""),"VERDADERO")</f>
        <v>VERDADERO</v>
      </c>
    </row>
    <row r="73">
      <c r="A73" s="2">
        <f>IFERROR(__xludf.DUMMYFUNCTION("""COMPUTED_VALUE"""),72.0)</f>
        <v>72</v>
      </c>
      <c r="B73" s="2" t="str">
        <f>IFERROR(__xludf.DUMMYFUNCTION("""COMPUTED_VALUE"""),"Hadrian Connew")</f>
        <v>Hadrian Connew</v>
      </c>
      <c r="C73" s="2" t="str">
        <f>IFERROR(__xludf.DUMMYFUNCTION("""COMPUTED_VALUE"""),"hconnew1z@microsoft.com")</f>
        <v>hconnew1z@microsoft.com</v>
      </c>
      <c r="D73" s="4">
        <f>IFERROR(__xludf.DUMMYFUNCTION("""COMPUTED_VALUE"""),29.0)</f>
        <v>29</v>
      </c>
      <c r="E73" s="4">
        <f>IFERROR(__xludf.DUMMYFUNCTION("""COMPUTED_VALUE"""),64.0)</f>
        <v>64</v>
      </c>
      <c r="F73" s="4">
        <f>IFERROR(__xludf.DUMMYFUNCTION("""COMPUTED_VALUE"""),4.0)</f>
        <v>4</v>
      </c>
      <c r="G73" s="4">
        <f>IFERROR(__xludf.DUMMYFUNCTION("""COMPUTED_VALUE"""),986.0)</f>
        <v>986</v>
      </c>
      <c r="H73" s="5">
        <f>IFERROR(__xludf.DUMMYFUNCTION("""COMPUTED_VALUE"""),7279.13)</f>
        <v>7279.13</v>
      </c>
      <c r="I73" s="5">
        <f>IFERROR(__xludf.DUMMYFUNCTION("""COMPUTED_VALUE"""),81.75)</f>
        <v>81.75</v>
      </c>
      <c r="J73" s="5">
        <f>IFERROR(__xludf.DUMMYFUNCTION("""COMPUTED_VALUE"""),1673.26)</f>
        <v>1673.26</v>
      </c>
      <c r="K73" s="5">
        <f>IFERROR(__xludf.DUMMYFUNCTION("""COMPUTED_VALUE"""),8647.89)</f>
        <v>8647.89</v>
      </c>
      <c r="L73" s="4">
        <f>IFERROR(__xludf.DUMMYFUNCTION("""COMPUTED_VALUE"""),5.0)</f>
        <v>5</v>
      </c>
      <c r="M73" s="4">
        <f>IFERROR(__xludf.DUMMYFUNCTION("""COMPUTED_VALUE"""),94.0)</f>
        <v>94</v>
      </c>
      <c r="N73" s="2" t="str">
        <f>IFERROR(__xludf.DUMMYFUNCTION("""COMPUTED_VALUE"""),"FALSO")</f>
        <v>FALSO</v>
      </c>
    </row>
    <row r="74">
      <c r="A74" s="2">
        <f>IFERROR(__xludf.DUMMYFUNCTION("""COMPUTED_VALUE"""),73.0)</f>
        <v>73</v>
      </c>
      <c r="B74" s="2" t="str">
        <f>IFERROR(__xludf.DUMMYFUNCTION("""COMPUTED_VALUE"""),"Moore Bedbury")</f>
        <v>Moore Bedbury</v>
      </c>
      <c r="C74" s="2" t="str">
        <f>IFERROR(__xludf.DUMMYFUNCTION("""COMPUTED_VALUE"""),"mbedbury20@tinyurl.com")</f>
        <v>mbedbury20@tinyurl.com</v>
      </c>
      <c r="D74" s="4">
        <f>IFERROR(__xludf.DUMMYFUNCTION("""COMPUTED_VALUE"""),30.0)</f>
        <v>30</v>
      </c>
      <c r="E74" s="4">
        <f>IFERROR(__xludf.DUMMYFUNCTION("""COMPUTED_VALUE"""),81.0)</f>
        <v>81</v>
      </c>
      <c r="F74" s="4">
        <f>IFERROR(__xludf.DUMMYFUNCTION("""COMPUTED_VALUE"""),2.0)</f>
        <v>2</v>
      </c>
      <c r="G74" s="4">
        <f>IFERROR(__xludf.DUMMYFUNCTION("""COMPUTED_VALUE"""),1556.0)</f>
        <v>1556</v>
      </c>
      <c r="H74" s="5">
        <f>IFERROR(__xludf.DUMMYFUNCTION("""COMPUTED_VALUE"""),7263.39)</f>
        <v>7263.39</v>
      </c>
      <c r="I74" s="5">
        <f>IFERROR(__xludf.DUMMYFUNCTION("""COMPUTED_VALUE"""),4562.04)</f>
        <v>4562.04</v>
      </c>
      <c r="J74" s="5">
        <f>IFERROR(__xludf.DUMMYFUNCTION("""COMPUTED_VALUE"""),5262.62)</f>
        <v>5262.62</v>
      </c>
      <c r="K74" s="5">
        <f>IFERROR(__xludf.DUMMYFUNCTION("""COMPUTED_VALUE"""),312.74)</f>
        <v>312.74</v>
      </c>
      <c r="L74" s="4">
        <f>IFERROR(__xludf.DUMMYFUNCTION("""COMPUTED_VALUE"""),9.0)</f>
        <v>9</v>
      </c>
      <c r="M74" s="4">
        <f>IFERROR(__xludf.DUMMYFUNCTION("""COMPUTED_VALUE"""),13.0)</f>
        <v>13</v>
      </c>
      <c r="N74" s="2" t="str">
        <f>IFERROR(__xludf.DUMMYFUNCTION("""COMPUTED_VALUE"""),"VERDADERO")</f>
        <v>VERDADERO</v>
      </c>
    </row>
    <row r="75">
      <c r="A75" s="2">
        <f>IFERROR(__xludf.DUMMYFUNCTION("""COMPUTED_VALUE"""),74.0)</f>
        <v>74</v>
      </c>
      <c r="B75" s="2" t="str">
        <f>IFERROR(__xludf.DUMMYFUNCTION("""COMPUTED_VALUE"""),"Aindrea Claasen")</f>
        <v>Aindrea Claasen</v>
      </c>
      <c r="C75" s="2" t="str">
        <f>IFERROR(__xludf.DUMMYFUNCTION("""COMPUTED_VALUE"""),"aclaasen21@newsvine.com")</f>
        <v>aclaasen21@newsvine.com</v>
      </c>
      <c r="D75" s="4">
        <f>IFERROR(__xludf.DUMMYFUNCTION("""COMPUTED_VALUE"""),65.0)</f>
        <v>65</v>
      </c>
      <c r="E75" s="4">
        <f>IFERROR(__xludf.DUMMYFUNCTION("""COMPUTED_VALUE"""),79.0)</f>
        <v>79</v>
      </c>
      <c r="F75" s="4">
        <f>IFERROR(__xludf.DUMMYFUNCTION("""COMPUTED_VALUE"""),5.0)</f>
        <v>5</v>
      </c>
      <c r="G75" s="4">
        <f>IFERROR(__xludf.DUMMYFUNCTION("""COMPUTED_VALUE"""),330.0)</f>
        <v>330</v>
      </c>
      <c r="H75" s="5">
        <f>IFERROR(__xludf.DUMMYFUNCTION("""COMPUTED_VALUE"""),9604.98)</f>
        <v>9604.98</v>
      </c>
      <c r="I75" s="5">
        <f>IFERROR(__xludf.DUMMYFUNCTION("""COMPUTED_VALUE"""),598.48)</f>
        <v>598.48</v>
      </c>
      <c r="J75" s="5">
        <f>IFERROR(__xludf.DUMMYFUNCTION("""COMPUTED_VALUE"""),992.87)</f>
        <v>992.87</v>
      </c>
      <c r="K75" s="5">
        <f>IFERROR(__xludf.DUMMYFUNCTION("""COMPUTED_VALUE"""),952.2)</f>
        <v>952.2</v>
      </c>
      <c r="L75" s="4">
        <f>IFERROR(__xludf.DUMMYFUNCTION("""COMPUTED_VALUE"""),17.0)</f>
        <v>17</v>
      </c>
      <c r="M75" s="4">
        <f>IFERROR(__xludf.DUMMYFUNCTION("""COMPUTED_VALUE"""),51.0)</f>
        <v>51</v>
      </c>
      <c r="N75" s="2" t="str">
        <f>IFERROR(__xludf.DUMMYFUNCTION("""COMPUTED_VALUE"""),"VERDADERO")</f>
        <v>VERDADERO</v>
      </c>
    </row>
    <row r="76">
      <c r="A76" s="2">
        <f>IFERROR(__xludf.DUMMYFUNCTION("""COMPUTED_VALUE"""),75.0)</f>
        <v>75</v>
      </c>
      <c r="B76" s="2" t="str">
        <f>IFERROR(__xludf.DUMMYFUNCTION("""COMPUTED_VALUE"""),"Marne Aitchison")</f>
        <v>Marne Aitchison</v>
      </c>
      <c r="C76" s="2" t="str">
        <f>IFERROR(__xludf.DUMMYFUNCTION("""COMPUTED_VALUE"""),"maitchison22@engadget.com")</f>
        <v>maitchison22@engadget.com</v>
      </c>
      <c r="D76" s="4">
        <f>IFERROR(__xludf.DUMMYFUNCTION("""COMPUTED_VALUE"""),68.0)</f>
        <v>68</v>
      </c>
      <c r="E76" s="4">
        <f>IFERROR(__xludf.DUMMYFUNCTION("""COMPUTED_VALUE"""),81.0)</f>
        <v>81</v>
      </c>
      <c r="F76" s="4">
        <f>IFERROR(__xludf.DUMMYFUNCTION("""COMPUTED_VALUE"""),2.0)</f>
        <v>2</v>
      </c>
      <c r="G76" s="4">
        <f>IFERROR(__xludf.DUMMYFUNCTION("""COMPUTED_VALUE"""),925.0)</f>
        <v>925</v>
      </c>
      <c r="H76" s="5">
        <f>IFERROR(__xludf.DUMMYFUNCTION("""COMPUTED_VALUE"""),2071.57)</f>
        <v>2071.57</v>
      </c>
      <c r="I76" s="5">
        <f>IFERROR(__xludf.DUMMYFUNCTION("""COMPUTED_VALUE"""),2626.86)</f>
        <v>2626.86</v>
      </c>
      <c r="J76" s="5">
        <f>IFERROR(__xludf.DUMMYFUNCTION("""COMPUTED_VALUE"""),2535.86)</f>
        <v>2535.86</v>
      </c>
      <c r="K76" s="5">
        <f>IFERROR(__xludf.DUMMYFUNCTION("""COMPUTED_VALUE"""),8553.03)</f>
        <v>8553.03</v>
      </c>
      <c r="L76" s="4">
        <f>IFERROR(__xludf.DUMMYFUNCTION("""COMPUTED_VALUE"""),18.0)</f>
        <v>18</v>
      </c>
      <c r="M76" s="4">
        <f>IFERROR(__xludf.DUMMYFUNCTION("""COMPUTED_VALUE"""),42.0)</f>
        <v>42</v>
      </c>
      <c r="N76" s="2" t="str">
        <f>IFERROR(__xludf.DUMMYFUNCTION("""COMPUTED_VALUE"""),"VERDADERO")</f>
        <v>VERDADERO</v>
      </c>
    </row>
    <row r="77">
      <c r="A77" s="2">
        <f>IFERROR(__xludf.DUMMYFUNCTION("""COMPUTED_VALUE"""),76.0)</f>
        <v>76</v>
      </c>
      <c r="B77" s="2" t="str">
        <f>IFERROR(__xludf.DUMMYFUNCTION("""COMPUTED_VALUE"""),"Alphonse Twelves")</f>
        <v>Alphonse Twelves</v>
      </c>
      <c r="C77" s="2" t="str">
        <f>IFERROR(__xludf.DUMMYFUNCTION("""COMPUTED_VALUE"""),"atwelves23@google.com.br")</f>
        <v>atwelves23@google.com.br</v>
      </c>
      <c r="D77" s="4">
        <f>IFERROR(__xludf.DUMMYFUNCTION("""COMPUTED_VALUE"""),122.0)</f>
        <v>122</v>
      </c>
      <c r="E77" s="4">
        <f>IFERROR(__xludf.DUMMYFUNCTION("""COMPUTED_VALUE"""),64.0)</f>
        <v>64</v>
      </c>
      <c r="F77" s="4">
        <f>IFERROR(__xludf.DUMMYFUNCTION("""COMPUTED_VALUE"""),4.0)</f>
        <v>4</v>
      </c>
      <c r="G77" s="4">
        <f>IFERROR(__xludf.DUMMYFUNCTION("""COMPUTED_VALUE"""),1316.0)</f>
        <v>1316</v>
      </c>
      <c r="H77" s="5">
        <f>IFERROR(__xludf.DUMMYFUNCTION("""COMPUTED_VALUE"""),7110.42)</f>
        <v>7110.42</v>
      </c>
      <c r="I77" s="5">
        <f>IFERROR(__xludf.DUMMYFUNCTION("""COMPUTED_VALUE"""),8043.77)</f>
        <v>8043.77</v>
      </c>
      <c r="J77" s="5">
        <f>IFERROR(__xludf.DUMMYFUNCTION("""COMPUTED_VALUE"""),8007.15)</f>
        <v>8007.15</v>
      </c>
      <c r="K77" s="5">
        <f>IFERROR(__xludf.DUMMYFUNCTION("""COMPUTED_VALUE"""),2787.32)</f>
        <v>2787.32</v>
      </c>
      <c r="L77" s="4">
        <f>IFERROR(__xludf.DUMMYFUNCTION("""COMPUTED_VALUE"""),12.0)</f>
        <v>12</v>
      </c>
      <c r="M77" s="4">
        <f>IFERROR(__xludf.DUMMYFUNCTION("""COMPUTED_VALUE"""),45.0)</f>
        <v>45</v>
      </c>
      <c r="N77" s="2" t="str">
        <f>IFERROR(__xludf.DUMMYFUNCTION("""COMPUTED_VALUE"""),"FALSO")</f>
        <v>FALSO</v>
      </c>
    </row>
    <row r="78">
      <c r="A78" s="2">
        <f>IFERROR(__xludf.DUMMYFUNCTION("""COMPUTED_VALUE"""),77.0)</f>
        <v>77</v>
      </c>
      <c r="B78" s="2" t="str">
        <f>IFERROR(__xludf.DUMMYFUNCTION("""COMPUTED_VALUE"""),"Ulrica Ferrettini")</f>
        <v>Ulrica Ferrettini</v>
      </c>
      <c r="C78" s="2" t="str">
        <f>IFERROR(__xludf.DUMMYFUNCTION("""COMPUTED_VALUE"""),"uferrettini24@whitehouse.gov")</f>
        <v>uferrettini24@whitehouse.gov</v>
      </c>
      <c r="D78" s="4">
        <f>IFERROR(__xludf.DUMMYFUNCTION("""COMPUTED_VALUE"""),24.0)</f>
        <v>24</v>
      </c>
      <c r="E78" s="4">
        <f>IFERROR(__xludf.DUMMYFUNCTION("""COMPUTED_VALUE"""),85.0)</f>
        <v>85</v>
      </c>
      <c r="F78" s="4">
        <f>IFERROR(__xludf.DUMMYFUNCTION("""COMPUTED_VALUE"""),3.0)</f>
        <v>3</v>
      </c>
      <c r="G78" s="4">
        <f>IFERROR(__xludf.DUMMYFUNCTION("""COMPUTED_VALUE"""),877.0)</f>
        <v>877</v>
      </c>
      <c r="H78" s="5">
        <f>IFERROR(__xludf.DUMMYFUNCTION("""COMPUTED_VALUE"""),8982.61)</f>
        <v>8982.61</v>
      </c>
      <c r="I78" s="5">
        <f>IFERROR(__xludf.DUMMYFUNCTION("""COMPUTED_VALUE"""),9228.84)</f>
        <v>9228.84</v>
      </c>
      <c r="J78" s="5">
        <f>IFERROR(__xludf.DUMMYFUNCTION("""COMPUTED_VALUE"""),5339.71)</f>
        <v>5339.71</v>
      </c>
      <c r="K78" s="5">
        <f>IFERROR(__xludf.DUMMYFUNCTION("""COMPUTED_VALUE"""),7407.19)</f>
        <v>7407.19</v>
      </c>
      <c r="L78" s="4">
        <f>IFERROR(__xludf.DUMMYFUNCTION("""COMPUTED_VALUE"""),15.0)</f>
        <v>15</v>
      </c>
      <c r="M78" s="4">
        <f>IFERROR(__xludf.DUMMYFUNCTION("""COMPUTED_VALUE"""),31.0)</f>
        <v>31</v>
      </c>
      <c r="N78" s="2" t="str">
        <f>IFERROR(__xludf.DUMMYFUNCTION("""COMPUTED_VALUE"""),"VERDADERO")</f>
        <v>VERDADERO</v>
      </c>
    </row>
    <row r="79">
      <c r="A79" s="2">
        <f>IFERROR(__xludf.DUMMYFUNCTION("""COMPUTED_VALUE"""),78.0)</f>
        <v>78</v>
      </c>
      <c r="B79" s="2" t="str">
        <f>IFERROR(__xludf.DUMMYFUNCTION("""COMPUTED_VALUE"""),"Ilyssa Fewkes")</f>
        <v>Ilyssa Fewkes</v>
      </c>
      <c r="C79" s="2" t="str">
        <f>IFERROR(__xludf.DUMMYFUNCTION("""COMPUTED_VALUE"""),"ifewkes25@com.com")</f>
        <v>ifewkes25@com.com</v>
      </c>
      <c r="D79" s="4">
        <f>IFERROR(__xludf.DUMMYFUNCTION("""COMPUTED_VALUE"""),122.0)</f>
        <v>122</v>
      </c>
      <c r="E79" s="4">
        <f>IFERROR(__xludf.DUMMYFUNCTION("""COMPUTED_VALUE"""),81.0)</f>
        <v>81</v>
      </c>
      <c r="F79" s="4">
        <f>IFERROR(__xludf.DUMMYFUNCTION("""COMPUTED_VALUE"""),2.0)</f>
        <v>2</v>
      </c>
      <c r="G79" s="4">
        <f>IFERROR(__xludf.DUMMYFUNCTION("""COMPUTED_VALUE"""),584.0)</f>
        <v>584</v>
      </c>
      <c r="H79" s="5">
        <f>IFERROR(__xludf.DUMMYFUNCTION("""COMPUTED_VALUE"""),8653.05)</f>
        <v>8653.05</v>
      </c>
      <c r="I79" s="5">
        <f>IFERROR(__xludf.DUMMYFUNCTION("""COMPUTED_VALUE"""),6228.09)</f>
        <v>6228.09</v>
      </c>
      <c r="J79" s="5">
        <f>IFERROR(__xludf.DUMMYFUNCTION("""COMPUTED_VALUE"""),3630.09)</f>
        <v>3630.09</v>
      </c>
      <c r="K79" s="5">
        <f>IFERROR(__xludf.DUMMYFUNCTION("""COMPUTED_VALUE"""),9142.94)</f>
        <v>9142.94</v>
      </c>
      <c r="L79" s="4">
        <f>IFERROR(__xludf.DUMMYFUNCTION("""COMPUTED_VALUE"""),4.0)</f>
        <v>4</v>
      </c>
      <c r="M79" s="4">
        <f>IFERROR(__xludf.DUMMYFUNCTION("""COMPUTED_VALUE"""),98.0)</f>
        <v>98</v>
      </c>
      <c r="N79" s="2" t="str">
        <f>IFERROR(__xludf.DUMMYFUNCTION("""COMPUTED_VALUE"""),"VERDADERO")</f>
        <v>VERDADERO</v>
      </c>
    </row>
    <row r="80">
      <c r="A80" s="2">
        <f>IFERROR(__xludf.DUMMYFUNCTION("""COMPUTED_VALUE"""),79.0)</f>
        <v>79</v>
      </c>
      <c r="B80" s="2" t="str">
        <f>IFERROR(__xludf.DUMMYFUNCTION("""COMPUTED_VALUE"""),"Kath Baldassi")</f>
        <v>Kath Baldassi</v>
      </c>
      <c r="C80" s="2" t="str">
        <f>IFERROR(__xludf.DUMMYFUNCTION("""COMPUTED_VALUE"""),"kbaldassi26@purevolume.com")</f>
        <v>kbaldassi26@purevolume.com</v>
      </c>
      <c r="D80" s="4">
        <f>IFERROR(__xludf.DUMMYFUNCTION("""COMPUTED_VALUE"""),41.0)</f>
        <v>41</v>
      </c>
      <c r="E80" s="4">
        <f>IFERROR(__xludf.DUMMYFUNCTION("""COMPUTED_VALUE"""),21.0)</f>
        <v>21</v>
      </c>
      <c r="F80" s="4">
        <f>IFERROR(__xludf.DUMMYFUNCTION("""COMPUTED_VALUE"""),12.0)</f>
        <v>12</v>
      </c>
      <c r="G80" s="4">
        <f>IFERROR(__xludf.DUMMYFUNCTION("""COMPUTED_VALUE"""),948.0)</f>
        <v>948</v>
      </c>
      <c r="H80" s="5">
        <f>IFERROR(__xludf.DUMMYFUNCTION("""COMPUTED_VALUE"""),1978.17)</f>
        <v>1978.17</v>
      </c>
      <c r="I80" s="5">
        <f>IFERROR(__xludf.DUMMYFUNCTION("""COMPUTED_VALUE"""),5778.55)</f>
        <v>5778.55</v>
      </c>
      <c r="J80" s="5">
        <f>IFERROR(__xludf.DUMMYFUNCTION("""COMPUTED_VALUE"""),5182.96)</f>
        <v>5182.96</v>
      </c>
      <c r="K80" s="5">
        <f>IFERROR(__xludf.DUMMYFUNCTION("""COMPUTED_VALUE"""),8738.83)</f>
        <v>8738.83</v>
      </c>
      <c r="L80" s="4">
        <f>IFERROR(__xludf.DUMMYFUNCTION("""COMPUTED_VALUE"""),1.0)</f>
        <v>1</v>
      </c>
      <c r="M80" s="4">
        <f>IFERROR(__xludf.DUMMYFUNCTION("""COMPUTED_VALUE"""),46.0)</f>
        <v>46</v>
      </c>
      <c r="N80" s="2" t="str">
        <f>IFERROR(__xludf.DUMMYFUNCTION("""COMPUTED_VALUE"""),"VERDADERO")</f>
        <v>VERDADERO</v>
      </c>
    </row>
    <row r="81">
      <c r="A81" s="2">
        <f>IFERROR(__xludf.DUMMYFUNCTION("""COMPUTED_VALUE"""),80.0)</f>
        <v>80</v>
      </c>
      <c r="B81" s="2" t="str">
        <f>IFERROR(__xludf.DUMMYFUNCTION("""COMPUTED_VALUE"""),"Emory Powdrill")</f>
        <v>Emory Powdrill</v>
      </c>
      <c r="C81" s="2" t="str">
        <f>IFERROR(__xludf.DUMMYFUNCTION("""COMPUTED_VALUE"""),"epowdrill27@php.net")</f>
        <v>epowdrill27@php.net</v>
      </c>
      <c r="D81" s="4">
        <f>IFERROR(__xludf.DUMMYFUNCTION("""COMPUTED_VALUE"""),120.0)</f>
        <v>120</v>
      </c>
      <c r="E81" s="4">
        <f>IFERROR(__xludf.DUMMYFUNCTION("""COMPUTED_VALUE"""),64.0)</f>
        <v>64</v>
      </c>
      <c r="F81" s="4">
        <f>IFERROR(__xludf.DUMMYFUNCTION("""COMPUTED_VALUE"""),4.0)</f>
        <v>4</v>
      </c>
      <c r="G81" s="4">
        <f>IFERROR(__xludf.DUMMYFUNCTION("""COMPUTED_VALUE"""),1248.0)</f>
        <v>1248</v>
      </c>
      <c r="H81" s="5">
        <f>IFERROR(__xludf.DUMMYFUNCTION("""COMPUTED_VALUE"""),7933.86)</f>
        <v>7933.86</v>
      </c>
      <c r="I81" s="5">
        <f>IFERROR(__xludf.DUMMYFUNCTION("""COMPUTED_VALUE"""),1838.3)</f>
        <v>1838.3</v>
      </c>
      <c r="J81" s="5">
        <f>IFERROR(__xludf.DUMMYFUNCTION("""COMPUTED_VALUE"""),8048.45)</f>
        <v>8048.45</v>
      </c>
      <c r="K81" s="5">
        <f>IFERROR(__xludf.DUMMYFUNCTION("""COMPUTED_VALUE"""),3124.52)</f>
        <v>3124.52</v>
      </c>
      <c r="L81" s="4">
        <f>IFERROR(__xludf.DUMMYFUNCTION("""COMPUTED_VALUE"""),13.0)</f>
        <v>13</v>
      </c>
      <c r="M81" s="4">
        <f>IFERROR(__xludf.DUMMYFUNCTION("""COMPUTED_VALUE"""),22.0)</f>
        <v>22</v>
      </c>
      <c r="N81" s="2" t="str">
        <f>IFERROR(__xludf.DUMMYFUNCTION("""COMPUTED_VALUE"""),"FALSO")</f>
        <v>FALSO</v>
      </c>
    </row>
    <row r="82">
      <c r="A82" s="2">
        <f>IFERROR(__xludf.DUMMYFUNCTION("""COMPUTED_VALUE"""),81.0)</f>
        <v>81</v>
      </c>
      <c r="B82" s="2" t="str">
        <f>IFERROR(__xludf.DUMMYFUNCTION("""COMPUTED_VALUE"""),"Felicity Gregoretti")</f>
        <v>Felicity Gregoretti</v>
      </c>
      <c r="C82" s="2" t="str">
        <f>IFERROR(__xludf.DUMMYFUNCTION("""COMPUTED_VALUE"""),"fgregoretti28@jimdo.com")</f>
        <v>fgregoretti28@jimdo.com</v>
      </c>
      <c r="D82" s="4">
        <f>IFERROR(__xludf.DUMMYFUNCTION("""COMPUTED_VALUE"""),65.0)</f>
        <v>65</v>
      </c>
      <c r="E82" s="4">
        <f>IFERROR(__xludf.DUMMYFUNCTION("""COMPUTED_VALUE"""),104.0)</f>
        <v>104</v>
      </c>
      <c r="F82" s="4">
        <f>IFERROR(__xludf.DUMMYFUNCTION("""COMPUTED_VALUE"""),11.0)</f>
        <v>11</v>
      </c>
      <c r="G82" s="4">
        <f>IFERROR(__xludf.DUMMYFUNCTION("""COMPUTED_VALUE"""),154.0)</f>
        <v>154</v>
      </c>
      <c r="H82" s="5">
        <f>IFERROR(__xludf.DUMMYFUNCTION("""COMPUTED_VALUE"""),9586.85)</f>
        <v>9586.85</v>
      </c>
      <c r="I82" s="5">
        <f>IFERROR(__xludf.DUMMYFUNCTION("""COMPUTED_VALUE"""),1897.64)</f>
        <v>1897.64</v>
      </c>
      <c r="J82" s="5">
        <f>IFERROR(__xludf.DUMMYFUNCTION("""COMPUTED_VALUE"""),6256.05)</f>
        <v>6256.05</v>
      </c>
      <c r="K82" s="5">
        <f>IFERROR(__xludf.DUMMYFUNCTION("""COMPUTED_VALUE"""),7231.42)</f>
        <v>7231.42</v>
      </c>
      <c r="L82" s="4">
        <f>IFERROR(__xludf.DUMMYFUNCTION("""COMPUTED_VALUE"""),16.0)</f>
        <v>16</v>
      </c>
      <c r="M82" s="4">
        <f>IFERROR(__xludf.DUMMYFUNCTION("""COMPUTED_VALUE"""),84.0)</f>
        <v>84</v>
      </c>
      <c r="N82" s="2" t="str">
        <f>IFERROR(__xludf.DUMMYFUNCTION("""COMPUTED_VALUE"""),"VERDADERO")</f>
        <v>VERDADERO</v>
      </c>
    </row>
    <row r="83">
      <c r="A83" s="2">
        <f>IFERROR(__xludf.DUMMYFUNCTION("""COMPUTED_VALUE"""),82.0)</f>
        <v>82</v>
      </c>
      <c r="B83" s="2" t="str">
        <f>IFERROR(__xludf.DUMMYFUNCTION("""COMPUTED_VALUE"""),"Thom Gowdridge")</f>
        <v>Thom Gowdridge</v>
      </c>
      <c r="C83" s="2" t="str">
        <f>IFERROR(__xludf.DUMMYFUNCTION("""COMPUTED_VALUE"""),"tgowdridge29@gravatar.com")</f>
        <v>tgowdridge29@gravatar.com</v>
      </c>
      <c r="D83" s="4">
        <f>IFERROR(__xludf.DUMMYFUNCTION("""COMPUTED_VALUE"""),29.0)</f>
        <v>29</v>
      </c>
      <c r="E83" s="4">
        <f>IFERROR(__xludf.DUMMYFUNCTION("""COMPUTED_VALUE"""),101.0)</f>
        <v>101</v>
      </c>
      <c r="F83" s="4">
        <f>IFERROR(__xludf.DUMMYFUNCTION("""COMPUTED_VALUE"""),5.0)</f>
        <v>5</v>
      </c>
      <c r="G83" s="4">
        <f>IFERROR(__xludf.DUMMYFUNCTION("""COMPUTED_VALUE"""),108.0)</f>
        <v>108</v>
      </c>
      <c r="H83" s="5">
        <f>IFERROR(__xludf.DUMMYFUNCTION("""COMPUTED_VALUE"""),3703.32)</f>
        <v>3703.32</v>
      </c>
      <c r="I83" s="5">
        <f>IFERROR(__xludf.DUMMYFUNCTION("""COMPUTED_VALUE"""),6440.12)</f>
        <v>6440.12</v>
      </c>
      <c r="J83" s="5">
        <f>IFERROR(__xludf.DUMMYFUNCTION("""COMPUTED_VALUE"""),8419.53)</f>
        <v>8419.53</v>
      </c>
      <c r="K83" s="5">
        <f>IFERROR(__xludf.DUMMYFUNCTION("""COMPUTED_VALUE"""),9632.69)</f>
        <v>9632.69</v>
      </c>
      <c r="L83" s="4">
        <f>IFERROR(__xludf.DUMMYFUNCTION("""COMPUTED_VALUE"""),8.0)</f>
        <v>8</v>
      </c>
      <c r="M83" s="4">
        <f>IFERROR(__xludf.DUMMYFUNCTION("""COMPUTED_VALUE"""),36.0)</f>
        <v>36</v>
      </c>
      <c r="N83" s="2" t="str">
        <f>IFERROR(__xludf.DUMMYFUNCTION("""COMPUTED_VALUE"""),"FALSO")</f>
        <v>FALSO</v>
      </c>
    </row>
    <row r="84">
      <c r="A84" s="2">
        <f>IFERROR(__xludf.DUMMYFUNCTION("""COMPUTED_VALUE"""),83.0)</f>
        <v>83</v>
      </c>
      <c r="B84" s="2" t="str">
        <f>IFERROR(__xludf.DUMMYFUNCTION("""COMPUTED_VALUE"""),"Jamie Corrao")</f>
        <v>Jamie Corrao</v>
      </c>
      <c r="C84" s="2" t="str">
        <f>IFERROR(__xludf.DUMMYFUNCTION("""COMPUTED_VALUE"""),"jcorrao2b@google.nl")</f>
        <v>jcorrao2b@google.nl</v>
      </c>
      <c r="D84" s="4">
        <f>IFERROR(__xludf.DUMMYFUNCTION("""COMPUTED_VALUE"""),120.0)</f>
        <v>120</v>
      </c>
      <c r="E84" s="4">
        <f>IFERROR(__xludf.DUMMYFUNCTION("""COMPUTED_VALUE"""),57.0)</f>
        <v>57</v>
      </c>
      <c r="F84" s="4">
        <f>IFERROR(__xludf.DUMMYFUNCTION("""COMPUTED_VALUE"""),5.0)</f>
        <v>5</v>
      </c>
      <c r="G84" s="4">
        <f>IFERROR(__xludf.DUMMYFUNCTION("""COMPUTED_VALUE"""),709.0)</f>
        <v>709</v>
      </c>
      <c r="H84" s="5">
        <f>IFERROR(__xludf.DUMMYFUNCTION("""COMPUTED_VALUE"""),9480.66)</f>
        <v>9480.66</v>
      </c>
      <c r="I84" s="5">
        <f>IFERROR(__xludf.DUMMYFUNCTION("""COMPUTED_VALUE"""),923.01)</f>
        <v>923.01</v>
      </c>
      <c r="J84" s="5">
        <f>IFERROR(__xludf.DUMMYFUNCTION("""COMPUTED_VALUE"""),6718.89)</f>
        <v>6718.89</v>
      </c>
      <c r="K84" s="5">
        <f>IFERROR(__xludf.DUMMYFUNCTION("""COMPUTED_VALUE"""),6659.42)</f>
        <v>6659.42</v>
      </c>
      <c r="L84" s="4">
        <f>IFERROR(__xludf.DUMMYFUNCTION("""COMPUTED_VALUE"""),11.0)</f>
        <v>11</v>
      </c>
      <c r="M84" s="4">
        <f>IFERROR(__xludf.DUMMYFUNCTION("""COMPUTED_VALUE"""),51.0)</f>
        <v>51</v>
      </c>
      <c r="N84" s="2" t="str">
        <f>IFERROR(__xludf.DUMMYFUNCTION("""COMPUTED_VALUE"""),"FALSO")</f>
        <v>FALSO</v>
      </c>
    </row>
    <row r="85">
      <c r="A85" s="2">
        <f>IFERROR(__xludf.DUMMYFUNCTION("""COMPUTED_VALUE"""),84.0)</f>
        <v>84</v>
      </c>
      <c r="B85" s="2" t="str">
        <f>IFERROR(__xludf.DUMMYFUNCTION("""COMPUTED_VALUE"""),"Damon Bussen")</f>
        <v>Damon Bussen</v>
      </c>
      <c r="C85" s="2" t="str">
        <f>IFERROR(__xludf.DUMMYFUNCTION("""COMPUTED_VALUE"""),"dbussen2c@blogs.com")</f>
        <v>dbussen2c@blogs.com</v>
      </c>
      <c r="D85" s="4">
        <f>IFERROR(__xludf.DUMMYFUNCTION("""COMPUTED_VALUE"""),75.0)</f>
        <v>75</v>
      </c>
      <c r="E85" s="4">
        <f>IFERROR(__xludf.DUMMYFUNCTION("""COMPUTED_VALUE"""),84.0)</f>
        <v>84</v>
      </c>
      <c r="F85" s="4">
        <f>IFERROR(__xludf.DUMMYFUNCTION("""COMPUTED_VALUE"""),5.0)</f>
        <v>5</v>
      </c>
      <c r="G85" s="4">
        <f>IFERROR(__xludf.DUMMYFUNCTION("""COMPUTED_VALUE"""),18.0)</f>
        <v>18</v>
      </c>
      <c r="H85" s="5">
        <f>IFERROR(__xludf.DUMMYFUNCTION("""COMPUTED_VALUE"""),9618.92)</f>
        <v>9618.92</v>
      </c>
      <c r="I85" s="5">
        <f>IFERROR(__xludf.DUMMYFUNCTION("""COMPUTED_VALUE"""),8468.04)</f>
        <v>8468.04</v>
      </c>
      <c r="J85" s="5">
        <f>IFERROR(__xludf.DUMMYFUNCTION("""COMPUTED_VALUE"""),6160.46)</f>
        <v>6160.46</v>
      </c>
      <c r="K85" s="5">
        <f>IFERROR(__xludf.DUMMYFUNCTION("""COMPUTED_VALUE"""),8185.26)</f>
        <v>8185.26</v>
      </c>
      <c r="L85" s="4">
        <f>IFERROR(__xludf.DUMMYFUNCTION("""COMPUTED_VALUE"""),12.0)</f>
        <v>12</v>
      </c>
      <c r="M85" s="4">
        <f>IFERROR(__xludf.DUMMYFUNCTION("""COMPUTED_VALUE"""),41.0)</f>
        <v>41</v>
      </c>
      <c r="N85" s="2" t="str">
        <f>IFERROR(__xludf.DUMMYFUNCTION("""COMPUTED_VALUE"""),"VERDADERO")</f>
        <v>VERDADERO</v>
      </c>
    </row>
    <row r="86">
      <c r="A86" s="2">
        <f>IFERROR(__xludf.DUMMYFUNCTION("""COMPUTED_VALUE"""),85.0)</f>
        <v>85</v>
      </c>
      <c r="B86" s="2" t="str">
        <f>IFERROR(__xludf.DUMMYFUNCTION("""COMPUTED_VALUE"""),"Emmet Kahan")</f>
        <v>Emmet Kahan</v>
      </c>
      <c r="C86" s="2" t="str">
        <f>IFERROR(__xludf.DUMMYFUNCTION("""COMPUTED_VALUE"""),"ekahan2d@friendfeed.com")</f>
        <v>ekahan2d@friendfeed.com</v>
      </c>
      <c r="D86" s="4">
        <f>IFERROR(__xludf.DUMMYFUNCTION("""COMPUTED_VALUE"""),65.0)</f>
        <v>65</v>
      </c>
      <c r="E86" s="4">
        <f>IFERROR(__xludf.DUMMYFUNCTION("""COMPUTED_VALUE"""),81.0)</f>
        <v>81</v>
      </c>
      <c r="F86" s="4">
        <f>IFERROR(__xludf.DUMMYFUNCTION("""COMPUTED_VALUE"""),2.0)</f>
        <v>2</v>
      </c>
      <c r="G86" s="4">
        <f>IFERROR(__xludf.DUMMYFUNCTION("""COMPUTED_VALUE"""),1081.0)</f>
        <v>1081</v>
      </c>
      <c r="H86" s="5">
        <f>IFERROR(__xludf.DUMMYFUNCTION("""COMPUTED_VALUE"""),7716.95)</f>
        <v>7716.95</v>
      </c>
      <c r="I86" s="5">
        <f>IFERROR(__xludf.DUMMYFUNCTION("""COMPUTED_VALUE"""),8355.59)</f>
        <v>8355.59</v>
      </c>
      <c r="J86" s="5">
        <f>IFERROR(__xludf.DUMMYFUNCTION("""COMPUTED_VALUE"""),5753.26)</f>
        <v>5753.26</v>
      </c>
      <c r="K86" s="5">
        <f>IFERROR(__xludf.DUMMYFUNCTION("""COMPUTED_VALUE"""),4974.19)</f>
        <v>4974.19</v>
      </c>
      <c r="L86" s="4">
        <f>IFERROR(__xludf.DUMMYFUNCTION("""COMPUTED_VALUE"""),1.0)</f>
        <v>1</v>
      </c>
      <c r="M86" s="4">
        <f>IFERROR(__xludf.DUMMYFUNCTION("""COMPUTED_VALUE"""),96.0)</f>
        <v>96</v>
      </c>
      <c r="N86" s="2" t="str">
        <f>IFERROR(__xludf.DUMMYFUNCTION("""COMPUTED_VALUE"""),"FALSO")</f>
        <v>FALSO</v>
      </c>
    </row>
    <row r="87">
      <c r="A87" s="2">
        <f>IFERROR(__xludf.DUMMYFUNCTION("""COMPUTED_VALUE"""),86.0)</f>
        <v>86</v>
      </c>
      <c r="B87" s="2" t="str">
        <f>IFERROR(__xludf.DUMMYFUNCTION("""COMPUTED_VALUE"""),"Ev Maling")</f>
        <v>Ev Maling</v>
      </c>
      <c r="C87" s="2" t="str">
        <f>IFERROR(__xludf.DUMMYFUNCTION("""COMPUTED_VALUE"""),"emaling2e@msu.edu")</f>
        <v>emaling2e@msu.edu</v>
      </c>
      <c r="D87" s="4">
        <f>IFERROR(__xludf.DUMMYFUNCTION("""COMPUTED_VALUE"""),108.0)</f>
        <v>108</v>
      </c>
      <c r="E87" s="4">
        <f>IFERROR(__xludf.DUMMYFUNCTION("""COMPUTED_VALUE"""),122.0)</f>
        <v>122</v>
      </c>
      <c r="F87" s="4">
        <f>IFERROR(__xludf.DUMMYFUNCTION("""COMPUTED_VALUE"""),5.0)</f>
        <v>5</v>
      </c>
      <c r="G87" s="4">
        <f>IFERROR(__xludf.DUMMYFUNCTION("""COMPUTED_VALUE"""),872.0)</f>
        <v>872</v>
      </c>
      <c r="H87" s="5">
        <f>IFERROR(__xludf.DUMMYFUNCTION("""COMPUTED_VALUE"""),184.01)</f>
        <v>184.01</v>
      </c>
      <c r="I87" s="5">
        <f>IFERROR(__xludf.DUMMYFUNCTION("""COMPUTED_VALUE"""),9263.48)</f>
        <v>9263.48</v>
      </c>
      <c r="J87" s="5">
        <f>IFERROR(__xludf.DUMMYFUNCTION("""COMPUTED_VALUE"""),4046.6)</f>
        <v>4046.6</v>
      </c>
      <c r="K87" s="5">
        <f>IFERROR(__xludf.DUMMYFUNCTION("""COMPUTED_VALUE"""),4558.67)</f>
        <v>4558.67</v>
      </c>
      <c r="L87" s="4">
        <f>IFERROR(__xludf.DUMMYFUNCTION("""COMPUTED_VALUE"""),20.0)</f>
        <v>20</v>
      </c>
      <c r="M87" s="4">
        <f>IFERROR(__xludf.DUMMYFUNCTION("""COMPUTED_VALUE"""),25.0)</f>
        <v>25</v>
      </c>
      <c r="N87" s="2" t="str">
        <f>IFERROR(__xludf.DUMMYFUNCTION("""COMPUTED_VALUE"""),"VERDADERO")</f>
        <v>VERDADERO</v>
      </c>
    </row>
    <row r="88">
      <c r="A88" s="2">
        <f>IFERROR(__xludf.DUMMYFUNCTION("""COMPUTED_VALUE"""),87.0)</f>
        <v>87</v>
      </c>
      <c r="B88" s="2" t="str">
        <f>IFERROR(__xludf.DUMMYFUNCTION("""COMPUTED_VALUE"""),"Emilio Houlworth")</f>
        <v>Emilio Houlworth</v>
      </c>
      <c r="C88" s="2" t="str">
        <f>IFERROR(__xludf.DUMMYFUNCTION("""COMPUTED_VALUE"""),"ehoulworth2f@sun.com")</f>
        <v>ehoulworth2f@sun.com</v>
      </c>
      <c r="D88" s="4">
        <f>IFERROR(__xludf.DUMMYFUNCTION("""COMPUTED_VALUE"""),120.0)</f>
        <v>120</v>
      </c>
      <c r="E88" s="4">
        <f>IFERROR(__xludf.DUMMYFUNCTION("""COMPUTED_VALUE"""),6.0)</f>
        <v>6</v>
      </c>
      <c r="F88" s="4">
        <f>IFERROR(__xludf.DUMMYFUNCTION("""COMPUTED_VALUE"""),13.0)</f>
        <v>13</v>
      </c>
      <c r="G88" s="4">
        <f>IFERROR(__xludf.DUMMYFUNCTION("""COMPUTED_VALUE"""),1278.0)</f>
        <v>1278</v>
      </c>
      <c r="H88" s="5">
        <f>IFERROR(__xludf.DUMMYFUNCTION("""COMPUTED_VALUE"""),9775.35)</f>
        <v>9775.35</v>
      </c>
      <c r="I88" s="5">
        <f>IFERROR(__xludf.DUMMYFUNCTION("""COMPUTED_VALUE"""),3295.65)</f>
        <v>3295.65</v>
      </c>
      <c r="J88" s="5">
        <f>IFERROR(__xludf.DUMMYFUNCTION("""COMPUTED_VALUE"""),2849.91)</f>
        <v>2849.91</v>
      </c>
      <c r="K88" s="5">
        <f>IFERROR(__xludf.DUMMYFUNCTION("""COMPUTED_VALUE"""),2867.24)</f>
        <v>2867.24</v>
      </c>
      <c r="L88" s="4">
        <f>IFERROR(__xludf.DUMMYFUNCTION("""COMPUTED_VALUE"""),3.0)</f>
        <v>3</v>
      </c>
      <c r="M88" s="4">
        <f>IFERROR(__xludf.DUMMYFUNCTION("""COMPUTED_VALUE"""),66.0)</f>
        <v>66</v>
      </c>
      <c r="N88" s="2" t="str">
        <f>IFERROR(__xludf.DUMMYFUNCTION("""COMPUTED_VALUE"""),"VERDADERO")</f>
        <v>VERDADERO</v>
      </c>
    </row>
    <row r="89">
      <c r="A89" s="2">
        <f>IFERROR(__xludf.DUMMYFUNCTION("""COMPUTED_VALUE"""),88.0)</f>
        <v>88</v>
      </c>
      <c r="B89" s="2" t="str">
        <f>IFERROR(__xludf.DUMMYFUNCTION("""COMPUTED_VALUE"""),"Marna Spendlove")</f>
        <v>Marna Spendlove</v>
      </c>
      <c r="C89" s="2" t="str">
        <f>IFERROR(__xludf.DUMMYFUNCTION("""COMPUTED_VALUE"""),"mspendlove2g@gmpg.org")</f>
        <v>mspendlove2g@gmpg.org</v>
      </c>
      <c r="D89" s="4">
        <f>IFERROR(__xludf.DUMMYFUNCTION("""COMPUTED_VALUE"""),29.0)</f>
        <v>29</v>
      </c>
      <c r="E89" s="4">
        <f>IFERROR(__xludf.DUMMYFUNCTION("""COMPUTED_VALUE"""),64.0)</f>
        <v>64</v>
      </c>
      <c r="F89" s="4">
        <f>IFERROR(__xludf.DUMMYFUNCTION("""COMPUTED_VALUE"""),4.0)</f>
        <v>4</v>
      </c>
      <c r="G89" s="4">
        <f>IFERROR(__xludf.DUMMYFUNCTION("""COMPUTED_VALUE"""),1327.0)</f>
        <v>1327</v>
      </c>
      <c r="H89" s="5">
        <f>IFERROR(__xludf.DUMMYFUNCTION("""COMPUTED_VALUE"""),1619.77)</f>
        <v>1619.77</v>
      </c>
      <c r="I89" s="5">
        <f>IFERROR(__xludf.DUMMYFUNCTION("""COMPUTED_VALUE"""),1892.65)</f>
        <v>1892.65</v>
      </c>
      <c r="J89" s="5">
        <f>IFERROR(__xludf.DUMMYFUNCTION("""COMPUTED_VALUE"""),5974.72)</f>
        <v>5974.72</v>
      </c>
      <c r="K89" s="5">
        <f>IFERROR(__xludf.DUMMYFUNCTION("""COMPUTED_VALUE"""),6560.06)</f>
        <v>6560.06</v>
      </c>
      <c r="L89" s="4">
        <f>IFERROR(__xludf.DUMMYFUNCTION("""COMPUTED_VALUE"""),2.0)</f>
        <v>2</v>
      </c>
      <c r="M89" s="4">
        <f>IFERROR(__xludf.DUMMYFUNCTION("""COMPUTED_VALUE"""),15.0)</f>
        <v>15</v>
      </c>
      <c r="N89" s="2" t="str">
        <f>IFERROR(__xludf.DUMMYFUNCTION("""COMPUTED_VALUE"""),"FALSO")</f>
        <v>FALSO</v>
      </c>
    </row>
    <row r="90">
      <c r="A90" s="2">
        <f>IFERROR(__xludf.DUMMYFUNCTION("""COMPUTED_VALUE"""),89.0)</f>
        <v>89</v>
      </c>
      <c r="B90" s="2" t="str">
        <f>IFERROR(__xludf.DUMMYFUNCTION("""COMPUTED_VALUE"""),"Frayda Kinnaird")</f>
        <v>Frayda Kinnaird</v>
      </c>
      <c r="C90" s="2" t="str">
        <f>IFERROR(__xludf.DUMMYFUNCTION("""COMPUTED_VALUE"""),"fkinnaird2h@hibu.com")</f>
        <v>fkinnaird2h@hibu.com</v>
      </c>
      <c r="D90" s="4">
        <f>IFERROR(__xludf.DUMMYFUNCTION("""COMPUTED_VALUE"""),29.0)</f>
        <v>29</v>
      </c>
      <c r="E90" s="4">
        <f>IFERROR(__xludf.DUMMYFUNCTION("""COMPUTED_VALUE"""),107.0)</f>
        <v>107</v>
      </c>
      <c r="F90" s="4">
        <f>IFERROR(__xludf.DUMMYFUNCTION("""COMPUTED_VALUE"""),5.0)</f>
        <v>5</v>
      </c>
      <c r="G90" s="4">
        <f>IFERROR(__xludf.DUMMYFUNCTION("""COMPUTED_VALUE"""),458.0)</f>
        <v>458</v>
      </c>
      <c r="H90" s="5">
        <f>IFERROR(__xludf.DUMMYFUNCTION("""COMPUTED_VALUE"""),8608.72)</f>
        <v>8608.72</v>
      </c>
      <c r="I90" s="5">
        <f>IFERROR(__xludf.DUMMYFUNCTION("""COMPUTED_VALUE"""),6564.02)</f>
        <v>6564.02</v>
      </c>
      <c r="J90" s="5">
        <f>IFERROR(__xludf.DUMMYFUNCTION("""COMPUTED_VALUE"""),6166.3)</f>
        <v>6166.3</v>
      </c>
      <c r="K90" s="5">
        <f>IFERROR(__xludf.DUMMYFUNCTION("""COMPUTED_VALUE"""),4569.82)</f>
        <v>4569.82</v>
      </c>
      <c r="L90" s="4">
        <f>IFERROR(__xludf.DUMMYFUNCTION("""COMPUTED_VALUE"""),19.0)</f>
        <v>19</v>
      </c>
      <c r="M90" s="4">
        <f>IFERROR(__xludf.DUMMYFUNCTION("""COMPUTED_VALUE"""),35.0)</f>
        <v>35</v>
      </c>
      <c r="N90" s="2" t="str">
        <f>IFERROR(__xludf.DUMMYFUNCTION("""COMPUTED_VALUE"""),"VERDADERO")</f>
        <v>VERDADERO</v>
      </c>
    </row>
    <row r="91">
      <c r="A91" s="2">
        <f>IFERROR(__xludf.DUMMYFUNCTION("""COMPUTED_VALUE"""),90.0)</f>
        <v>90</v>
      </c>
      <c r="B91" s="2" t="str">
        <f>IFERROR(__xludf.DUMMYFUNCTION("""COMPUTED_VALUE"""),"Putnam Wabb")</f>
        <v>Putnam Wabb</v>
      </c>
      <c r="C91" s="2" t="str">
        <f>IFERROR(__xludf.DUMMYFUNCTION("""COMPUTED_VALUE"""),"pwabb2i@msn.com")</f>
        <v>pwabb2i@msn.com</v>
      </c>
      <c r="D91" s="4">
        <f>IFERROR(__xludf.DUMMYFUNCTION("""COMPUTED_VALUE"""),121.0)</f>
        <v>121</v>
      </c>
      <c r="E91" s="4">
        <f>IFERROR(__xludf.DUMMYFUNCTION("""COMPUTED_VALUE"""),66.0)</f>
        <v>66</v>
      </c>
      <c r="F91" s="4">
        <f>IFERROR(__xludf.DUMMYFUNCTION("""COMPUTED_VALUE"""),6.0)</f>
        <v>6</v>
      </c>
      <c r="G91" s="4">
        <f>IFERROR(__xludf.DUMMYFUNCTION("""COMPUTED_VALUE"""),921.0)</f>
        <v>921</v>
      </c>
      <c r="H91" s="5">
        <f>IFERROR(__xludf.DUMMYFUNCTION("""COMPUTED_VALUE"""),955.11)</f>
        <v>955.11</v>
      </c>
      <c r="I91" s="5">
        <f>IFERROR(__xludf.DUMMYFUNCTION("""COMPUTED_VALUE"""),2285.83)</f>
        <v>2285.83</v>
      </c>
      <c r="J91" s="5">
        <f>IFERROR(__xludf.DUMMYFUNCTION("""COMPUTED_VALUE"""),944.61)</f>
        <v>944.61</v>
      </c>
      <c r="K91" s="5">
        <f>IFERROR(__xludf.DUMMYFUNCTION("""COMPUTED_VALUE"""),5652.89)</f>
        <v>5652.89</v>
      </c>
      <c r="L91" s="4">
        <f>IFERROR(__xludf.DUMMYFUNCTION("""COMPUTED_VALUE"""),18.0)</f>
        <v>18</v>
      </c>
      <c r="M91" s="4">
        <f>IFERROR(__xludf.DUMMYFUNCTION("""COMPUTED_VALUE"""),79.0)</f>
        <v>79</v>
      </c>
      <c r="N91" s="2" t="str">
        <f>IFERROR(__xludf.DUMMYFUNCTION("""COMPUTED_VALUE"""),"FALSO")</f>
        <v>FALSO</v>
      </c>
    </row>
    <row r="92">
      <c r="A92" s="2">
        <f>IFERROR(__xludf.DUMMYFUNCTION("""COMPUTED_VALUE"""),91.0)</f>
        <v>91</v>
      </c>
      <c r="B92" s="2" t="str">
        <f>IFERROR(__xludf.DUMMYFUNCTION("""COMPUTED_VALUE"""),"Wandie Jahns")</f>
        <v>Wandie Jahns</v>
      </c>
      <c r="C92" s="2" t="str">
        <f>IFERROR(__xludf.DUMMYFUNCTION("""COMPUTED_VALUE"""),"wjahns2j@mysql.com")</f>
        <v>wjahns2j@mysql.com</v>
      </c>
      <c r="D92" s="4">
        <f>IFERROR(__xludf.DUMMYFUNCTION("""COMPUTED_VALUE"""),29.0)</f>
        <v>29</v>
      </c>
      <c r="E92" s="4">
        <f>IFERROR(__xludf.DUMMYFUNCTION("""COMPUTED_VALUE"""),15.0)</f>
        <v>15</v>
      </c>
      <c r="F92" s="4">
        <f>IFERROR(__xludf.DUMMYFUNCTION("""COMPUTED_VALUE"""),6.0)</f>
        <v>6</v>
      </c>
      <c r="G92" s="4">
        <f>IFERROR(__xludf.DUMMYFUNCTION("""COMPUTED_VALUE"""),109.0)</f>
        <v>109</v>
      </c>
      <c r="H92" s="5">
        <f>IFERROR(__xludf.DUMMYFUNCTION("""COMPUTED_VALUE"""),870.69)</f>
        <v>870.69</v>
      </c>
      <c r="I92" s="5">
        <f>IFERROR(__xludf.DUMMYFUNCTION("""COMPUTED_VALUE"""),9714.83)</f>
        <v>9714.83</v>
      </c>
      <c r="J92" s="5">
        <f>IFERROR(__xludf.DUMMYFUNCTION("""COMPUTED_VALUE"""),8484.61)</f>
        <v>8484.61</v>
      </c>
      <c r="K92" s="5">
        <f>IFERROR(__xludf.DUMMYFUNCTION("""COMPUTED_VALUE"""),5426.08)</f>
        <v>5426.08</v>
      </c>
      <c r="L92" s="4">
        <f>IFERROR(__xludf.DUMMYFUNCTION("""COMPUTED_VALUE"""),19.0)</f>
        <v>19</v>
      </c>
      <c r="M92" s="4">
        <f>IFERROR(__xludf.DUMMYFUNCTION("""COMPUTED_VALUE"""),66.0)</f>
        <v>66</v>
      </c>
      <c r="N92" s="2" t="str">
        <f>IFERROR(__xludf.DUMMYFUNCTION("""COMPUTED_VALUE"""),"FALSO")</f>
        <v>FALSO</v>
      </c>
    </row>
    <row r="93">
      <c r="A93" s="2">
        <f>IFERROR(__xludf.DUMMYFUNCTION("""COMPUTED_VALUE"""),92.0)</f>
        <v>92</v>
      </c>
      <c r="B93" s="2" t="str">
        <f>IFERROR(__xludf.DUMMYFUNCTION("""COMPUTED_VALUE"""),"Hilly Pinnigar")</f>
        <v>Hilly Pinnigar</v>
      </c>
      <c r="C93" s="2" t="str">
        <f>IFERROR(__xludf.DUMMYFUNCTION("""COMPUTED_VALUE"""),"hpinnigar2k@altervista.org")</f>
        <v>hpinnigar2k@altervista.org</v>
      </c>
      <c r="D93" s="4">
        <f>IFERROR(__xludf.DUMMYFUNCTION("""COMPUTED_VALUE"""),55.0)</f>
        <v>55</v>
      </c>
      <c r="E93" s="4">
        <f>IFERROR(__xludf.DUMMYFUNCTION("""COMPUTED_VALUE"""),88.0)</f>
        <v>88</v>
      </c>
      <c r="F93" s="4">
        <f>IFERROR(__xludf.DUMMYFUNCTION("""COMPUTED_VALUE"""),3.0)</f>
        <v>3</v>
      </c>
      <c r="G93" s="4">
        <f>IFERROR(__xludf.DUMMYFUNCTION("""COMPUTED_VALUE"""),684.0)</f>
        <v>684</v>
      </c>
      <c r="H93" s="5">
        <f>IFERROR(__xludf.DUMMYFUNCTION("""COMPUTED_VALUE"""),6684.15)</f>
        <v>6684.15</v>
      </c>
      <c r="I93" s="5">
        <f>IFERROR(__xludf.DUMMYFUNCTION("""COMPUTED_VALUE"""),7510.91)</f>
        <v>7510.91</v>
      </c>
      <c r="J93" s="5">
        <f>IFERROR(__xludf.DUMMYFUNCTION("""COMPUTED_VALUE"""),1300.1)</f>
        <v>1300.1</v>
      </c>
      <c r="K93" s="5">
        <f>IFERROR(__xludf.DUMMYFUNCTION("""COMPUTED_VALUE"""),1089.25)</f>
        <v>1089.25</v>
      </c>
      <c r="L93" s="4">
        <f>IFERROR(__xludf.DUMMYFUNCTION("""COMPUTED_VALUE"""),9.0)</f>
        <v>9</v>
      </c>
      <c r="M93" s="4">
        <f>IFERROR(__xludf.DUMMYFUNCTION("""COMPUTED_VALUE"""),30.0)</f>
        <v>30</v>
      </c>
      <c r="N93" s="2" t="str">
        <f>IFERROR(__xludf.DUMMYFUNCTION("""COMPUTED_VALUE"""),"VERDADERO")</f>
        <v>VERDADERO</v>
      </c>
    </row>
    <row r="94">
      <c r="A94" s="2">
        <f>IFERROR(__xludf.DUMMYFUNCTION("""COMPUTED_VALUE"""),93.0)</f>
        <v>93</v>
      </c>
      <c r="B94" s="2" t="str">
        <f>IFERROR(__xludf.DUMMYFUNCTION("""COMPUTED_VALUE"""),"Bronnie Glenny")</f>
        <v>Bronnie Glenny</v>
      </c>
      <c r="C94" s="2" t="str">
        <f>IFERROR(__xludf.DUMMYFUNCTION("""COMPUTED_VALUE"""),"bglenny2l@senate.gov")</f>
        <v>bglenny2l@senate.gov</v>
      </c>
      <c r="D94" s="4">
        <f>IFERROR(__xludf.DUMMYFUNCTION("""COMPUTED_VALUE"""),147.0)</f>
        <v>147</v>
      </c>
      <c r="E94" s="4">
        <f>IFERROR(__xludf.DUMMYFUNCTION("""COMPUTED_VALUE"""),66.0)</f>
        <v>66</v>
      </c>
      <c r="F94" s="4">
        <f>IFERROR(__xludf.DUMMYFUNCTION("""COMPUTED_VALUE"""),6.0)</f>
        <v>6</v>
      </c>
      <c r="G94" s="4">
        <f>IFERROR(__xludf.DUMMYFUNCTION("""COMPUTED_VALUE"""),1338.0)</f>
        <v>1338</v>
      </c>
      <c r="H94" s="5">
        <f>IFERROR(__xludf.DUMMYFUNCTION("""COMPUTED_VALUE"""),8323.92)</f>
        <v>8323.92</v>
      </c>
      <c r="I94" s="5">
        <f>IFERROR(__xludf.DUMMYFUNCTION("""COMPUTED_VALUE"""),1195.41)</f>
        <v>1195.41</v>
      </c>
      <c r="J94" s="5">
        <f>IFERROR(__xludf.DUMMYFUNCTION("""COMPUTED_VALUE"""),7129.52)</f>
        <v>7129.52</v>
      </c>
      <c r="K94" s="5">
        <f>IFERROR(__xludf.DUMMYFUNCTION("""COMPUTED_VALUE"""),8125.62)</f>
        <v>8125.62</v>
      </c>
      <c r="L94" s="4">
        <f>IFERROR(__xludf.DUMMYFUNCTION("""COMPUTED_VALUE"""),20.0)</f>
        <v>20</v>
      </c>
      <c r="M94" s="4">
        <f>IFERROR(__xludf.DUMMYFUNCTION("""COMPUTED_VALUE"""),63.0)</f>
        <v>63</v>
      </c>
      <c r="N94" s="2" t="str">
        <f>IFERROR(__xludf.DUMMYFUNCTION("""COMPUTED_VALUE"""),"FALSO")</f>
        <v>FALSO</v>
      </c>
    </row>
    <row r="95">
      <c r="A95" s="2">
        <f>IFERROR(__xludf.DUMMYFUNCTION("""COMPUTED_VALUE"""),94.0)</f>
        <v>94</v>
      </c>
      <c r="B95" s="2" t="str">
        <f>IFERROR(__xludf.DUMMYFUNCTION("""COMPUTED_VALUE"""),"Danyette Geleman")</f>
        <v>Danyette Geleman</v>
      </c>
      <c r="C95" s="2" t="str">
        <f>IFERROR(__xludf.DUMMYFUNCTION("""COMPUTED_VALUE"""),"dgeleman2m@mail.ru")</f>
        <v>dgeleman2m@mail.ru</v>
      </c>
      <c r="D95" s="4">
        <f>IFERROR(__xludf.DUMMYFUNCTION("""COMPUTED_VALUE"""),19.0)</f>
        <v>19</v>
      </c>
      <c r="E95" s="4">
        <f>IFERROR(__xludf.DUMMYFUNCTION("""COMPUTED_VALUE"""),37.0)</f>
        <v>37</v>
      </c>
      <c r="F95" s="4">
        <f>IFERROR(__xludf.DUMMYFUNCTION("""COMPUTED_VALUE"""),11.0)</f>
        <v>11</v>
      </c>
      <c r="G95" s="4">
        <f>IFERROR(__xludf.DUMMYFUNCTION("""COMPUTED_VALUE"""),34.0)</f>
        <v>34</v>
      </c>
      <c r="H95" s="5">
        <f>IFERROR(__xludf.DUMMYFUNCTION("""COMPUTED_VALUE"""),9275.41)</f>
        <v>9275.41</v>
      </c>
      <c r="I95" s="5">
        <f>IFERROR(__xludf.DUMMYFUNCTION("""COMPUTED_VALUE"""),3921.23)</f>
        <v>3921.23</v>
      </c>
      <c r="J95" s="5">
        <f>IFERROR(__xludf.DUMMYFUNCTION("""COMPUTED_VALUE"""),2179.56)</f>
        <v>2179.56</v>
      </c>
      <c r="K95" s="5">
        <f>IFERROR(__xludf.DUMMYFUNCTION("""COMPUTED_VALUE"""),4965.69)</f>
        <v>4965.69</v>
      </c>
      <c r="L95" s="4">
        <f>IFERROR(__xludf.DUMMYFUNCTION("""COMPUTED_VALUE"""),11.0)</f>
        <v>11</v>
      </c>
      <c r="M95" s="4">
        <f>IFERROR(__xludf.DUMMYFUNCTION("""COMPUTED_VALUE"""),91.0)</f>
        <v>91</v>
      </c>
      <c r="N95" s="2" t="str">
        <f>IFERROR(__xludf.DUMMYFUNCTION("""COMPUTED_VALUE"""),"FALSO")</f>
        <v>FALSO</v>
      </c>
    </row>
    <row r="96">
      <c r="A96" s="2">
        <f>IFERROR(__xludf.DUMMYFUNCTION("""COMPUTED_VALUE"""),95.0)</f>
        <v>95</v>
      </c>
      <c r="B96" s="2" t="str">
        <f>IFERROR(__xludf.DUMMYFUNCTION("""COMPUTED_VALUE"""),"Georgetta McColl")</f>
        <v>Georgetta McColl</v>
      </c>
      <c r="C96" s="2" t="str">
        <f>IFERROR(__xludf.DUMMYFUNCTION("""COMPUTED_VALUE"""),"gmccoll2n@kickstarter.com")</f>
        <v>gmccoll2n@kickstarter.com</v>
      </c>
      <c r="D96" s="4">
        <f>IFERROR(__xludf.DUMMYFUNCTION("""COMPUTED_VALUE"""),121.0)</f>
        <v>121</v>
      </c>
      <c r="E96" s="4">
        <f>IFERROR(__xludf.DUMMYFUNCTION("""COMPUTED_VALUE"""),81.0)</f>
        <v>81</v>
      </c>
      <c r="F96" s="4">
        <f>IFERROR(__xludf.DUMMYFUNCTION("""COMPUTED_VALUE"""),2.0)</f>
        <v>2</v>
      </c>
      <c r="G96" s="4">
        <f>IFERROR(__xludf.DUMMYFUNCTION("""COMPUTED_VALUE"""),570.0)</f>
        <v>570</v>
      </c>
      <c r="H96" s="5">
        <f>IFERROR(__xludf.DUMMYFUNCTION("""COMPUTED_VALUE"""),8258.15)</f>
        <v>8258.15</v>
      </c>
      <c r="I96" s="5">
        <f>IFERROR(__xludf.DUMMYFUNCTION("""COMPUTED_VALUE"""),9521.31)</f>
        <v>9521.31</v>
      </c>
      <c r="J96" s="5">
        <f>IFERROR(__xludf.DUMMYFUNCTION("""COMPUTED_VALUE"""),5525.37)</f>
        <v>5525.37</v>
      </c>
      <c r="K96" s="5">
        <f>IFERROR(__xludf.DUMMYFUNCTION("""COMPUTED_VALUE"""),305.95)</f>
        <v>305.95</v>
      </c>
      <c r="L96" s="4">
        <f>IFERROR(__xludf.DUMMYFUNCTION("""COMPUTED_VALUE"""),20.0)</f>
        <v>20</v>
      </c>
      <c r="M96" s="4">
        <f>IFERROR(__xludf.DUMMYFUNCTION("""COMPUTED_VALUE"""),71.0)</f>
        <v>71</v>
      </c>
      <c r="N96" s="2" t="str">
        <f>IFERROR(__xludf.DUMMYFUNCTION("""COMPUTED_VALUE"""),"VERDADERO")</f>
        <v>VERDADERO</v>
      </c>
    </row>
    <row r="97">
      <c r="A97" s="2">
        <f>IFERROR(__xludf.DUMMYFUNCTION("""COMPUTED_VALUE"""),96.0)</f>
        <v>96</v>
      </c>
      <c r="B97" s="2" t="str">
        <f>IFERROR(__xludf.DUMMYFUNCTION("""COMPUTED_VALUE"""),"Christin Layus")</f>
        <v>Christin Layus</v>
      </c>
      <c r="C97" s="2" t="str">
        <f>IFERROR(__xludf.DUMMYFUNCTION("""COMPUTED_VALUE"""),"clayus2o@discovery.com")</f>
        <v>clayus2o@discovery.com</v>
      </c>
      <c r="D97" s="4">
        <f>IFERROR(__xludf.DUMMYFUNCTION("""COMPUTED_VALUE"""),36.0)</f>
        <v>36</v>
      </c>
      <c r="E97" s="4">
        <f>IFERROR(__xludf.DUMMYFUNCTION("""COMPUTED_VALUE"""),39.0)</f>
        <v>39</v>
      </c>
      <c r="F97" s="4">
        <f>IFERROR(__xludf.DUMMYFUNCTION("""COMPUTED_VALUE"""),11.0)</f>
        <v>11</v>
      </c>
      <c r="G97" s="4">
        <f>IFERROR(__xludf.DUMMYFUNCTION("""COMPUTED_VALUE"""),1311.0)</f>
        <v>1311</v>
      </c>
      <c r="H97" s="5">
        <f>IFERROR(__xludf.DUMMYFUNCTION("""COMPUTED_VALUE"""),1322.36)</f>
        <v>1322.36</v>
      </c>
      <c r="I97" s="5">
        <f>IFERROR(__xludf.DUMMYFUNCTION("""COMPUTED_VALUE"""),4247.73)</f>
        <v>4247.73</v>
      </c>
      <c r="J97" s="5">
        <f>IFERROR(__xludf.DUMMYFUNCTION("""COMPUTED_VALUE"""),3883.24)</f>
        <v>3883.24</v>
      </c>
      <c r="K97" s="5">
        <f>IFERROR(__xludf.DUMMYFUNCTION("""COMPUTED_VALUE"""),3215.29)</f>
        <v>3215.29</v>
      </c>
      <c r="L97" s="4">
        <f>IFERROR(__xludf.DUMMYFUNCTION("""COMPUTED_VALUE"""),17.0)</f>
        <v>17</v>
      </c>
      <c r="M97" s="4">
        <f>IFERROR(__xludf.DUMMYFUNCTION("""COMPUTED_VALUE"""),33.0)</f>
        <v>33</v>
      </c>
      <c r="N97" s="2" t="str">
        <f>IFERROR(__xludf.DUMMYFUNCTION("""COMPUTED_VALUE"""),"FALSO")</f>
        <v>FALSO</v>
      </c>
    </row>
    <row r="98">
      <c r="A98" s="2">
        <f>IFERROR(__xludf.DUMMYFUNCTION("""COMPUTED_VALUE"""),97.0)</f>
        <v>97</v>
      </c>
      <c r="B98" s="2" t="str">
        <f>IFERROR(__xludf.DUMMYFUNCTION("""COMPUTED_VALUE"""),"Florance Stobie")</f>
        <v>Florance Stobie</v>
      </c>
      <c r="C98" s="2" t="str">
        <f>IFERROR(__xludf.DUMMYFUNCTION("""COMPUTED_VALUE"""),"fstobie2p@about.me")</f>
        <v>fstobie2p@about.me</v>
      </c>
      <c r="D98" s="4">
        <f>IFERROR(__xludf.DUMMYFUNCTION("""COMPUTED_VALUE"""),29.0)</f>
        <v>29</v>
      </c>
      <c r="E98" s="4">
        <f>IFERROR(__xludf.DUMMYFUNCTION("""COMPUTED_VALUE"""),81.0)</f>
        <v>81</v>
      </c>
      <c r="F98" s="4">
        <f>IFERROR(__xludf.DUMMYFUNCTION("""COMPUTED_VALUE"""),2.0)</f>
        <v>2</v>
      </c>
      <c r="G98" s="4">
        <f>IFERROR(__xludf.DUMMYFUNCTION("""COMPUTED_VALUE"""),1042.0)</f>
        <v>1042</v>
      </c>
      <c r="H98" s="5">
        <f>IFERROR(__xludf.DUMMYFUNCTION("""COMPUTED_VALUE"""),6228.24)</f>
        <v>6228.24</v>
      </c>
      <c r="I98" s="5">
        <f>IFERROR(__xludf.DUMMYFUNCTION("""COMPUTED_VALUE"""),1042.94)</f>
        <v>1042.94</v>
      </c>
      <c r="J98" s="5">
        <f>IFERROR(__xludf.DUMMYFUNCTION("""COMPUTED_VALUE"""),2986.26)</f>
        <v>2986.26</v>
      </c>
      <c r="K98" s="5">
        <f>IFERROR(__xludf.DUMMYFUNCTION("""COMPUTED_VALUE"""),1681.99)</f>
        <v>1681.99</v>
      </c>
      <c r="L98" s="4">
        <f>IFERROR(__xludf.DUMMYFUNCTION("""COMPUTED_VALUE"""),17.0)</f>
        <v>17</v>
      </c>
      <c r="M98" s="4">
        <f>IFERROR(__xludf.DUMMYFUNCTION("""COMPUTED_VALUE"""),61.0)</f>
        <v>61</v>
      </c>
      <c r="N98" s="2" t="str">
        <f>IFERROR(__xludf.DUMMYFUNCTION("""COMPUTED_VALUE"""),"FALSO")</f>
        <v>FALSO</v>
      </c>
    </row>
    <row r="99">
      <c r="A99" s="2">
        <f>IFERROR(__xludf.DUMMYFUNCTION("""COMPUTED_VALUE"""),98.0)</f>
        <v>98</v>
      </c>
      <c r="B99" s="2" t="str">
        <f>IFERROR(__xludf.DUMMYFUNCTION("""COMPUTED_VALUE"""),"Tybi Lippiett")</f>
        <v>Tybi Lippiett</v>
      </c>
      <c r="C99" s="2" t="str">
        <f>IFERROR(__xludf.DUMMYFUNCTION("""COMPUTED_VALUE"""),"tlippiett2q@furl.net")</f>
        <v>tlippiett2q@furl.net</v>
      </c>
      <c r="D99" s="4">
        <f>IFERROR(__xludf.DUMMYFUNCTION("""COMPUTED_VALUE"""),5.0)</f>
        <v>5</v>
      </c>
      <c r="E99" s="4">
        <f>IFERROR(__xludf.DUMMYFUNCTION("""COMPUTED_VALUE"""),118.0)</f>
        <v>118</v>
      </c>
      <c r="F99" s="4">
        <f>IFERROR(__xludf.DUMMYFUNCTION("""COMPUTED_VALUE"""),9.0)</f>
        <v>9</v>
      </c>
      <c r="G99" s="4">
        <f>IFERROR(__xludf.DUMMYFUNCTION("""COMPUTED_VALUE"""),1340.0)</f>
        <v>1340</v>
      </c>
      <c r="H99" s="5">
        <f>IFERROR(__xludf.DUMMYFUNCTION("""COMPUTED_VALUE"""),467.13)</f>
        <v>467.13</v>
      </c>
      <c r="I99" s="5">
        <f>IFERROR(__xludf.DUMMYFUNCTION("""COMPUTED_VALUE"""),5546.6)</f>
        <v>5546.6</v>
      </c>
      <c r="J99" s="5">
        <f>IFERROR(__xludf.DUMMYFUNCTION("""COMPUTED_VALUE"""),8552.52)</f>
        <v>8552.52</v>
      </c>
      <c r="K99" s="5">
        <f>IFERROR(__xludf.DUMMYFUNCTION("""COMPUTED_VALUE"""),1377.87)</f>
        <v>1377.87</v>
      </c>
      <c r="L99" s="4">
        <f>IFERROR(__xludf.DUMMYFUNCTION("""COMPUTED_VALUE"""),18.0)</f>
        <v>18</v>
      </c>
      <c r="M99" s="4">
        <f>IFERROR(__xludf.DUMMYFUNCTION("""COMPUTED_VALUE"""),53.0)</f>
        <v>53</v>
      </c>
      <c r="N99" s="2" t="str">
        <f>IFERROR(__xludf.DUMMYFUNCTION("""COMPUTED_VALUE"""),"VERDADERO")</f>
        <v>VERDADERO</v>
      </c>
    </row>
    <row r="100">
      <c r="A100" s="2">
        <f>IFERROR(__xludf.DUMMYFUNCTION("""COMPUTED_VALUE"""),99.0)</f>
        <v>99</v>
      </c>
      <c r="B100" s="2" t="str">
        <f>IFERROR(__xludf.DUMMYFUNCTION("""COMPUTED_VALUE"""),"Jarid Fleckness")</f>
        <v>Jarid Fleckness</v>
      </c>
      <c r="C100" s="2" t="str">
        <f>IFERROR(__xludf.DUMMYFUNCTION("""COMPUTED_VALUE"""),"jfleckness2r@sbwire.com")</f>
        <v>jfleckness2r@sbwire.com</v>
      </c>
      <c r="D100" s="4">
        <f>IFERROR(__xludf.DUMMYFUNCTION("""COMPUTED_VALUE"""),43.0)</f>
        <v>43</v>
      </c>
      <c r="E100" s="4">
        <f>IFERROR(__xludf.DUMMYFUNCTION("""COMPUTED_VALUE"""),67.0)</f>
        <v>67</v>
      </c>
      <c r="F100" s="4">
        <f>IFERROR(__xludf.DUMMYFUNCTION("""COMPUTED_VALUE"""),7.0)</f>
        <v>7</v>
      </c>
      <c r="G100" s="4">
        <f>IFERROR(__xludf.DUMMYFUNCTION("""COMPUTED_VALUE"""),271.0)</f>
        <v>271</v>
      </c>
      <c r="H100" s="5">
        <f>IFERROR(__xludf.DUMMYFUNCTION("""COMPUTED_VALUE"""),4591.52)</f>
        <v>4591.52</v>
      </c>
      <c r="I100" s="5">
        <f>IFERROR(__xludf.DUMMYFUNCTION("""COMPUTED_VALUE"""),6019.96)</f>
        <v>6019.96</v>
      </c>
      <c r="J100" s="5">
        <f>IFERROR(__xludf.DUMMYFUNCTION("""COMPUTED_VALUE"""),6263.23)</f>
        <v>6263.23</v>
      </c>
      <c r="K100" s="5">
        <f>IFERROR(__xludf.DUMMYFUNCTION("""COMPUTED_VALUE"""),4913.77)</f>
        <v>4913.77</v>
      </c>
      <c r="L100" s="4">
        <f>IFERROR(__xludf.DUMMYFUNCTION("""COMPUTED_VALUE"""),1.0)</f>
        <v>1</v>
      </c>
      <c r="M100" s="4">
        <f>IFERROR(__xludf.DUMMYFUNCTION("""COMPUTED_VALUE"""),91.0)</f>
        <v>91</v>
      </c>
      <c r="N100" s="2" t="str">
        <f>IFERROR(__xludf.DUMMYFUNCTION("""COMPUTED_VALUE"""),"VERDADERO")</f>
        <v>VERDADERO</v>
      </c>
    </row>
    <row r="101">
      <c r="A101" s="2">
        <f>IFERROR(__xludf.DUMMYFUNCTION("""COMPUTED_VALUE"""),100.0)</f>
        <v>100</v>
      </c>
      <c r="B101" s="2" t="str">
        <f>IFERROR(__xludf.DUMMYFUNCTION("""COMPUTED_VALUE"""),"Judah McClunaghan")</f>
        <v>Judah McClunaghan</v>
      </c>
      <c r="C101" s="2" t="str">
        <f>IFERROR(__xludf.DUMMYFUNCTION("""COMPUTED_VALUE"""),"jmcclunaghan2s@examiner.com")</f>
        <v>jmcclunaghan2s@examiner.com</v>
      </c>
      <c r="D101" s="4">
        <f>IFERROR(__xludf.DUMMYFUNCTION("""COMPUTED_VALUE"""),37.0)</f>
        <v>37</v>
      </c>
      <c r="E101" s="4">
        <f>IFERROR(__xludf.DUMMYFUNCTION("""COMPUTED_VALUE"""),81.0)</f>
        <v>81</v>
      </c>
      <c r="F101" s="4">
        <f>IFERROR(__xludf.DUMMYFUNCTION("""COMPUTED_VALUE"""),2.0)</f>
        <v>2</v>
      </c>
      <c r="G101" s="4">
        <f>IFERROR(__xludf.DUMMYFUNCTION("""COMPUTED_VALUE"""),571.0)</f>
        <v>571</v>
      </c>
      <c r="H101" s="5">
        <f>IFERROR(__xludf.DUMMYFUNCTION("""COMPUTED_VALUE"""),4276.46)</f>
        <v>4276.46</v>
      </c>
      <c r="I101" s="5">
        <f>IFERROR(__xludf.DUMMYFUNCTION("""COMPUTED_VALUE"""),7356.89)</f>
        <v>7356.89</v>
      </c>
      <c r="J101" s="5">
        <f>IFERROR(__xludf.DUMMYFUNCTION("""COMPUTED_VALUE"""),2616.55)</f>
        <v>2616.55</v>
      </c>
      <c r="K101" s="5">
        <f>IFERROR(__xludf.DUMMYFUNCTION("""COMPUTED_VALUE"""),8827.22)</f>
        <v>8827.22</v>
      </c>
      <c r="L101" s="4">
        <f>IFERROR(__xludf.DUMMYFUNCTION("""COMPUTED_VALUE"""),7.0)</f>
        <v>7</v>
      </c>
      <c r="M101" s="4">
        <f>IFERROR(__xludf.DUMMYFUNCTION("""COMPUTED_VALUE"""),9.0)</f>
        <v>9</v>
      </c>
      <c r="N101" s="2" t="str">
        <f>IFERROR(__xludf.DUMMYFUNCTION("""COMPUTED_VALUE"""),"FALSO")</f>
        <v>FALSO</v>
      </c>
    </row>
    <row r="102">
      <c r="A102" s="2">
        <f>IFERROR(__xludf.DUMMYFUNCTION("""COMPUTED_VALUE"""),101.0)</f>
        <v>101</v>
      </c>
      <c r="B102" s="2" t="str">
        <f>IFERROR(__xludf.DUMMYFUNCTION("""COMPUTED_VALUE"""),"Renelle Tamsett")</f>
        <v>Renelle Tamsett</v>
      </c>
      <c r="C102" s="2" t="str">
        <f>IFERROR(__xludf.DUMMYFUNCTION("""COMPUTED_VALUE"""),"rtamsett2t@nsw.gov.au")</f>
        <v>rtamsett2t@nsw.gov.au</v>
      </c>
      <c r="D102" s="4">
        <f>IFERROR(__xludf.DUMMYFUNCTION("""COMPUTED_VALUE"""),29.0)</f>
        <v>29</v>
      </c>
      <c r="E102" s="4">
        <f>IFERROR(__xludf.DUMMYFUNCTION("""COMPUTED_VALUE"""),110.0)</f>
        <v>110</v>
      </c>
      <c r="F102" s="4">
        <f>IFERROR(__xludf.DUMMYFUNCTION("""COMPUTED_VALUE"""),11.0)</f>
        <v>11</v>
      </c>
      <c r="G102" s="4">
        <f>IFERROR(__xludf.DUMMYFUNCTION("""COMPUTED_VALUE"""),1349.0)</f>
        <v>1349</v>
      </c>
      <c r="H102" s="5">
        <f>IFERROR(__xludf.DUMMYFUNCTION("""COMPUTED_VALUE"""),5021.25)</f>
        <v>5021.25</v>
      </c>
      <c r="I102" s="5">
        <f>IFERROR(__xludf.DUMMYFUNCTION("""COMPUTED_VALUE"""),7019.36)</f>
        <v>7019.36</v>
      </c>
      <c r="J102" s="5">
        <f>IFERROR(__xludf.DUMMYFUNCTION("""COMPUTED_VALUE"""),2633.95)</f>
        <v>2633.95</v>
      </c>
      <c r="K102" s="5">
        <f>IFERROR(__xludf.DUMMYFUNCTION("""COMPUTED_VALUE"""),5943.68)</f>
        <v>5943.68</v>
      </c>
      <c r="L102" s="4">
        <f>IFERROR(__xludf.DUMMYFUNCTION("""COMPUTED_VALUE"""),20.0)</f>
        <v>20</v>
      </c>
      <c r="M102" s="4">
        <f>IFERROR(__xludf.DUMMYFUNCTION("""COMPUTED_VALUE"""),73.0)</f>
        <v>73</v>
      </c>
      <c r="N102" s="2" t="str">
        <f>IFERROR(__xludf.DUMMYFUNCTION("""COMPUTED_VALUE"""),"VERDADERO")</f>
        <v>VERDADERO</v>
      </c>
    </row>
    <row r="103">
      <c r="A103" s="2">
        <f>IFERROR(__xludf.DUMMYFUNCTION("""COMPUTED_VALUE"""),102.0)</f>
        <v>102</v>
      </c>
      <c r="B103" s="2" t="str">
        <f>IFERROR(__xludf.DUMMYFUNCTION("""COMPUTED_VALUE"""),"Lonnie Rugge")</f>
        <v>Lonnie Rugge</v>
      </c>
      <c r="C103" s="2" t="str">
        <f>IFERROR(__xludf.DUMMYFUNCTION("""COMPUTED_VALUE"""),"lrugge2u@addthis.com")</f>
        <v>lrugge2u@addthis.com</v>
      </c>
      <c r="D103" s="4">
        <f>IFERROR(__xludf.DUMMYFUNCTION("""COMPUTED_VALUE"""),41.0)</f>
        <v>41</v>
      </c>
      <c r="E103" s="4">
        <f>IFERROR(__xludf.DUMMYFUNCTION("""COMPUTED_VALUE"""),67.0)</f>
        <v>67</v>
      </c>
      <c r="F103" s="4">
        <f>IFERROR(__xludf.DUMMYFUNCTION("""COMPUTED_VALUE"""),7.0)</f>
        <v>7</v>
      </c>
      <c r="G103" s="4">
        <f>IFERROR(__xludf.DUMMYFUNCTION("""COMPUTED_VALUE"""),115.0)</f>
        <v>115</v>
      </c>
      <c r="H103" s="5">
        <f>IFERROR(__xludf.DUMMYFUNCTION("""COMPUTED_VALUE"""),1890.54)</f>
        <v>1890.54</v>
      </c>
      <c r="I103" s="5">
        <f>IFERROR(__xludf.DUMMYFUNCTION("""COMPUTED_VALUE"""),3343.22)</f>
        <v>3343.22</v>
      </c>
      <c r="J103" s="5">
        <f>IFERROR(__xludf.DUMMYFUNCTION("""COMPUTED_VALUE"""),7457.22)</f>
        <v>7457.22</v>
      </c>
      <c r="K103" s="5">
        <f>IFERROR(__xludf.DUMMYFUNCTION("""COMPUTED_VALUE"""),7889.09)</f>
        <v>7889.09</v>
      </c>
      <c r="L103" s="4">
        <f>IFERROR(__xludf.DUMMYFUNCTION("""COMPUTED_VALUE"""),2.0)</f>
        <v>2</v>
      </c>
      <c r="M103" s="4">
        <f>IFERROR(__xludf.DUMMYFUNCTION("""COMPUTED_VALUE"""),10.0)</f>
        <v>10</v>
      </c>
      <c r="N103" s="2" t="str">
        <f>IFERROR(__xludf.DUMMYFUNCTION("""COMPUTED_VALUE"""),"FALSO")</f>
        <v>FALSO</v>
      </c>
    </row>
    <row r="104">
      <c r="A104" s="2">
        <f>IFERROR(__xludf.DUMMYFUNCTION("""COMPUTED_VALUE"""),103.0)</f>
        <v>103</v>
      </c>
      <c r="B104" s="2" t="str">
        <f>IFERROR(__xludf.DUMMYFUNCTION("""COMPUTED_VALUE"""),"Kevon Nazaret")</f>
        <v>Kevon Nazaret</v>
      </c>
      <c r="C104" s="2" t="str">
        <f>IFERROR(__xludf.DUMMYFUNCTION("""COMPUTED_VALUE"""),"knazaret2v@google.ru")</f>
        <v>knazaret2v@google.ru</v>
      </c>
      <c r="D104" s="4">
        <f>IFERROR(__xludf.DUMMYFUNCTION("""COMPUTED_VALUE"""),29.0)</f>
        <v>29</v>
      </c>
      <c r="E104" s="4">
        <f>IFERROR(__xludf.DUMMYFUNCTION("""COMPUTED_VALUE"""),67.0)</f>
        <v>67</v>
      </c>
      <c r="F104" s="4">
        <f>IFERROR(__xludf.DUMMYFUNCTION("""COMPUTED_VALUE"""),7.0)</f>
        <v>7</v>
      </c>
      <c r="G104" s="4">
        <f>IFERROR(__xludf.DUMMYFUNCTION("""COMPUTED_VALUE"""),1450.0)</f>
        <v>1450</v>
      </c>
      <c r="H104" s="5">
        <f>IFERROR(__xludf.DUMMYFUNCTION("""COMPUTED_VALUE"""),8176.64)</f>
        <v>8176.64</v>
      </c>
      <c r="I104" s="5">
        <f>IFERROR(__xludf.DUMMYFUNCTION("""COMPUTED_VALUE"""),6896.49)</f>
        <v>6896.49</v>
      </c>
      <c r="J104" s="5">
        <f>IFERROR(__xludf.DUMMYFUNCTION("""COMPUTED_VALUE"""),4517.84)</f>
        <v>4517.84</v>
      </c>
      <c r="K104" s="5">
        <f>IFERROR(__xludf.DUMMYFUNCTION("""COMPUTED_VALUE"""),7068.37)</f>
        <v>7068.37</v>
      </c>
      <c r="L104" s="4">
        <f>IFERROR(__xludf.DUMMYFUNCTION("""COMPUTED_VALUE"""),4.0)</f>
        <v>4</v>
      </c>
      <c r="M104" s="4">
        <f>IFERROR(__xludf.DUMMYFUNCTION("""COMPUTED_VALUE"""),7.0)</f>
        <v>7</v>
      </c>
      <c r="N104" s="2" t="str">
        <f>IFERROR(__xludf.DUMMYFUNCTION("""COMPUTED_VALUE"""),"VERDADERO")</f>
        <v>VERDADERO</v>
      </c>
    </row>
    <row r="105">
      <c r="A105" s="2">
        <f>IFERROR(__xludf.DUMMYFUNCTION("""COMPUTED_VALUE"""),104.0)</f>
        <v>104</v>
      </c>
      <c r="B105" s="2" t="str">
        <f>IFERROR(__xludf.DUMMYFUNCTION("""COMPUTED_VALUE"""),"Eveline Brumfield")</f>
        <v>Eveline Brumfield</v>
      </c>
      <c r="C105" s="2" t="str">
        <f>IFERROR(__xludf.DUMMYFUNCTION("""COMPUTED_VALUE"""),"ebrumfield2w@nhs.uk")</f>
        <v>ebrumfield2w@nhs.uk</v>
      </c>
      <c r="D105" s="4">
        <f>IFERROR(__xludf.DUMMYFUNCTION("""COMPUTED_VALUE"""),147.0)</f>
        <v>147</v>
      </c>
      <c r="E105" s="4">
        <f>IFERROR(__xludf.DUMMYFUNCTION("""COMPUTED_VALUE"""),64.0)</f>
        <v>64</v>
      </c>
      <c r="F105" s="4">
        <f>IFERROR(__xludf.DUMMYFUNCTION("""COMPUTED_VALUE"""),4.0)</f>
        <v>4</v>
      </c>
      <c r="G105" s="4">
        <f>IFERROR(__xludf.DUMMYFUNCTION("""COMPUTED_VALUE"""),1468.0)</f>
        <v>1468</v>
      </c>
      <c r="H105" s="5">
        <f>IFERROR(__xludf.DUMMYFUNCTION("""COMPUTED_VALUE"""),8122.89)</f>
        <v>8122.89</v>
      </c>
      <c r="I105" s="5">
        <f>IFERROR(__xludf.DUMMYFUNCTION("""COMPUTED_VALUE"""),3503.47)</f>
        <v>3503.47</v>
      </c>
      <c r="J105" s="5">
        <f>IFERROR(__xludf.DUMMYFUNCTION("""COMPUTED_VALUE"""),380.41)</f>
        <v>380.41</v>
      </c>
      <c r="K105" s="5">
        <f>IFERROR(__xludf.DUMMYFUNCTION("""COMPUTED_VALUE"""),2939.84)</f>
        <v>2939.84</v>
      </c>
      <c r="L105" s="4">
        <f>IFERROR(__xludf.DUMMYFUNCTION("""COMPUTED_VALUE"""),9.0)</f>
        <v>9</v>
      </c>
      <c r="M105" s="4">
        <f>IFERROR(__xludf.DUMMYFUNCTION("""COMPUTED_VALUE"""),45.0)</f>
        <v>45</v>
      </c>
      <c r="N105" s="2" t="str">
        <f>IFERROR(__xludf.DUMMYFUNCTION("""COMPUTED_VALUE"""),"FALSO")</f>
        <v>FALSO</v>
      </c>
    </row>
    <row r="106">
      <c r="A106" s="2">
        <f>IFERROR(__xludf.DUMMYFUNCTION("""COMPUTED_VALUE"""),105.0)</f>
        <v>105</v>
      </c>
      <c r="B106" s="2" t="str">
        <f>IFERROR(__xludf.DUMMYFUNCTION("""COMPUTED_VALUE"""),"Dani Allridge")</f>
        <v>Dani Allridge</v>
      </c>
      <c r="C106" s="2" t="str">
        <f>IFERROR(__xludf.DUMMYFUNCTION("""COMPUTED_VALUE"""),"dallridge2x@shareasale.com")</f>
        <v>dallridge2x@shareasale.com</v>
      </c>
      <c r="D106" s="4">
        <f>IFERROR(__xludf.DUMMYFUNCTION("""COMPUTED_VALUE"""),137.0)</f>
        <v>137</v>
      </c>
      <c r="E106" s="4">
        <f>IFERROR(__xludf.DUMMYFUNCTION("""COMPUTED_VALUE"""),81.0)</f>
        <v>81</v>
      </c>
      <c r="F106" s="4">
        <f>IFERROR(__xludf.DUMMYFUNCTION("""COMPUTED_VALUE"""),2.0)</f>
        <v>2</v>
      </c>
      <c r="G106" s="4">
        <f>IFERROR(__xludf.DUMMYFUNCTION("""COMPUTED_VALUE"""),790.0)</f>
        <v>790</v>
      </c>
      <c r="H106" s="5">
        <f>IFERROR(__xludf.DUMMYFUNCTION("""COMPUTED_VALUE"""),7517.86)</f>
        <v>7517.86</v>
      </c>
      <c r="I106" s="5">
        <f>IFERROR(__xludf.DUMMYFUNCTION("""COMPUTED_VALUE"""),142.92)</f>
        <v>142.92</v>
      </c>
      <c r="J106" s="5">
        <f>IFERROR(__xludf.DUMMYFUNCTION("""COMPUTED_VALUE"""),3650.16)</f>
        <v>3650.16</v>
      </c>
      <c r="K106" s="5">
        <f>IFERROR(__xludf.DUMMYFUNCTION("""COMPUTED_VALUE"""),5742.67)</f>
        <v>5742.67</v>
      </c>
      <c r="L106" s="4">
        <f>IFERROR(__xludf.DUMMYFUNCTION("""COMPUTED_VALUE"""),7.0)</f>
        <v>7</v>
      </c>
      <c r="M106" s="4">
        <f>IFERROR(__xludf.DUMMYFUNCTION("""COMPUTED_VALUE"""),5.0)</f>
        <v>5</v>
      </c>
      <c r="N106" s="2" t="str">
        <f>IFERROR(__xludf.DUMMYFUNCTION("""COMPUTED_VALUE"""),"FALSO")</f>
        <v>FALSO</v>
      </c>
    </row>
    <row r="107">
      <c r="A107" s="2">
        <f>IFERROR(__xludf.DUMMYFUNCTION("""COMPUTED_VALUE"""),106.0)</f>
        <v>106</v>
      </c>
      <c r="B107" s="2" t="str">
        <f>IFERROR(__xludf.DUMMYFUNCTION("""COMPUTED_VALUE"""),"Jamie Minchinden")</f>
        <v>Jamie Minchinden</v>
      </c>
      <c r="C107" s="2" t="str">
        <f>IFERROR(__xludf.DUMMYFUNCTION("""COMPUTED_VALUE"""),"jminchinden2y@webs.com")</f>
        <v>jminchinden2y@webs.com</v>
      </c>
      <c r="D107" s="4">
        <f>IFERROR(__xludf.DUMMYFUNCTION("""COMPUTED_VALUE"""),120.0)</f>
        <v>120</v>
      </c>
      <c r="E107" s="4">
        <f>IFERROR(__xludf.DUMMYFUNCTION("""COMPUTED_VALUE"""),63.0)</f>
        <v>63</v>
      </c>
      <c r="F107" s="4">
        <f>IFERROR(__xludf.DUMMYFUNCTION("""COMPUTED_VALUE"""),4.0)</f>
        <v>4</v>
      </c>
      <c r="G107" s="4">
        <f>IFERROR(__xludf.DUMMYFUNCTION("""COMPUTED_VALUE"""),29.0)</f>
        <v>29</v>
      </c>
      <c r="H107" s="5">
        <f>IFERROR(__xludf.DUMMYFUNCTION("""COMPUTED_VALUE"""),5937.46)</f>
        <v>5937.46</v>
      </c>
      <c r="I107" s="5">
        <f>IFERROR(__xludf.DUMMYFUNCTION("""COMPUTED_VALUE"""),3721.15)</f>
        <v>3721.15</v>
      </c>
      <c r="J107" s="5">
        <f>IFERROR(__xludf.DUMMYFUNCTION("""COMPUTED_VALUE"""),5599.52)</f>
        <v>5599.52</v>
      </c>
      <c r="K107" s="5">
        <f>IFERROR(__xludf.DUMMYFUNCTION("""COMPUTED_VALUE"""),2473.42)</f>
        <v>2473.42</v>
      </c>
      <c r="L107" s="4">
        <f>IFERROR(__xludf.DUMMYFUNCTION("""COMPUTED_VALUE"""),4.0)</f>
        <v>4</v>
      </c>
      <c r="M107" s="4">
        <f>IFERROR(__xludf.DUMMYFUNCTION("""COMPUTED_VALUE"""),51.0)</f>
        <v>51</v>
      </c>
      <c r="N107" s="2" t="str">
        <f>IFERROR(__xludf.DUMMYFUNCTION("""COMPUTED_VALUE"""),"VERDADERO")</f>
        <v>VERDADERO</v>
      </c>
    </row>
    <row r="108">
      <c r="A108" s="2">
        <f>IFERROR(__xludf.DUMMYFUNCTION("""COMPUTED_VALUE"""),107.0)</f>
        <v>107</v>
      </c>
      <c r="B108" s="2" t="str">
        <f>IFERROR(__xludf.DUMMYFUNCTION("""COMPUTED_VALUE"""),"Zacharie Luparti")</f>
        <v>Zacharie Luparti</v>
      </c>
      <c r="C108" s="2" t="str">
        <f>IFERROR(__xludf.DUMMYFUNCTION("""COMPUTED_VALUE"""),"zluparti2z@illinois.edu")</f>
        <v>zluparti2z@illinois.edu</v>
      </c>
      <c r="D108" s="4">
        <f>IFERROR(__xludf.DUMMYFUNCTION("""COMPUTED_VALUE"""),139.0)</f>
        <v>139</v>
      </c>
      <c r="E108" s="4">
        <f>IFERROR(__xludf.DUMMYFUNCTION("""COMPUTED_VALUE"""),85.0)</f>
        <v>85</v>
      </c>
      <c r="F108" s="4">
        <f>IFERROR(__xludf.DUMMYFUNCTION("""COMPUTED_VALUE"""),3.0)</f>
        <v>3</v>
      </c>
      <c r="G108" s="4">
        <f>IFERROR(__xludf.DUMMYFUNCTION("""COMPUTED_VALUE"""),1225.0)</f>
        <v>1225</v>
      </c>
      <c r="H108" s="5">
        <f>IFERROR(__xludf.DUMMYFUNCTION("""COMPUTED_VALUE"""),8348.14)</f>
        <v>8348.14</v>
      </c>
      <c r="I108" s="5">
        <f>IFERROR(__xludf.DUMMYFUNCTION("""COMPUTED_VALUE"""),6149.53)</f>
        <v>6149.53</v>
      </c>
      <c r="J108" s="5">
        <f>IFERROR(__xludf.DUMMYFUNCTION("""COMPUTED_VALUE"""),5400.78)</f>
        <v>5400.78</v>
      </c>
      <c r="K108" s="5">
        <f>IFERROR(__xludf.DUMMYFUNCTION("""COMPUTED_VALUE"""),7557.6)</f>
        <v>7557.6</v>
      </c>
      <c r="L108" s="4">
        <f>IFERROR(__xludf.DUMMYFUNCTION("""COMPUTED_VALUE"""),1.0)</f>
        <v>1</v>
      </c>
      <c r="M108" s="4">
        <f>IFERROR(__xludf.DUMMYFUNCTION("""COMPUTED_VALUE"""),74.0)</f>
        <v>74</v>
      </c>
      <c r="N108" s="2" t="str">
        <f>IFERROR(__xludf.DUMMYFUNCTION("""COMPUTED_VALUE"""),"VERDADERO")</f>
        <v>VERDADERO</v>
      </c>
    </row>
    <row r="109">
      <c r="A109" s="2">
        <f>IFERROR(__xludf.DUMMYFUNCTION("""COMPUTED_VALUE"""),108.0)</f>
        <v>108</v>
      </c>
      <c r="B109" s="2" t="str">
        <f>IFERROR(__xludf.DUMMYFUNCTION("""COMPUTED_VALUE"""),"Nerty Millbank")</f>
        <v>Nerty Millbank</v>
      </c>
      <c r="C109" s="2" t="str">
        <f>IFERROR(__xludf.DUMMYFUNCTION("""COMPUTED_VALUE"""),"nmillbank30@diigo.com")</f>
        <v>nmillbank30@diigo.com</v>
      </c>
      <c r="D109" s="4">
        <f>IFERROR(__xludf.DUMMYFUNCTION("""COMPUTED_VALUE"""),65.0)</f>
        <v>65</v>
      </c>
      <c r="E109" s="4">
        <f>IFERROR(__xludf.DUMMYFUNCTION("""COMPUTED_VALUE"""),47.0)</f>
        <v>47</v>
      </c>
      <c r="F109" s="4">
        <f>IFERROR(__xludf.DUMMYFUNCTION("""COMPUTED_VALUE"""),4.0)</f>
        <v>4</v>
      </c>
      <c r="G109" s="4">
        <f>IFERROR(__xludf.DUMMYFUNCTION("""COMPUTED_VALUE"""),546.0)</f>
        <v>546</v>
      </c>
      <c r="H109" s="5">
        <f>IFERROR(__xludf.DUMMYFUNCTION("""COMPUTED_VALUE"""),5297.59)</f>
        <v>5297.59</v>
      </c>
      <c r="I109" s="5">
        <f>IFERROR(__xludf.DUMMYFUNCTION("""COMPUTED_VALUE"""),4748.38)</f>
        <v>4748.38</v>
      </c>
      <c r="J109" s="5">
        <f>IFERROR(__xludf.DUMMYFUNCTION("""COMPUTED_VALUE"""),5030.84)</f>
        <v>5030.84</v>
      </c>
      <c r="K109" s="5">
        <f>IFERROR(__xludf.DUMMYFUNCTION("""COMPUTED_VALUE"""),510.53)</f>
        <v>510.53</v>
      </c>
      <c r="L109" s="4">
        <f>IFERROR(__xludf.DUMMYFUNCTION("""COMPUTED_VALUE"""),8.0)</f>
        <v>8</v>
      </c>
      <c r="M109" s="4">
        <f>IFERROR(__xludf.DUMMYFUNCTION("""COMPUTED_VALUE"""),93.0)</f>
        <v>93</v>
      </c>
      <c r="N109" s="2" t="str">
        <f>IFERROR(__xludf.DUMMYFUNCTION("""COMPUTED_VALUE"""),"FALSO")</f>
        <v>FALSO</v>
      </c>
    </row>
    <row r="110">
      <c r="A110" s="2">
        <f>IFERROR(__xludf.DUMMYFUNCTION("""COMPUTED_VALUE"""),109.0)</f>
        <v>109</v>
      </c>
      <c r="B110" s="2" t="str">
        <f>IFERROR(__xludf.DUMMYFUNCTION("""COMPUTED_VALUE"""),"Tate Treweela")</f>
        <v>Tate Treweela</v>
      </c>
      <c r="C110" s="2" t="str">
        <f>IFERROR(__xludf.DUMMYFUNCTION("""COMPUTED_VALUE"""),"ttreweela31@youtube.com")</f>
        <v>ttreweela31@youtube.com</v>
      </c>
      <c r="D110" s="4">
        <f>IFERROR(__xludf.DUMMYFUNCTION("""COMPUTED_VALUE"""),124.0)</f>
        <v>124</v>
      </c>
      <c r="E110" s="4">
        <f>IFERROR(__xludf.DUMMYFUNCTION("""COMPUTED_VALUE"""),40.0)</f>
        <v>40</v>
      </c>
      <c r="F110" s="4">
        <f>IFERROR(__xludf.DUMMYFUNCTION("""COMPUTED_VALUE"""),1.0)</f>
        <v>1</v>
      </c>
      <c r="G110" s="4">
        <f>IFERROR(__xludf.DUMMYFUNCTION("""COMPUTED_VALUE"""),454.0)</f>
        <v>454</v>
      </c>
      <c r="H110" s="5">
        <f>IFERROR(__xludf.DUMMYFUNCTION("""COMPUTED_VALUE"""),312.78)</f>
        <v>312.78</v>
      </c>
      <c r="I110" s="5">
        <f>IFERROR(__xludf.DUMMYFUNCTION("""COMPUTED_VALUE"""),2622.03)</f>
        <v>2622.03</v>
      </c>
      <c r="J110" s="5">
        <f>IFERROR(__xludf.DUMMYFUNCTION("""COMPUTED_VALUE"""),6617.05)</f>
        <v>6617.05</v>
      </c>
      <c r="K110" s="5">
        <f>IFERROR(__xludf.DUMMYFUNCTION("""COMPUTED_VALUE"""),3076.78)</f>
        <v>3076.78</v>
      </c>
      <c r="L110" s="4">
        <f>IFERROR(__xludf.DUMMYFUNCTION("""COMPUTED_VALUE"""),9.0)</f>
        <v>9</v>
      </c>
      <c r="M110" s="4">
        <f>IFERROR(__xludf.DUMMYFUNCTION("""COMPUTED_VALUE"""),75.0)</f>
        <v>75</v>
      </c>
      <c r="N110" s="2" t="str">
        <f>IFERROR(__xludf.DUMMYFUNCTION("""COMPUTED_VALUE"""),"VERDADERO")</f>
        <v>VERDADERO</v>
      </c>
    </row>
    <row r="111">
      <c r="A111" s="2">
        <f>IFERROR(__xludf.DUMMYFUNCTION("""COMPUTED_VALUE"""),110.0)</f>
        <v>110</v>
      </c>
      <c r="B111" s="2" t="str">
        <f>IFERROR(__xludf.DUMMYFUNCTION("""COMPUTED_VALUE"""),"Kass Whopples")</f>
        <v>Kass Whopples</v>
      </c>
      <c r="C111" s="2" t="str">
        <f>IFERROR(__xludf.DUMMYFUNCTION("""COMPUTED_VALUE"""),"kwhopples32@digg.com")</f>
        <v>kwhopples32@digg.com</v>
      </c>
      <c r="D111" s="4">
        <f>IFERROR(__xludf.DUMMYFUNCTION("""COMPUTED_VALUE"""),132.0)</f>
        <v>132</v>
      </c>
      <c r="E111" s="4">
        <f>IFERROR(__xludf.DUMMYFUNCTION("""COMPUTED_VALUE"""),37.0)</f>
        <v>37</v>
      </c>
      <c r="F111" s="4">
        <f>IFERROR(__xludf.DUMMYFUNCTION("""COMPUTED_VALUE"""),11.0)</f>
        <v>11</v>
      </c>
      <c r="G111" s="4">
        <f>IFERROR(__xludf.DUMMYFUNCTION("""COMPUTED_VALUE"""),834.0)</f>
        <v>834</v>
      </c>
      <c r="H111" s="5">
        <f>IFERROR(__xludf.DUMMYFUNCTION("""COMPUTED_VALUE"""),9064.72)</f>
        <v>9064.72</v>
      </c>
      <c r="I111" s="5">
        <f>IFERROR(__xludf.DUMMYFUNCTION("""COMPUTED_VALUE"""),2503.98)</f>
        <v>2503.98</v>
      </c>
      <c r="J111" s="5">
        <f>IFERROR(__xludf.DUMMYFUNCTION("""COMPUTED_VALUE"""),5977.41)</f>
        <v>5977.41</v>
      </c>
      <c r="K111" s="5">
        <f>IFERROR(__xludf.DUMMYFUNCTION("""COMPUTED_VALUE"""),4758.35)</f>
        <v>4758.35</v>
      </c>
      <c r="L111" s="4">
        <f>IFERROR(__xludf.DUMMYFUNCTION("""COMPUTED_VALUE"""),14.0)</f>
        <v>14</v>
      </c>
      <c r="M111" s="4">
        <f>IFERROR(__xludf.DUMMYFUNCTION("""COMPUTED_VALUE"""),65.0)</f>
        <v>65</v>
      </c>
      <c r="N111" s="2" t="str">
        <f>IFERROR(__xludf.DUMMYFUNCTION("""COMPUTED_VALUE"""),"VERDADERO")</f>
        <v>VERDADERO</v>
      </c>
    </row>
    <row r="112">
      <c r="A112" s="2">
        <f>IFERROR(__xludf.DUMMYFUNCTION("""COMPUTED_VALUE"""),111.0)</f>
        <v>111</v>
      </c>
      <c r="B112" s="2" t="str">
        <f>IFERROR(__xludf.DUMMYFUNCTION("""COMPUTED_VALUE"""),"Xylia Mounce")</f>
        <v>Xylia Mounce</v>
      </c>
      <c r="C112" s="2" t="str">
        <f>IFERROR(__xludf.DUMMYFUNCTION("""COMPUTED_VALUE"""),"xmounce33@mysql.com")</f>
        <v>xmounce33@mysql.com</v>
      </c>
      <c r="D112" s="4">
        <f>IFERROR(__xludf.DUMMYFUNCTION("""COMPUTED_VALUE"""),115.0)</f>
        <v>115</v>
      </c>
      <c r="E112" s="4">
        <f>IFERROR(__xludf.DUMMYFUNCTION("""COMPUTED_VALUE"""),41.0)</f>
        <v>41</v>
      </c>
      <c r="F112" s="4">
        <f>IFERROR(__xludf.DUMMYFUNCTION("""COMPUTED_VALUE"""),8.0)</f>
        <v>8</v>
      </c>
      <c r="G112" s="4">
        <f>IFERROR(__xludf.DUMMYFUNCTION("""COMPUTED_VALUE"""),57.0)</f>
        <v>57</v>
      </c>
      <c r="H112" s="5">
        <f>IFERROR(__xludf.DUMMYFUNCTION("""COMPUTED_VALUE"""),5387.81)</f>
        <v>5387.81</v>
      </c>
      <c r="I112" s="5">
        <f>IFERROR(__xludf.DUMMYFUNCTION("""COMPUTED_VALUE"""),5224.13)</f>
        <v>5224.13</v>
      </c>
      <c r="J112" s="5">
        <f>IFERROR(__xludf.DUMMYFUNCTION("""COMPUTED_VALUE"""),2426.77)</f>
        <v>2426.77</v>
      </c>
      <c r="K112" s="5">
        <f>IFERROR(__xludf.DUMMYFUNCTION("""COMPUTED_VALUE"""),6886.48)</f>
        <v>6886.48</v>
      </c>
      <c r="L112" s="4">
        <f>IFERROR(__xludf.DUMMYFUNCTION("""COMPUTED_VALUE"""),5.0)</f>
        <v>5</v>
      </c>
      <c r="M112" s="4">
        <f>IFERROR(__xludf.DUMMYFUNCTION("""COMPUTED_VALUE"""),84.0)</f>
        <v>84</v>
      </c>
      <c r="N112" s="2" t="str">
        <f>IFERROR(__xludf.DUMMYFUNCTION("""COMPUTED_VALUE"""),"VERDADERO")</f>
        <v>VERDADERO</v>
      </c>
    </row>
    <row r="113">
      <c r="A113" s="2">
        <f>IFERROR(__xludf.DUMMYFUNCTION("""COMPUTED_VALUE"""),112.0)</f>
        <v>112</v>
      </c>
      <c r="B113" s="2" t="str">
        <f>IFERROR(__xludf.DUMMYFUNCTION("""COMPUTED_VALUE"""),"Catha Thorp")</f>
        <v>Catha Thorp</v>
      </c>
      <c r="C113" s="2" t="str">
        <f>IFERROR(__xludf.DUMMYFUNCTION("""COMPUTED_VALUE"""),"cthorp34@newyorker.com")</f>
        <v>cthorp34@newyorker.com</v>
      </c>
      <c r="D113" s="4">
        <f>IFERROR(__xludf.DUMMYFUNCTION("""COMPUTED_VALUE"""),120.0)</f>
        <v>120</v>
      </c>
      <c r="E113" s="4">
        <f>IFERROR(__xludf.DUMMYFUNCTION("""COMPUTED_VALUE"""),6.0)</f>
        <v>6</v>
      </c>
      <c r="F113" s="4">
        <f>IFERROR(__xludf.DUMMYFUNCTION("""COMPUTED_VALUE"""),13.0)</f>
        <v>13</v>
      </c>
      <c r="G113" s="4">
        <f>IFERROR(__xludf.DUMMYFUNCTION("""COMPUTED_VALUE"""),1184.0)</f>
        <v>1184</v>
      </c>
      <c r="H113" s="5">
        <f>IFERROR(__xludf.DUMMYFUNCTION("""COMPUTED_VALUE"""),9661.83)</f>
        <v>9661.83</v>
      </c>
      <c r="I113" s="5">
        <f>IFERROR(__xludf.DUMMYFUNCTION("""COMPUTED_VALUE"""),7320.31)</f>
        <v>7320.31</v>
      </c>
      <c r="J113" s="5">
        <f>IFERROR(__xludf.DUMMYFUNCTION("""COMPUTED_VALUE"""),5729.56)</f>
        <v>5729.56</v>
      </c>
      <c r="K113" s="5">
        <f>IFERROR(__xludf.DUMMYFUNCTION("""COMPUTED_VALUE"""),1726.82)</f>
        <v>1726.82</v>
      </c>
      <c r="L113" s="4">
        <f>IFERROR(__xludf.DUMMYFUNCTION("""COMPUTED_VALUE"""),10.0)</f>
        <v>10</v>
      </c>
      <c r="M113" s="4">
        <f>IFERROR(__xludf.DUMMYFUNCTION("""COMPUTED_VALUE"""),96.0)</f>
        <v>96</v>
      </c>
      <c r="N113" s="2" t="str">
        <f>IFERROR(__xludf.DUMMYFUNCTION("""COMPUTED_VALUE"""),"FALSO")</f>
        <v>FALSO</v>
      </c>
    </row>
    <row r="114">
      <c r="A114" s="2">
        <f>IFERROR(__xludf.DUMMYFUNCTION("""COMPUTED_VALUE"""),113.0)</f>
        <v>113</v>
      </c>
      <c r="B114" s="2" t="str">
        <f>IFERROR(__xludf.DUMMYFUNCTION("""COMPUTED_VALUE"""),"Ashla Carette")</f>
        <v>Ashla Carette</v>
      </c>
      <c r="C114" s="2" t="str">
        <f>IFERROR(__xludf.DUMMYFUNCTION("""COMPUTED_VALUE"""),"acarette35@networksolutions.com")</f>
        <v>acarette35@networksolutions.com</v>
      </c>
      <c r="D114" s="4">
        <f>IFERROR(__xludf.DUMMYFUNCTION("""COMPUTED_VALUE"""),157.0)</f>
        <v>157</v>
      </c>
      <c r="E114" s="4">
        <f>IFERROR(__xludf.DUMMYFUNCTION("""COMPUTED_VALUE"""),107.0)</f>
        <v>107</v>
      </c>
      <c r="F114" s="4">
        <f>IFERROR(__xludf.DUMMYFUNCTION("""COMPUTED_VALUE"""),5.0)</f>
        <v>5</v>
      </c>
      <c r="G114" s="4">
        <f>IFERROR(__xludf.DUMMYFUNCTION("""COMPUTED_VALUE"""),931.0)</f>
        <v>931</v>
      </c>
      <c r="H114" s="5">
        <f>IFERROR(__xludf.DUMMYFUNCTION("""COMPUTED_VALUE"""),8658.48)</f>
        <v>8658.48</v>
      </c>
      <c r="I114" s="5">
        <f>IFERROR(__xludf.DUMMYFUNCTION("""COMPUTED_VALUE"""),2547.66)</f>
        <v>2547.66</v>
      </c>
      <c r="J114" s="5">
        <f>IFERROR(__xludf.DUMMYFUNCTION("""COMPUTED_VALUE"""),4906.39)</f>
        <v>4906.39</v>
      </c>
      <c r="K114" s="5">
        <f>IFERROR(__xludf.DUMMYFUNCTION("""COMPUTED_VALUE"""),6298.01)</f>
        <v>6298.01</v>
      </c>
      <c r="L114" s="4">
        <f>IFERROR(__xludf.DUMMYFUNCTION("""COMPUTED_VALUE"""),11.0)</f>
        <v>11</v>
      </c>
      <c r="M114" s="4">
        <f>IFERROR(__xludf.DUMMYFUNCTION("""COMPUTED_VALUE"""),76.0)</f>
        <v>76</v>
      </c>
      <c r="N114" s="2" t="str">
        <f>IFERROR(__xludf.DUMMYFUNCTION("""COMPUTED_VALUE"""),"FALSO")</f>
        <v>FALSO</v>
      </c>
    </row>
    <row r="115">
      <c r="A115" s="2">
        <f>IFERROR(__xludf.DUMMYFUNCTION("""COMPUTED_VALUE"""),114.0)</f>
        <v>114</v>
      </c>
      <c r="B115" s="2" t="str">
        <f>IFERROR(__xludf.DUMMYFUNCTION("""COMPUTED_VALUE"""),"Ali Humerstone")</f>
        <v>Ali Humerstone</v>
      </c>
      <c r="C115" s="2" t="str">
        <f>IFERROR(__xludf.DUMMYFUNCTION("""COMPUTED_VALUE"""),"ahumerstone36@slashdot.org")</f>
        <v>ahumerstone36@slashdot.org</v>
      </c>
      <c r="D115" s="4">
        <f>IFERROR(__xludf.DUMMYFUNCTION("""COMPUTED_VALUE"""),122.0)</f>
        <v>122</v>
      </c>
      <c r="E115" s="4">
        <f>IFERROR(__xludf.DUMMYFUNCTION("""COMPUTED_VALUE"""),109.0)</f>
        <v>109</v>
      </c>
      <c r="F115" s="4">
        <f>IFERROR(__xludf.DUMMYFUNCTION("""COMPUTED_VALUE"""),5.0)</f>
        <v>5</v>
      </c>
      <c r="G115" s="4">
        <f>IFERROR(__xludf.DUMMYFUNCTION("""COMPUTED_VALUE"""),1240.0)</f>
        <v>1240</v>
      </c>
      <c r="H115" s="5">
        <f>IFERROR(__xludf.DUMMYFUNCTION("""COMPUTED_VALUE"""),1690.78)</f>
        <v>1690.78</v>
      </c>
      <c r="I115" s="5">
        <f>IFERROR(__xludf.DUMMYFUNCTION("""COMPUTED_VALUE"""),2556.74)</f>
        <v>2556.74</v>
      </c>
      <c r="J115" s="5">
        <f>IFERROR(__xludf.DUMMYFUNCTION("""COMPUTED_VALUE"""),6450.85)</f>
        <v>6450.85</v>
      </c>
      <c r="K115" s="5">
        <f>IFERROR(__xludf.DUMMYFUNCTION("""COMPUTED_VALUE"""),3652.95)</f>
        <v>3652.95</v>
      </c>
      <c r="L115" s="4">
        <f>IFERROR(__xludf.DUMMYFUNCTION("""COMPUTED_VALUE"""),12.0)</f>
        <v>12</v>
      </c>
      <c r="M115" s="4">
        <f>IFERROR(__xludf.DUMMYFUNCTION("""COMPUTED_VALUE"""),83.0)</f>
        <v>83</v>
      </c>
      <c r="N115" s="2" t="str">
        <f>IFERROR(__xludf.DUMMYFUNCTION("""COMPUTED_VALUE"""),"FALSO")</f>
        <v>FALSO</v>
      </c>
    </row>
    <row r="116">
      <c r="A116" s="2">
        <f>IFERROR(__xludf.DUMMYFUNCTION("""COMPUTED_VALUE"""),115.0)</f>
        <v>115</v>
      </c>
      <c r="B116" s="2" t="str">
        <f>IFERROR(__xludf.DUMMYFUNCTION("""COMPUTED_VALUE"""),"Adrian Gittins")</f>
        <v>Adrian Gittins</v>
      </c>
      <c r="C116" s="2" t="str">
        <f>IFERROR(__xludf.DUMMYFUNCTION("""COMPUTED_VALUE"""),"agittins37@cocolog-nifty.com")</f>
        <v>agittins37@cocolog-nifty.com</v>
      </c>
      <c r="D116" s="4">
        <f>IFERROR(__xludf.DUMMYFUNCTION("""COMPUTED_VALUE"""),122.0)</f>
        <v>122</v>
      </c>
      <c r="E116" s="4">
        <f>IFERROR(__xludf.DUMMYFUNCTION("""COMPUTED_VALUE"""),64.0)</f>
        <v>64</v>
      </c>
      <c r="F116" s="4">
        <f>IFERROR(__xludf.DUMMYFUNCTION("""COMPUTED_VALUE"""),4.0)</f>
        <v>4</v>
      </c>
      <c r="G116" s="4">
        <f>IFERROR(__xludf.DUMMYFUNCTION("""COMPUTED_VALUE"""),334.0)</f>
        <v>334</v>
      </c>
      <c r="H116" s="5">
        <f>IFERROR(__xludf.DUMMYFUNCTION("""COMPUTED_VALUE"""),1375.9)</f>
        <v>1375.9</v>
      </c>
      <c r="I116" s="5">
        <f>IFERROR(__xludf.DUMMYFUNCTION("""COMPUTED_VALUE"""),4525.12)</f>
        <v>4525.12</v>
      </c>
      <c r="J116" s="5">
        <f>IFERROR(__xludf.DUMMYFUNCTION("""COMPUTED_VALUE"""),4240.14)</f>
        <v>4240.14</v>
      </c>
      <c r="K116" s="5">
        <f>IFERROR(__xludf.DUMMYFUNCTION("""COMPUTED_VALUE"""),2550.35)</f>
        <v>2550.35</v>
      </c>
      <c r="L116" s="4">
        <f>IFERROR(__xludf.DUMMYFUNCTION("""COMPUTED_VALUE"""),10.0)</f>
        <v>10</v>
      </c>
      <c r="M116" s="4">
        <f>IFERROR(__xludf.DUMMYFUNCTION("""COMPUTED_VALUE"""),1.0)</f>
        <v>1</v>
      </c>
      <c r="N116" s="2" t="str">
        <f>IFERROR(__xludf.DUMMYFUNCTION("""COMPUTED_VALUE"""),"FALSO")</f>
        <v>FALSO</v>
      </c>
    </row>
    <row r="117">
      <c r="A117" s="2">
        <f>IFERROR(__xludf.DUMMYFUNCTION("""COMPUTED_VALUE"""),116.0)</f>
        <v>116</v>
      </c>
      <c r="B117" s="2" t="str">
        <f>IFERROR(__xludf.DUMMYFUNCTION("""COMPUTED_VALUE"""),"Candace Maton")</f>
        <v>Candace Maton</v>
      </c>
      <c r="C117" s="2" t="str">
        <f>IFERROR(__xludf.DUMMYFUNCTION("""COMPUTED_VALUE"""),"cmaton38@hubpages.com")</f>
        <v>cmaton38@hubpages.com</v>
      </c>
      <c r="D117" s="4">
        <f>IFERROR(__xludf.DUMMYFUNCTION("""COMPUTED_VALUE"""),17.0)</f>
        <v>17</v>
      </c>
      <c r="E117" s="4">
        <f>IFERROR(__xludf.DUMMYFUNCTION("""COMPUTED_VALUE"""),81.0)</f>
        <v>81</v>
      </c>
      <c r="F117" s="4">
        <f>IFERROR(__xludf.DUMMYFUNCTION("""COMPUTED_VALUE"""),2.0)</f>
        <v>2</v>
      </c>
      <c r="G117" s="4">
        <f>IFERROR(__xludf.DUMMYFUNCTION("""COMPUTED_VALUE"""),106.0)</f>
        <v>106</v>
      </c>
      <c r="H117" s="5">
        <f>IFERROR(__xludf.DUMMYFUNCTION("""COMPUTED_VALUE"""),260.43)</f>
        <v>260.43</v>
      </c>
      <c r="I117" s="5">
        <f>IFERROR(__xludf.DUMMYFUNCTION("""COMPUTED_VALUE"""),3718.63)</f>
        <v>3718.63</v>
      </c>
      <c r="J117" s="5">
        <f>IFERROR(__xludf.DUMMYFUNCTION("""COMPUTED_VALUE"""),8465.93)</f>
        <v>8465.93</v>
      </c>
      <c r="K117" s="5">
        <f>IFERROR(__xludf.DUMMYFUNCTION("""COMPUTED_VALUE"""),5661.14)</f>
        <v>5661.14</v>
      </c>
      <c r="L117" s="4">
        <f>IFERROR(__xludf.DUMMYFUNCTION("""COMPUTED_VALUE"""),16.0)</f>
        <v>16</v>
      </c>
      <c r="M117" s="4">
        <f>IFERROR(__xludf.DUMMYFUNCTION("""COMPUTED_VALUE"""),68.0)</f>
        <v>68</v>
      </c>
      <c r="N117" s="2" t="str">
        <f>IFERROR(__xludf.DUMMYFUNCTION("""COMPUTED_VALUE"""),"VERDADERO")</f>
        <v>VERDADERO</v>
      </c>
    </row>
    <row r="118">
      <c r="A118" s="2">
        <f>IFERROR(__xludf.DUMMYFUNCTION("""COMPUTED_VALUE"""),117.0)</f>
        <v>117</v>
      </c>
      <c r="B118" s="2" t="str">
        <f>IFERROR(__xludf.DUMMYFUNCTION("""COMPUTED_VALUE"""),"Franz Bicksteth")</f>
        <v>Franz Bicksteth</v>
      </c>
      <c r="C118" s="2" t="str">
        <f>IFERROR(__xludf.DUMMYFUNCTION("""COMPUTED_VALUE"""),"fbicksteth39@bloglines.com")</f>
        <v>fbicksteth39@bloglines.com</v>
      </c>
      <c r="D118" s="4">
        <f>IFERROR(__xludf.DUMMYFUNCTION("""COMPUTED_VALUE"""),49.0)</f>
        <v>49</v>
      </c>
      <c r="E118" s="4">
        <f>IFERROR(__xludf.DUMMYFUNCTION("""COMPUTED_VALUE"""),58.0)</f>
        <v>58</v>
      </c>
      <c r="F118" s="4">
        <f>IFERROR(__xludf.DUMMYFUNCTION("""COMPUTED_VALUE"""),3.0)</f>
        <v>3</v>
      </c>
      <c r="G118" s="4">
        <f>IFERROR(__xludf.DUMMYFUNCTION("""COMPUTED_VALUE"""),324.0)</f>
        <v>324</v>
      </c>
      <c r="H118" s="5">
        <f>IFERROR(__xludf.DUMMYFUNCTION("""COMPUTED_VALUE"""),2789.43)</f>
        <v>2789.43</v>
      </c>
      <c r="I118" s="5">
        <f>IFERROR(__xludf.DUMMYFUNCTION("""COMPUTED_VALUE"""),8361.12)</f>
        <v>8361.12</v>
      </c>
      <c r="J118" s="5">
        <f>IFERROR(__xludf.DUMMYFUNCTION("""COMPUTED_VALUE"""),6829.91)</f>
        <v>6829.91</v>
      </c>
      <c r="K118" s="5">
        <f>IFERROR(__xludf.DUMMYFUNCTION("""COMPUTED_VALUE"""),5782.63)</f>
        <v>5782.63</v>
      </c>
      <c r="L118" s="4">
        <f>IFERROR(__xludf.DUMMYFUNCTION("""COMPUTED_VALUE"""),5.0)</f>
        <v>5</v>
      </c>
      <c r="M118" s="4">
        <f>IFERROR(__xludf.DUMMYFUNCTION("""COMPUTED_VALUE"""),77.0)</f>
        <v>77</v>
      </c>
      <c r="N118" s="2" t="str">
        <f>IFERROR(__xludf.DUMMYFUNCTION("""COMPUTED_VALUE"""),"FALSO")</f>
        <v>FALSO</v>
      </c>
    </row>
    <row r="119">
      <c r="A119" s="2">
        <f>IFERROR(__xludf.DUMMYFUNCTION("""COMPUTED_VALUE"""),118.0)</f>
        <v>118</v>
      </c>
      <c r="B119" s="2" t="str">
        <f>IFERROR(__xludf.DUMMYFUNCTION("""COMPUTED_VALUE"""),"Alexa Brou")</f>
        <v>Alexa Brou</v>
      </c>
      <c r="C119" s="2" t="str">
        <f>IFERROR(__xludf.DUMMYFUNCTION("""COMPUTED_VALUE"""),"abrou3a@gmpg.org")</f>
        <v>abrou3a@gmpg.org</v>
      </c>
      <c r="D119" s="4">
        <f>IFERROR(__xludf.DUMMYFUNCTION("""COMPUTED_VALUE"""),37.0)</f>
        <v>37</v>
      </c>
      <c r="E119" s="4">
        <f>IFERROR(__xludf.DUMMYFUNCTION("""COMPUTED_VALUE"""),101.0)</f>
        <v>101</v>
      </c>
      <c r="F119" s="4">
        <f>IFERROR(__xludf.DUMMYFUNCTION("""COMPUTED_VALUE"""),5.0)</f>
        <v>5</v>
      </c>
      <c r="G119" s="4">
        <f>IFERROR(__xludf.DUMMYFUNCTION("""COMPUTED_VALUE"""),632.0)</f>
        <v>632</v>
      </c>
      <c r="H119" s="5">
        <f>IFERROR(__xludf.DUMMYFUNCTION("""COMPUTED_VALUE"""),2886.5)</f>
        <v>2886.5</v>
      </c>
      <c r="I119" s="5">
        <f>IFERROR(__xludf.DUMMYFUNCTION("""COMPUTED_VALUE"""),9442.38)</f>
        <v>9442.38</v>
      </c>
      <c r="J119" s="5">
        <f>IFERROR(__xludf.DUMMYFUNCTION("""COMPUTED_VALUE"""),1085.47)</f>
        <v>1085.47</v>
      </c>
      <c r="K119" s="5">
        <f>IFERROR(__xludf.DUMMYFUNCTION("""COMPUTED_VALUE"""),7488.8)</f>
        <v>7488.8</v>
      </c>
      <c r="L119" s="4">
        <f>IFERROR(__xludf.DUMMYFUNCTION("""COMPUTED_VALUE"""),8.0)</f>
        <v>8</v>
      </c>
      <c r="M119" s="4">
        <f>IFERROR(__xludf.DUMMYFUNCTION("""COMPUTED_VALUE"""),41.0)</f>
        <v>41</v>
      </c>
      <c r="N119" s="2" t="str">
        <f>IFERROR(__xludf.DUMMYFUNCTION("""COMPUTED_VALUE"""),"FALSO")</f>
        <v>FALSO</v>
      </c>
    </row>
    <row r="120">
      <c r="A120" s="2">
        <f>IFERROR(__xludf.DUMMYFUNCTION("""COMPUTED_VALUE"""),119.0)</f>
        <v>119</v>
      </c>
      <c r="B120" s="2" t="str">
        <f>IFERROR(__xludf.DUMMYFUNCTION("""COMPUTED_VALUE"""),"Alleen Pattingson")</f>
        <v>Alleen Pattingson</v>
      </c>
      <c r="C120" s="2" t="str">
        <f>IFERROR(__xludf.DUMMYFUNCTION("""COMPUTED_VALUE"""),"apattingson3b@rambler.ru")</f>
        <v>apattingson3b@rambler.ru</v>
      </c>
      <c r="D120" s="4">
        <f>IFERROR(__xludf.DUMMYFUNCTION("""COMPUTED_VALUE"""),37.0)</f>
        <v>37</v>
      </c>
      <c r="E120" s="4">
        <f>IFERROR(__xludf.DUMMYFUNCTION("""COMPUTED_VALUE"""),81.0)</f>
        <v>81</v>
      </c>
      <c r="F120" s="4">
        <f>IFERROR(__xludf.DUMMYFUNCTION("""COMPUTED_VALUE"""),2.0)</f>
        <v>2</v>
      </c>
      <c r="G120" s="4">
        <f>IFERROR(__xludf.DUMMYFUNCTION("""COMPUTED_VALUE"""),93.0)</f>
        <v>93</v>
      </c>
      <c r="H120" s="5">
        <f>IFERROR(__xludf.DUMMYFUNCTION("""COMPUTED_VALUE"""),9235.67)</f>
        <v>9235.67</v>
      </c>
      <c r="I120" s="5">
        <f>IFERROR(__xludf.DUMMYFUNCTION("""COMPUTED_VALUE"""),6114.29)</f>
        <v>6114.29</v>
      </c>
      <c r="J120" s="5">
        <f>IFERROR(__xludf.DUMMYFUNCTION("""COMPUTED_VALUE"""),9436.03)</f>
        <v>9436.03</v>
      </c>
      <c r="K120" s="5">
        <f>IFERROR(__xludf.DUMMYFUNCTION("""COMPUTED_VALUE"""),2013.19)</f>
        <v>2013.19</v>
      </c>
      <c r="L120" s="4">
        <f>IFERROR(__xludf.DUMMYFUNCTION("""COMPUTED_VALUE"""),17.0)</f>
        <v>17</v>
      </c>
      <c r="M120" s="4">
        <f>IFERROR(__xludf.DUMMYFUNCTION("""COMPUTED_VALUE"""),4.0)</f>
        <v>4</v>
      </c>
      <c r="N120" s="2" t="str">
        <f>IFERROR(__xludf.DUMMYFUNCTION("""COMPUTED_VALUE"""),"FALSO")</f>
        <v>FALSO</v>
      </c>
    </row>
    <row r="121">
      <c r="A121" s="2">
        <f>IFERROR(__xludf.DUMMYFUNCTION("""COMPUTED_VALUE"""),120.0)</f>
        <v>120</v>
      </c>
      <c r="B121" s="2" t="str">
        <f>IFERROR(__xludf.DUMMYFUNCTION("""COMPUTED_VALUE"""),"Shannah Skirrow")</f>
        <v>Shannah Skirrow</v>
      </c>
      <c r="C121" s="2" t="str">
        <f>IFERROR(__xludf.DUMMYFUNCTION("""COMPUTED_VALUE"""),"sskirrow3c@earthlink.net")</f>
        <v>sskirrow3c@earthlink.net</v>
      </c>
      <c r="D121" s="4">
        <f>IFERROR(__xludf.DUMMYFUNCTION("""COMPUTED_VALUE"""),55.0)</f>
        <v>55</v>
      </c>
      <c r="E121" s="4">
        <f>IFERROR(__xludf.DUMMYFUNCTION("""COMPUTED_VALUE"""),97.0)</f>
        <v>97</v>
      </c>
      <c r="F121" s="4">
        <f>IFERROR(__xludf.DUMMYFUNCTION("""COMPUTED_VALUE"""),9.0)</f>
        <v>9</v>
      </c>
      <c r="G121" s="4">
        <f>IFERROR(__xludf.DUMMYFUNCTION("""COMPUTED_VALUE"""),341.0)</f>
        <v>341</v>
      </c>
      <c r="H121" s="5">
        <f>IFERROR(__xludf.DUMMYFUNCTION("""COMPUTED_VALUE"""),592.24)</f>
        <v>592.24</v>
      </c>
      <c r="I121" s="5">
        <f>IFERROR(__xludf.DUMMYFUNCTION("""COMPUTED_VALUE"""),935.16)</f>
        <v>935.16</v>
      </c>
      <c r="J121" s="5">
        <f>IFERROR(__xludf.DUMMYFUNCTION("""COMPUTED_VALUE"""),1331.73)</f>
        <v>1331.73</v>
      </c>
      <c r="K121" s="5">
        <f>IFERROR(__xludf.DUMMYFUNCTION("""COMPUTED_VALUE"""),1963.04)</f>
        <v>1963.04</v>
      </c>
      <c r="L121" s="4">
        <f>IFERROR(__xludf.DUMMYFUNCTION("""COMPUTED_VALUE"""),16.0)</f>
        <v>16</v>
      </c>
      <c r="M121" s="4">
        <f>IFERROR(__xludf.DUMMYFUNCTION("""COMPUTED_VALUE"""),50.0)</f>
        <v>50</v>
      </c>
      <c r="N121" s="2" t="str">
        <f>IFERROR(__xludf.DUMMYFUNCTION("""COMPUTED_VALUE"""),"VERDADERO")</f>
        <v>VERDADERO</v>
      </c>
    </row>
    <row r="122">
      <c r="A122" s="2">
        <f>IFERROR(__xludf.DUMMYFUNCTION("""COMPUTED_VALUE"""),121.0)</f>
        <v>121</v>
      </c>
      <c r="B122" s="2" t="str">
        <f>IFERROR(__xludf.DUMMYFUNCTION("""COMPUTED_VALUE"""),"Emory Ketteridge")</f>
        <v>Emory Ketteridge</v>
      </c>
      <c r="C122" s="2" t="str">
        <f>IFERROR(__xludf.DUMMYFUNCTION("""COMPUTED_VALUE"""),"eketteridge3d@aol.com")</f>
        <v>eketteridge3d@aol.com</v>
      </c>
      <c r="D122" s="4">
        <f>IFERROR(__xludf.DUMMYFUNCTION("""COMPUTED_VALUE"""),29.0)</f>
        <v>29</v>
      </c>
      <c r="E122" s="4">
        <f>IFERROR(__xludf.DUMMYFUNCTION("""COMPUTED_VALUE"""),81.0)</f>
        <v>81</v>
      </c>
      <c r="F122" s="4">
        <f>IFERROR(__xludf.DUMMYFUNCTION("""COMPUTED_VALUE"""),2.0)</f>
        <v>2</v>
      </c>
      <c r="G122" s="4">
        <f>IFERROR(__xludf.DUMMYFUNCTION("""COMPUTED_VALUE"""),44.0)</f>
        <v>44</v>
      </c>
      <c r="H122" s="5">
        <f>IFERROR(__xludf.DUMMYFUNCTION("""COMPUTED_VALUE"""),8774.64)</f>
        <v>8774.64</v>
      </c>
      <c r="I122" s="5">
        <f>IFERROR(__xludf.DUMMYFUNCTION("""COMPUTED_VALUE"""),2846.08)</f>
        <v>2846.08</v>
      </c>
      <c r="J122" s="5">
        <f>IFERROR(__xludf.DUMMYFUNCTION("""COMPUTED_VALUE"""),8553.49)</f>
        <v>8553.49</v>
      </c>
      <c r="K122" s="5">
        <f>IFERROR(__xludf.DUMMYFUNCTION("""COMPUTED_VALUE"""),726.58)</f>
        <v>726.58</v>
      </c>
      <c r="L122" s="4">
        <f>IFERROR(__xludf.DUMMYFUNCTION("""COMPUTED_VALUE"""),19.0)</f>
        <v>19</v>
      </c>
      <c r="M122" s="4">
        <f>IFERROR(__xludf.DUMMYFUNCTION("""COMPUTED_VALUE"""),89.0)</f>
        <v>89</v>
      </c>
      <c r="N122" s="2" t="str">
        <f>IFERROR(__xludf.DUMMYFUNCTION("""COMPUTED_VALUE"""),"VERDADERO")</f>
        <v>VERDADERO</v>
      </c>
    </row>
    <row r="123">
      <c r="A123" s="2">
        <f>IFERROR(__xludf.DUMMYFUNCTION("""COMPUTED_VALUE"""),122.0)</f>
        <v>122</v>
      </c>
      <c r="B123" s="2" t="str">
        <f>IFERROR(__xludf.DUMMYFUNCTION("""COMPUTED_VALUE"""),"Richie Crocombe")</f>
        <v>Richie Crocombe</v>
      </c>
      <c r="C123" s="2" t="str">
        <f>IFERROR(__xludf.DUMMYFUNCTION("""COMPUTED_VALUE"""),"rcrocombe3e@com.com")</f>
        <v>rcrocombe3e@com.com</v>
      </c>
      <c r="D123" s="4">
        <f>IFERROR(__xludf.DUMMYFUNCTION("""COMPUTED_VALUE"""),51.0)</f>
        <v>51</v>
      </c>
      <c r="E123" s="4">
        <f>IFERROR(__xludf.DUMMYFUNCTION("""COMPUTED_VALUE"""),48.0)</f>
        <v>48</v>
      </c>
      <c r="F123" s="4">
        <f>IFERROR(__xludf.DUMMYFUNCTION("""COMPUTED_VALUE"""),4.0)</f>
        <v>4</v>
      </c>
      <c r="G123" s="4">
        <f>IFERROR(__xludf.DUMMYFUNCTION("""COMPUTED_VALUE"""),1271.0)</f>
        <v>1271</v>
      </c>
      <c r="H123" s="5">
        <f>IFERROR(__xludf.DUMMYFUNCTION("""COMPUTED_VALUE"""),1809.11)</f>
        <v>1809.11</v>
      </c>
      <c r="I123" s="5">
        <f>IFERROR(__xludf.DUMMYFUNCTION("""COMPUTED_VALUE"""),1769.27)</f>
        <v>1769.27</v>
      </c>
      <c r="J123" s="5">
        <f>IFERROR(__xludf.DUMMYFUNCTION("""COMPUTED_VALUE"""),5931.91)</f>
        <v>5931.91</v>
      </c>
      <c r="K123" s="5">
        <f>IFERROR(__xludf.DUMMYFUNCTION("""COMPUTED_VALUE"""),6201.55)</f>
        <v>6201.55</v>
      </c>
      <c r="L123" s="4">
        <f>IFERROR(__xludf.DUMMYFUNCTION("""COMPUTED_VALUE"""),9.0)</f>
        <v>9</v>
      </c>
      <c r="M123" s="4">
        <f>IFERROR(__xludf.DUMMYFUNCTION("""COMPUTED_VALUE"""),77.0)</f>
        <v>77</v>
      </c>
      <c r="N123" s="2" t="str">
        <f>IFERROR(__xludf.DUMMYFUNCTION("""COMPUTED_VALUE"""),"VERDADERO")</f>
        <v>VERDADERO</v>
      </c>
    </row>
    <row r="124">
      <c r="A124" s="2">
        <f>IFERROR(__xludf.DUMMYFUNCTION("""COMPUTED_VALUE"""),123.0)</f>
        <v>123</v>
      </c>
      <c r="B124" s="2" t="str">
        <f>IFERROR(__xludf.DUMMYFUNCTION("""COMPUTED_VALUE"""),"Rolf Lyptrit")</f>
        <v>Rolf Lyptrit</v>
      </c>
      <c r="C124" s="2" t="str">
        <f>IFERROR(__xludf.DUMMYFUNCTION("""COMPUTED_VALUE"""),"rlyptrit3f@github.com")</f>
        <v>rlyptrit3f@github.com</v>
      </c>
      <c r="D124" s="4">
        <f>IFERROR(__xludf.DUMMYFUNCTION("""COMPUTED_VALUE"""),124.0)</f>
        <v>124</v>
      </c>
      <c r="E124" s="4">
        <f>IFERROR(__xludf.DUMMYFUNCTION("""COMPUTED_VALUE"""),81.0)</f>
        <v>81</v>
      </c>
      <c r="F124" s="4">
        <f>IFERROR(__xludf.DUMMYFUNCTION("""COMPUTED_VALUE"""),2.0)</f>
        <v>2</v>
      </c>
      <c r="G124" s="4">
        <f>IFERROR(__xludf.DUMMYFUNCTION("""COMPUTED_VALUE"""),1383.0)</f>
        <v>1383</v>
      </c>
      <c r="H124" s="5">
        <f>IFERROR(__xludf.DUMMYFUNCTION("""COMPUTED_VALUE"""),6956.34)</f>
        <v>6956.34</v>
      </c>
      <c r="I124" s="5">
        <f>IFERROR(__xludf.DUMMYFUNCTION("""COMPUTED_VALUE"""),6696.75)</f>
        <v>6696.75</v>
      </c>
      <c r="J124" s="5">
        <f>IFERROR(__xludf.DUMMYFUNCTION("""COMPUTED_VALUE"""),7227.7)</f>
        <v>7227.7</v>
      </c>
      <c r="K124" s="5">
        <f>IFERROR(__xludf.DUMMYFUNCTION("""COMPUTED_VALUE"""),7165.85)</f>
        <v>7165.85</v>
      </c>
      <c r="L124" s="4">
        <f>IFERROR(__xludf.DUMMYFUNCTION("""COMPUTED_VALUE"""),16.0)</f>
        <v>16</v>
      </c>
      <c r="M124" s="4">
        <f>IFERROR(__xludf.DUMMYFUNCTION("""COMPUTED_VALUE"""),57.0)</f>
        <v>57</v>
      </c>
      <c r="N124" s="2" t="str">
        <f>IFERROR(__xludf.DUMMYFUNCTION("""COMPUTED_VALUE"""),"FALSO")</f>
        <v>FALSO</v>
      </c>
    </row>
    <row r="125">
      <c r="A125" s="2">
        <f>IFERROR(__xludf.DUMMYFUNCTION("""COMPUTED_VALUE"""),124.0)</f>
        <v>124</v>
      </c>
      <c r="B125" s="2" t="str">
        <f>IFERROR(__xludf.DUMMYFUNCTION("""COMPUTED_VALUE"""),"Jaquenetta Sweetmore")</f>
        <v>Jaquenetta Sweetmore</v>
      </c>
      <c r="C125" s="2" t="str">
        <f>IFERROR(__xludf.DUMMYFUNCTION("""COMPUTED_VALUE"""),"jsweetmore3g@weebly.com")</f>
        <v>jsweetmore3g@weebly.com</v>
      </c>
      <c r="D125" s="4">
        <f>IFERROR(__xludf.DUMMYFUNCTION("""COMPUTED_VALUE"""),15.0)</f>
        <v>15</v>
      </c>
      <c r="E125" s="4">
        <f>IFERROR(__xludf.DUMMYFUNCTION("""COMPUTED_VALUE"""),29.0)</f>
        <v>29</v>
      </c>
      <c r="F125" s="4">
        <f>IFERROR(__xludf.DUMMYFUNCTION("""COMPUTED_VALUE"""),11.0)</f>
        <v>11</v>
      </c>
      <c r="G125" s="4">
        <f>IFERROR(__xludf.DUMMYFUNCTION("""COMPUTED_VALUE"""),78.0)</f>
        <v>78</v>
      </c>
      <c r="H125" s="5">
        <f>IFERROR(__xludf.DUMMYFUNCTION("""COMPUTED_VALUE"""),5497.74)</f>
        <v>5497.74</v>
      </c>
      <c r="I125" s="5">
        <f>IFERROR(__xludf.DUMMYFUNCTION("""COMPUTED_VALUE"""),5013.2)</f>
        <v>5013.2</v>
      </c>
      <c r="J125" s="5">
        <f>IFERROR(__xludf.DUMMYFUNCTION("""COMPUTED_VALUE"""),9227.15)</f>
        <v>9227.15</v>
      </c>
      <c r="K125" s="5">
        <f>IFERROR(__xludf.DUMMYFUNCTION("""COMPUTED_VALUE"""),7359.35)</f>
        <v>7359.35</v>
      </c>
      <c r="L125" s="4">
        <f>IFERROR(__xludf.DUMMYFUNCTION("""COMPUTED_VALUE"""),1.0)</f>
        <v>1</v>
      </c>
      <c r="M125" s="4">
        <f>IFERROR(__xludf.DUMMYFUNCTION("""COMPUTED_VALUE"""),59.0)</f>
        <v>59</v>
      </c>
      <c r="N125" s="2" t="str">
        <f>IFERROR(__xludf.DUMMYFUNCTION("""COMPUTED_VALUE"""),"VERDADERO")</f>
        <v>VERDADERO</v>
      </c>
    </row>
    <row r="126">
      <c r="A126" s="2">
        <f>IFERROR(__xludf.DUMMYFUNCTION("""COMPUTED_VALUE"""),125.0)</f>
        <v>125</v>
      </c>
      <c r="B126" s="2" t="str">
        <f>IFERROR(__xludf.DUMMYFUNCTION("""COMPUTED_VALUE"""),"Peria Bessent")</f>
        <v>Peria Bessent</v>
      </c>
      <c r="C126" s="2" t="str">
        <f>IFERROR(__xludf.DUMMYFUNCTION("""COMPUTED_VALUE"""),"pbessent3h@wufoo.com")</f>
        <v>pbessent3h@wufoo.com</v>
      </c>
      <c r="D126" s="4">
        <f>IFERROR(__xludf.DUMMYFUNCTION("""COMPUTED_VALUE"""),52.0)</f>
        <v>52</v>
      </c>
      <c r="E126" s="4">
        <f>IFERROR(__xludf.DUMMYFUNCTION("""COMPUTED_VALUE"""),64.0)</f>
        <v>64</v>
      </c>
      <c r="F126" s="4">
        <f>IFERROR(__xludf.DUMMYFUNCTION("""COMPUTED_VALUE"""),4.0)</f>
        <v>4</v>
      </c>
      <c r="G126" s="4">
        <f>IFERROR(__xludf.DUMMYFUNCTION("""COMPUTED_VALUE"""),316.0)</f>
        <v>316</v>
      </c>
      <c r="H126" s="5">
        <f>IFERROR(__xludf.DUMMYFUNCTION("""COMPUTED_VALUE"""),6698.63)</f>
        <v>6698.63</v>
      </c>
      <c r="I126" s="5">
        <f>IFERROR(__xludf.DUMMYFUNCTION("""COMPUTED_VALUE"""),905.99)</f>
        <v>905.99</v>
      </c>
      <c r="J126" s="5">
        <f>IFERROR(__xludf.DUMMYFUNCTION("""COMPUTED_VALUE"""),1898.95)</f>
        <v>1898.95</v>
      </c>
      <c r="K126" s="5">
        <f>IFERROR(__xludf.DUMMYFUNCTION("""COMPUTED_VALUE"""),7940.56)</f>
        <v>7940.56</v>
      </c>
      <c r="L126" s="4">
        <f>IFERROR(__xludf.DUMMYFUNCTION("""COMPUTED_VALUE"""),1.0)</f>
        <v>1</v>
      </c>
      <c r="M126" s="4">
        <f>IFERROR(__xludf.DUMMYFUNCTION("""COMPUTED_VALUE"""),4.0)</f>
        <v>4</v>
      </c>
      <c r="N126" s="2" t="str">
        <f>IFERROR(__xludf.DUMMYFUNCTION("""COMPUTED_VALUE"""),"VERDADERO")</f>
        <v>VERDADERO</v>
      </c>
    </row>
    <row r="127">
      <c r="A127" s="2">
        <f>IFERROR(__xludf.DUMMYFUNCTION("""COMPUTED_VALUE"""),126.0)</f>
        <v>126</v>
      </c>
      <c r="B127" s="2" t="str">
        <f>IFERROR(__xludf.DUMMYFUNCTION("""COMPUTED_VALUE"""),"Shaun Tremmil")</f>
        <v>Shaun Tremmil</v>
      </c>
      <c r="C127" s="2" t="str">
        <f>IFERROR(__xludf.DUMMYFUNCTION("""COMPUTED_VALUE"""),"stremmil3i@51.la")</f>
        <v>stremmil3i@51.la</v>
      </c>
      <c r="D127" s="4">
        <f>IFERROR(__xludf.DUMMYFUNCTION("""COMPUTED_VALUE"""),65.0)</f>
        <v>65</v>
      </c>
      <c r="E127" s="4">
        <f>IFERROR(__xludf.DUMMYFUNCTION("""COMPUTED_VALUE"""),81.0)</f>
        <v>81</v>
      </c>
      <c r="F127" s="4">
        <f>IFERROR(__xludf.DUMMYFUNCTION("""COMPUTED_VALUE"""),2.0)</f>
        <v>2</v>
      </c>
      <c r="G127" s="4">
        <f>IFERROR(__xludf.DUMMYFUNCTION("""COMPUTED_VALUE"""),1337.0)</f>
        <v>1337</v>
      </c>
      <c r="H127" s="5">
        <f>IFERROR(__xludf.DUMMYFUNCTION("""COMPUTED_VALUE"""),8446.37)</f>
        <v>8446.37</v>
      </c>
      <c r="I127" s="5">
        <f>IFERROR(__xludf.DUMMYFUNCTION("""COMPUTED_VALUE"""),9337.68)</f>
        <v>9337.68</v>
      </c>
      <c r="J127" s="5">
        <f>IFERROR(__xludf.DUMMYFUNCTION("""COMPUTED_VALUE"""),3865.18)</f>
        <v>3865.18</v>
      </c>
      <c r="K127" s="5">
        <f>IFERROR(__xludf.DUMMYFUNCTION("""COMPUTED_VALUE"""),2919.51)</f>
        <v>2919.51</v>
      </c>
      <c r="L127" s="4">
        <f>IFERROR(__xludf.DUMMYFUNCTION("""COMPUTED_VALUE"""),3.0)</f>
        <v>3</v>
      </c>
      <c r="M127" s="4">
        <f>IFERROR(__xludf.DUMMYFUNCTION("""COMPUTED_VALUE"""),32.0)</f>
        <v>32</v>
      </c>
      <c r="N127" s="2" t="str">
        <f>IFERROR(__xludf.DUMMYFUNCTION("""COMPUTED_VALUE"""),"FALSO")</f>
        <v>FALSO</v>
      </c>
    </row>
    <row r="128">
      <c r="A128" s="2">
        <f>IFERROR(__xludf.DUMMYFUNCTION("""COMPUTED_VALUE"""),127.0)</f>
        <v>127</v>
      </c>
      <c r="B128" s="2" t="str">
        <f>IFERROR(__xludf.DUMMYFUNCTION("""COMPUTED_VALUE"""),"Dirk Bamlett")</f>
        <v>Dirk Bamlett</v>
      </c>
      <c r="C128" s="2" t="str">
        <f>IFERROR(__xludf.DUMMYFUNCTION("""COMPUTED_VALUE"""),"dbamlett3j@tuttocitta.it")</f>
        <v>dbamlett3j@tuttocitta.it</v>
      </c>
      <c r="D128" s="4">
        <f>IFERROR(__xludf.DUMMYFUNCTION("""COMPUTED_VALUE"""),65.0)</f>
        <v>65</v>
      </c>
      <c r="E128" s="4">
        <f>IFERROR(__xludf.DUMMYFUNCTION("""COMPUTED_VALUE"""),64.0)</f>
        <v>64</v>
      </c>
      <c r="F128" s="4">
        <f>IFERROR(__xludf.DUMMYFUNCTION("""COMPUTED_VALUE"""),4.0)</f>
        <v>4</v>
      </c>
      <c r="G128" s="4">
        <f>IFERROR(__xludf.DUMMYFUNCTION("""COMPUTED_VALUE"""),1105.0)</f>
        <v>1105</v>
      </c>
      <c r="H128" s="5">
        <f>IFERROR(__xludf.DUMMYFUNCTION("""COMPUTED_VALUE"""),9444.14)</f>
        <v>9444.14</v>
      </c>
      <c r="I128" s="5">
        <f>IFERROR(__xludf.DUMMYFUNCTION("""COMPUTED_VALUE"""),1956.09)</f>
        <v>1956.09</v>
      </c>
      <c r="J128" s="5">
        <f>IFERROR(__xludf.DUMMYFUNCTION("""COMPUTED_VALUE"""),8291.73)</f>
        <v>8291.73</v>
      </c>
      <c r="K128" s="5">
        <f>IFERROR(__xludf.DUMMYFUNCTION("""COMPUTED_VALUE"""),4947.76)</f>
        <v>4947.76</v>
      </c>
      <c r="L128" s="4">
        <f>IFERROR(__xludf.DUMMYFUNCTION("""COMPUTED_VALUE"""),15.0)</f>
        <v>15</v>
      </c>
      <c r="M128" s="4">
        <f>IFERROR(__xludf.DUMMYFUNCTION("""COMPUTED_VALUE"""),95.0)</f>
        <v>95</v>
      </c>
      <c r="N128" s="2" t="str">
        <f>IFERROR(__xludf.DUMMYFUNCTION("""COMPUTED_VALUE"""),"VERDADERO")</f>
        <v>VERDADERO</v>
      </c>
    </row>
    <row r="129">
      <c r="A129" s="2">
        <f>IFERROR(__xludf.DUMMYFUNCTION("""COMPUTED_VALUE"""),128.0)</f>
        <v>128</v>
      </c>
      <c r="B129" s="2" t="str">
        <f>IFERROR(__xludf.DUMMYFUNCTION("""COMPUTED_VALUE"""),"Hagan Tanzig")</f>
        <v>Hagan Tanzig</v>
      </c>
      <c r="C129" s="2" t="str">
        <f>IFERROR(__xludf.DUMMYFUNCTION("""COMPUTED_VALUE"""),"htanzig3k@meetup.com")</f>
        <v>htanzig3k@meetup.com</v>
      </c>
      <c r="D129" s="4">
        <f>IFERROR(__xludf.DUMMYFUNCTION("""COMPUTED_VALUE"""),5.0)</f>
        <v>5</v>
      </c>
      <c r="E129" s="4">
        <f>IFERROR(__xludf.DUMMYFUNCTION("""COMPUTED_VALUE"""),7.0)</f>
        <v>7</v>
      </c>
      <c r="F129" s="4">
        <f>IFERROR(__xludf.DUMMYFUNCTION("""COMPUTED_VALUE"""),8.0)</f>
        <v>8</v>
      </c>
      <c r="G129" s="4">
        <f>IFERROR(__xludf.DUMMYFUNCTION("""COMPUTED_VALUE"""),630.0)</f>
        <v>630</v>
      </c>
      <c r="H129" s="5">
        <f>IFERROR(__xludf.DUMMYFUNCTION("""COMPUTED_VALUE"""),4629.32)</f>
        <v>4629.32</v>
      </c>
      <c r="I129" s="5">
        <f>IFERROR(__xludf.DUMMYFUNCTION("""COMPUTED_VALUE"""),7172.03)</f>
        <v>7172.03</v>
      </c>
      <c r="J129" s="5">
        <f>IFERROR(__xludf.DUMMYFUNCTION("""COMPUTED_VALUE"""),54.18)</f>
        <v>54.18</v>
      </c>
      <c r="K129" s="5">
        <f>IFERROR(__xludf.DUMMYFUNCTION("""COMPUTED_VALUE"""),3717.35)</f>
        <v>3717.35</v>
      </c>
      <c r="L129" s="4">
        <f>IFERROR(__xludf.DUMMYFUNCTION("""COMPUTED_VALUE"""),20.0)</f>
        <v>20</v>
      </c>
      <c r="M129" s="4">
        <f>IFERROR(__xludf.DUMMYFUNCTION("""COMPUTED_VALUE"""),87.0)</f>
        <v>87</v>
      </c>
      <c r="N129" s="2" t="str">
        <f>IFERROR(__xludf.DUMMYFUNCTION("""COMPUTED_VALUE"""),"VERDADERO")</f>
        <v>VERDADERO</v>
      </c>
    </row>
    <row r="130">
      <c r="A130" s="2">
        <f>IFERROR(__xludf.DUMMYFUNCTION("""COMPUTED_VALUE"""),129.0)</f>
        <v>129</v>
      </c>
      <c r="B130" s="2" t="str">
        <f>IFERROR(__xludf.DUMMYFUNCTION("""COMPUTED_VALUE"""),"Henrietta Degg")</f>
        <v>Henrietta Degg</v>
      </c>
      <c r="C130" s="2" t="str">
        <f>IFERROR(__xludf.DUMMYFUNCTION("""COMPUTED_VALUE"""),"hdegg3l@goo.ne.jp")</f>
        <v>hdegg3l@goo.ne.jp</v>
      </c>
      <c r="D130" s="4">
        <f>IFERROR(__xludf.DUMMYFUNCTION("""COMPUTED_VALUE"""),121.0)</f>
        <v>121</v>
      </c>
      <c r="E130" s="4">
        <f>IFERROR(__xludf.DUMMYFUNCTION("""COMPUTED_VALUE"""),57.0)</f>
        <v>57</v>
      </c>
      <c r="F130" s="4">
        <f>IFERROR(__xludf.DUMMYFUNCTION("""COMPUTED_VALUE"""),5.0)</f>
        <v>5</v>
      </c>
      <c r="G130" s="4">
        <f>IFERROR(__xludf.DUMMYFUNCTION("""COMPUTED_VALUE"""),336.0)</f>
        <v>336</v>
      </c>
      <c r="H130" s="5">
        <f>IFERROR(__xludf.DUMMYFUNCTION("""COMPUTED_VALUE"""),2736.42)</f>
        <v>2736.42</v>
      </c>
      <c r="I130" s="5">
        <f>IFERROR(__xludf.DUMMYFUNCTION("""COMPUTED_VALUE"""),1725.09)</f>
        <v>1725.09</v>
      </c>
      <c r="J130" s="5">
        <f>IFERROR(__xludf.DUMMYFUNCTION("""COMPUTED_VALUE"""),9700.97)</f>
        <v>9700.97</v>
      </c>
      <c r="K130" s="5">
        <f>IFERROR(__xludf.DUMMYFUNCTION("""COMPUTED_VALUE"""),7776.25)</f>
        <v>7776.25</v>
      </c>
      <c r="L130" s="4">
        <f>IFERROR(__xludf.DUMMYFUNCTION("""COMPUTED_VALUE"""),14.0)</f>
        <v>14</v>
      </c>
      <c r="M130" s="4">
        <f>IFERROR(__xludf.DUMMYFUNCTION("""COMPUTED_VALUE"""),34.0)</f>
        <v>34</v>
      </c>
      <c r="N130" s="2" t="str">
        <f>IFERROR(__xludf.DUMMYFUNCTION("""COMPUTED_VALUE"""),"FALSO")</f>
        <v>FALSO</v>
      </c>
    </row>
    <row r="131">
      <c r="A131" s="2">
        <f>IFERROR(__xludf.DUMMYFUNCTION("""COMPUTED_VALUE"""),130.0)</f>
        <v>130</v>
      </c>
      <c r="B131" s="2" t="str">
        <f>IFERROR(__xludf.DUMMYFUNCTION("""COMPUTED_VALUE"""),"Demott Geldart")</f>
        <v>Demott Geldart</v>
      </c>
      <c r="C131" s="2" t="str">
        <f>IFERROR(__xludf.DUMMYFUNCTION("""COMPUTED_VALUE"""),"dgeldart3m@nytimes.com")</f>
        <v>dgeldart3m@nytimes.com</v>
      </c>
      <c r="D131" s="4">
        <f>IFERROR(__xludf.DUMMYFUNCTION("""COMPUTED_VALUE"""),29.0)</f>
        <v>29</v>
      </c>
      <c r="E131" s="4">
        <f>IFERROR(__xludf.DUMMYFUNCTION("""COMPUTED_VALUE"""),52.0)</f>
        <v>52</v>
      </c>
      <c r="F131" s="4">
        <f>IFERROR(__xludf.DUMMYFUNCTION("""COMPUTED_VALUE"""),13.0)</f>
        <v>13</v>
      </c>
      <c r="G131" s="4">
        <f>IFERROR(__xludf.DUMMYFUNCTION("""COMPUTED_VALUE"""),613.0)</f>
        <v>613</v>
      </c>
      <c r="H131" s="5">
        <f>IFERROR(__xludf.DUMMYFUNCTION("""COMPUTED_VALUE"""),8769.56)</f>
        <v>8769.56</v>
      </c>
      <c r="I131" s="5">
        <f>IFERROR(__xludf.DUMMYFUNCTION("""COMPUTED_VALUE"""),318.89)</f>
        <v>318.89</v>
      </c>
      <c r="J131" s="5">
        <f>IFERROR(__xludf.DUMMYFUNCTION("""COMPUTED_VALUE"""),1895.16)</f>
        <v>1895.16</v>
      </c>
      <c r="K131" s="5">
        <f>IFERROR(__xludf.DUMMYFUNCTION("""COMPUTED_VALUE"""),5438.99)</f>
        <v>5438.99</v>
      </c>
      <c r="L131" s="4">
        <f>IFERROR(__xludf.DUMMYFUNCTION("""COMPUTED_VALUE"""),9.0)</f>
        <v>9</v>
      </c>
      <c r="M131" s="4">
        <f>IFERROR(__xludf.DUMMYFUNCTION("""COMPUTED_VALUE"""),40.0)</f>
        <v>40</v>
      </c>
      <c r="N131" s="2" t="str">
        <f>IFERROR(__xludf.DUMMYFUNCTION("""COMPUTED_VALUE"""),"FALSO")</f>
        <v>FALSO</v>
      </c>
    </row>
    <row r="132">
      <c r="A132" s="2">
        <f>IFERROR(__xludf.DUMMYFUNCTION("""COMPUTED_VALUE"""),131.0)</f>
        <v>131</v>
      </c>
      <c r="B132" s="2" t="str">
        <f>IFERROR(__xludf.DUMMYFUNCTION("""COMPUTED_VALUE"""),"Geri Drust")</f>
        <v>Geri Drust</v>
      </c>
      <c r="C132" s="2" t="str">
        <f>IFERROR(__xludf.DUMMYFUNCTION("""COMPUTED_VALUE"""),"gdrust3n@imdb.com")</f>
        <v>gdrust3n@imdb.com</v>
      </c>
      <c r="D132" s="4">
        <f>IFERROR(__xludf.DUMMYFUNCTION("""COMPUTED_VALUE"""),49.0)</f>
        <v>49</v>
      </c>
      <c r="E132" s="4">
        <f>IFERROR(__xludf.DUMMYFUNCTION("""COMPUTED_VALUE"""),107.0)</f>
        <v>107</v>
      </c>
      <c r="F132" s="4">
        <f>IFERROR(__xludf.DUMMYFUNCTION("""COMPUTED_VALUE"""),5.0)</f>
        <v>5</v>
      </c>
      <c r="G132" s="4">
        <f>IFERROR(__xludf.DUMMYFUNCTION("""COMPUTED_VALUE"""),363.0)</f>
        <v>363</v>
      </c>
      <c r="H132" s="5">
        <f>IFERROR(__xludf.DUMMYFUNCTION("""COMPUTED_VALUE"""),7551.0)</f>
        <v>7551</v>
      </c>
      <c r="I132" s="5">
        <f>IFERROR(__xludf.DUMMYFUNCTION("""COMPUTED_VALUE"""),5668.15)</f>
        <v>5668.15</v>
      </c>
      <c r="J132" s="5">
        <f>IFERROR(__xludf.DUMMYFUNCTION("""COMPUTED_VALUE"""),8693.01)</f>
        <v>8693.01</v>
      </c>
      <c r="K132" s="5">
        <f>IFERROR(__xludf.DUMMYFUNCTION("""COMPUTED_VALUE"""),6000.92)</f>
        <v>6000.92</v>
      </c>
      <c r="L132" s="4">
        <f>IFERROR(__xludf.DUMMYFUNCTION("""COMPUTED_VALUE"""),5.0)</f>
        <v>5</v>
      </c>
      <c r="M132" s="4">
        <f>IFERROR(__xludf.DUMMYFUNCTION("""COMPUTED_VALUE"""),85.0)</f>
        <v>85</v>
      </c>
      <c r="N132" s="2" t="str">
        <f>IFERROR(__xludf.DUMMYFUNCTION("""COMPUTED_VALUE"""),"VERDADERO")</f>
        <v>VERDADERO</v>
      </c>
    </row>
    <row r="133">
      <c r="A133" s="2">
        <f>IFERROR(__xludf.DUMMYFUNCTION("""COMPUTED_VALUE"""),132.0)</f>
        <v>132</v>
      </c>
      <c r="B133" s="2" t="str">
        <f>IFERROR(__xludf.DUMMYFUNCTION("""COMPUTED_VALUE"""),"Fields Croyden")</f>
        <v>Fields Croyden</v>
      </c>
      <c r="C133" s="2" t="str">
        <f>IFERROR(__xludf.DUMMYFUNCTION("""COMPUTED_VALUE"""),"fcroyden3o@simplemachines.org")</f>
        <v>fcroyden3o@simplemachines.org</v>
      </c>
      <c r="D133" s="4">
        <f>IFERROR(__xludf.DUMMYFUNCTION("""COMPUTED_VALUE"""),122.0)</f>
        <v>122</v>
      </c>
      <c r="E133" s="4">
        <f>IFERROR(__xludf.DUMMYFUNCTION("""COMPUTED_VALUE"""),112.0)</f>
        <v>112</v>
      </c>
      <c r="F133" s="4">
        <f>IFERROR(__xludf.DUMMYFUNCTION("""COMPUTED_VALUE"""),11.0)</f>
        <v>11</v>
      </c>
      <c r="G133" s="4">
        <f>IFERROR(__xludf.DUMMYFUNCTION("""COMPUTED_VALUE"""),1049.0)</f>
        <v>1049</v>
      </c>
      <c r="H133" s="5">
        <f>IFERROR(__xludf.DUMMYFUNCTION("""COMPUTED_VALUE"""),7336.71)</f>
        <v>7336.71</v>
      </c>
      <c r="I133" s="5">
        <f>IFERROR(__xludf.DUMMYFUNCTION("""COMPUTED_VALUE"""),5815.3)</f>
        <v>5815.3</v>
      </c>
      <c r="J133" s="5">
        <f>IFERROR(__xludf.DUMMYFUNCTION("""COMPUTED_VALUE"""),8340.59)</f>
        <v>8340.59</v>
      </c>
      <c r="K133" s="5">
        <f>IFERROR(__xludf.DUMMYFUNCTION("""COMPUTED_VALUE"""),3879.04)</f>
        <v>3879.04</v>
      </c>
      <c r="L133" s="4">
        <f>IFERROR(__xludf.DUMMYFUNCTION("""COMPUTED_VALUE"""),17.0)</f>
        <v>17</v>
      </c>
      <c r="M133" s="4">
        <f>IFERROR(__xludf.DUMMYFUNCTION("""COMPUTED_VALUE"""),83.0)</f>
        <v>83</v>
      </c>
      <c r="N133" s="2" t="str">
        <f>IFERROR(__xludf.DUMMYFUNCTION("""COMPUTED_VALUE"""),"FALSO")</f>
        <v>FALSO</v>
      </c>
    </row>
    <row r="134">
      <c r="A134" s="2">
        <f>IFERROR(__xludf.DUMMYFUNCTION("""COMPUTED_VALUE"""),133.0)</f>
        <v>133</v>
      </c>
      <c r="B134" s="2" t="str">
        <f>IFERROR(__xludf.DUMMYFUNCTION("""COMPUTED_VALUE"""),"Horatio Markushkin")</f>
        <v>Horatio Markushkin</v>
      </c>
      <c r="C134" s="2" t="str">
        <f>IFERROR(__xludf.DUMMYFUNCTION("""COMPUTED_VALUE"""),"hmarkushkin3p@alexa.com")</f>
        <v>hmarkushkin3p@alexa.com</v>
      </c>
      <c r="D134" s="4">
        <f>IFERROR(__xludf.DUMMYFUNCTION("""COMPUTED_VALUE"""),148.0)</f>
        <v>148</v>
      </c>
      <c r="E134" s="4">
        <f>IFERROR(__xludf.DUMMYFUNCTION("""COMPUTED_VALUE"""),71.0)</f>
        <v>71</v>
      </c>
      <c r="F134" s="4">
        <f>IFERROR(__xludf.DUMMYFUNCTION("""COMPUTED_VALUE"""),6.0)</f>
        <v>6</v>
      </c>
      <c r="G134" s="4">
        <f>IFERROR(__xludf.DUMMYFUNCTION("""COMPUTED_VALUE"""),996.0)</f>
        <v>996</v>
      </c>
      <c r="H134" s="5">
        <f>IFERROR(__xludf.DUMMYFUNCTION("""COMPUTED_VALUE"""),1096.58)</f>
        <v>1096.58</v>
      </c>
      <c r="I134" s="5">
        <f>IFERROR(__xludf.DUMMYFUNCTION("""COMPUTED_VALUE"""),9221.18)</f>
        <v>9221.18</v>
      </c>
      <c r="J134" s="5">
        <f>IFERROR(__xludf.DUMMYFUNCTION("""COMPUTED_VALUE"""),7179.96)</f>
        <v>7179.96</v>
      </c>
      <c r="K134" s="5">
        <f>IFERROR(__xludf.DUMMYFUNCTION("""COMPUTED_VALUE"""),4638.61)</f>
        <v>4638.61</v>
      </c>
      <c r="L134" s="4">
        <f>IFERROR(__xludf.DUMMYFUNCTION("""COMPUTED_VALUE"""),3.0)</f>
        <v>3</v>
      </c>
      <c r="M134" s="4">
        <f>IFERROR(__xludf.DUMMYFUNCTION("""COMPUTED_VALUE"""),71.0)</f>
        <v>71</v>
      </c>
      <c r="N134" s="2" t="str">
        <f>IFERROR(__xludf.DUMMYFUNCTION("""COMPUTED_VALUE"""),"VERDADERO")</f>
        <v>VERDADERO</v>
      </c>
    </row>
    <row r="135">
      <c r="A135" s="2">
        <f>IFERROR(__xludf.DUMMYFUNCTION("""COMPUTED_VALUE"""),134.0)</f>
        <v>134</v>
      </c>
      <c r="B135" s="2" t="str">
        <f>IFERROR(__xludf.DUMMYFUNCTION("""COMPUTED_VALUE"""),"Englebert Osinin")</f>
        <v>Englebert Osinin</v>
      </c>
      <c r="C135" s="2" t="str">
        <f>IFERROR(__xludf.DUMMYFUNCTION("""COMPUTED_VALUE"""),"eosinin3q@youtube.com")</f>
        <v>eosinin3q@youtube.com</v>
      </c>
      <c r="D135" s="4">
        <f>IFERROR(__xludf.DUMMYFUNCTION("""COMPUTED_VALUE"""),124.0)</f>
        <v>124</v>
      </c>
      <c r="E135" s="4">
        <f>IFERROR(__xludf.DUMMYFUNCTION("""COMPUTED_VALUE"""),60.0)</f>
        <v>60</v>
      </c>
      <c r="F135" s="4">
        <f>IFERROR(__xludf.DUMMYFUNCTION("""COMPUTED_VALUE"""),3.0)</f>
        <v>3</v>
      </c>
      <c r="G135" s="4">
        <f>IFERROR(__xludf.DUMMYFUNCTION("""COMPUTED_VALUE"""),535.0)</f>
        <v>535</v>
      </c>
      <c r="H135" s="5">
        <f>IFERROR(__xludf.DUMMYFUNCTION("""COMPUTED_VALUE"""),6524.67)</f>
        <v>6524.67</v>
      </c>
      <c r="I135" s="5">
        <f>IFERROR(__xludf.DUMMYFUNCTION("""COMPUTED_VALUE"""),9695.64)</f>
        <v>9695.64</v>
      </c>
      <c r="J135" s="5">
        <f>IFERROR(__xludf.DUMMYFUNCTION("""COMPUTED_VALUE"""),406.87)</f>
        <v>406.87</v>
      </c>
      <c r="K135" s="5">
        <f>IFERROR(__xludf.DUMMYFUNCTION("""COMPUTED_VALUE"""),7337.23)</f>
        <v>7337.23</v>
      </c>
      <c r="L135" s="4">
        <f>IFERROR(__xludf.DUMMYFUNCTION("""COMPUTED_VALUE"""),12.0)</f>
        <v>12</v>
      </c>
      <c r="M135" s="4">
        <f>IFERROR(__xludf.DUMMYFUNCTION("""COMPUTED_VALUE"""),6.0)</f>
        <v>6</v>
      </c>
      <c r="N135" s="2" t="str">
        <f>IFERROR(__xludf.DUMMYFUNCTION("""COMPUTED_VALUE"""),"VERDADERO")</f>
        <v>VERDADERO</v>
      </c>
    </row>
    <row r="136">
      <c r="A136" s="2">
        <f>IFERROR(__xludf.DUMMYFUNCTION("""COMPUTED_VALUE"""),135.0)</f>
        <v>135</v>
      </c>
      <c r="B136" s="2" t="str">
        <f>IFERROR(__xludf.DUMMYFUNCTION("""COMPUTED_VALUE"""),"Barbey Tonkes")</f>
        <v>Barbey Tonkes</v>
      </c>
      <c r="C136" s="2" t="str">
        <f>IFERROR(__xludf.DUMMYFUNCTION("""COMPUTED_VALUE"""),"btonkes3r@go.com")</f>
        <v>btonkes3r@go.com</v>
      </c>
      <c r="D136" s="4">
        <f>IFERROR(__xludf.DUMMYFUNCTION("""COMPUTED_VALUE"""),63.0)</f>
        <v>63</v>
      </c>
      <c r="E136" s="4">
        <f>IFERROR(__xludf.DUMMYFUNCTION("""COMPUTED_VALUE"""),81.0)</f>
        <v>81</v>
      </c>
      <c r="F136" s="4">
        <f>IFERROR(__xludf.DUMMYFUNCTION("""COMPUTED_VALUE"""),2.0)</f>
        <v>2</v>
      </c>
      <c r="G136" s="4">
        <f>IFERROR(__xludf.DUMMYFUNCTION("""COMPUTED_VALUE"""),1219.0)</f>
        <v>1219</v>
      </c>
      <c r="H136" s="5">
        <f>IFERROR(__xludf.DUMMYFUNCTION("""COMPUTED_VALUE"""),9601.86)</f>
        <v>9601.86</v>
      </c>
      <c r="I136" s="5">
        <f>IFERROR(__xludf.DUMMYFUNCTION("""COMPUTED_VALUE"""),6049.99)</f>
        <v>6049.99</v>
      </c>
      <c r="J136" s="5">
        <f>IFERROR(__xludf.DUMMYFUNCTION("""COMPUTED_VALUE"""),2594.26)</f>
        <v>2594.26</v>
      </c>
      <c r="K136" s="5">
        <f>IFERROR(__xludf.DUMMYFUNCTION("""COMPUTED_VALUE"""),6373.1)</f>
        <v>6373.1</v>
      </c>
      <c r="L136" s="4">
        <f>IFERROR(__xludf.DUMMYFUNCTION("""COMPUTED_VALUE"""),19.0)</f>
        <v>19</v>
      </c>
      <c r="M136" s="4">
        <f>IFERROR(__xludf.DUMMYFUNCTION("""COMPUTED_VALUE"""),36.0)</f>
        <v>36</v>
      </c>
      <c r="N136" s="2" t="str">
        <f>IFERROR(__xludf.DUMMYFUNCTION("""COMPUTED_VALUE"""),"VERDADERO")</f>
        <v>VERDADERO</v>
      </c>
    </row>
    <row r="137">
      <c r="A137" s="2">
        <f>IFERROR(__xludf.DUMMYFUNCTION("""COMPUTED_VALUE"""),136.0)</f>
        <v>136</v>
      </c>
      <c r="B137" s="2" t="str">
        <f>IFERROR(__xludf.DUMMYFUNCTION("""COMPUTED_VALUE"""),"Row Vincent")</f>
        <v>Row Vincent</v>
      </c>
      <c r="C137" s="2" t="str">
        <f>IFERROR(__xludf.DUMMYFUNCTION("""COMPUTED_VALUE"""),"rvincent3s@tinyurl.com")</f>
        <v>rvincent3s@tinyurl.com</v>
      </c>
      <c r="D137" s="4">
        <f>IFERROR(__xludf.DUMMYFUNCTION("""COMPUTED_VALUE"""),66.0)</f>
        <v>66</v>
      </c>
      <c r="E137" s="4">
        <f>IFERROR(__xludf.DUMMYFUNCTION("""COMPUTED_VALUE"""),13.0)</f>
        <v>13</v>
      </c>
      <c r="F137" s="4">
        <f>IFERROR(__xludf.DUMMYFUNCTION("""COMPUTED_VALUE"""),6.0)</f>
        <v>6</v>
      </c>
      <c r="G137" s="4">
        <f>IFERROR(__xludf.DUMMYFUNCTION("""COMPUTED_VALUE"""),977.0)</f>
        <v>977</v>
      </c>
      <c r="H137" s="5">
        <f>IFERROR(__xludf.DUMMYFUNCTION("""COMPUTED_VALUE"""),545.68)</f>
        <v>545.68</v>
      </c>
      <c r="I137" s="5">
        <f>IFERROR(__xludf.DUMMYFUNCTION("""COMPUTED_VALUE"""),2190.83)</f>
        <v>2190.83</v>
      </c>
      <c r="J137" s="5">
        <f>IFERROR(__xludf.DUMMYFUNCTION("""COMPUTED_VALUE"""),4009.94)</f>
        <v>4009.94</v>
      </c>
      <c r="K137" s="5">
        <f>IFERROR(__xludf.DUMMYFUNCTION("""COMPUTED_VALUE"""),6675.93)</f>
        <v>6675.93</v>
      </c>
      <c r="L137" s="4">
        <f>IFERROR(__xludf.DUMMYFUNCTION("""COMPUTED_VALUE"""),15.0)</f>
        <v>15</v>
      </c>
      <c r="M137" s="4">
        <f>IFERROR(__xludf.DUMMYFUNCTION("""COMPUTED_VALUE"""),25.0)</f>
        <v>25</v>
      </c>
      <c r="N137" s="2" t="str">
        <f>IFERROR(__xludf.DUMMYFUNCTION("""COMPUTED_VALUE"""),"VERDADERO")</f>
        <v>VERDADERO</v>
      </c>
    </row>
    <row r="138">
      <c r="A138" s="2">
        <f>IFERROR(__xludf.DUMMYFUNCTION("""COMPUTED_VALUE"""),137.0)</f>
        <v>137</v>
      </c>
      <c r="B138" s="2" t="str">
        <f>IFERROR(__xludf.DUMMYFUNCTION("""COMPUTED_VALUE"""),"Devlen Dudson")</f>
        <v>Devlen Dudson</v>
      </c>
      <c r="C138" s="2" t="str">
        <f>IFERROR(__xludf.DUMMYFUNCTION("""COMPUTED_VALUE"""),"ddudson3t@hatena.ne.jp")</f>
        <v>ddudson3t@hatena.ne.jp</v>
      </c>
      <c r="D138" s="4">
        <f>IFERROR(__xludf.DUMMYFUNCTION("""COMPUTED_VALUE"""),103.0)</f>
        <v>103</v>
      </c>
      <c r="E138" s="4">
        <f>IFERROR(__xludf.DUMMYFUNCTION("""COMPUTED_VALUE"""),81.0)</f>
        <v>81</v>
      </c>
      <c r="F138" s="4">
        <f>IFERROR(__xludf.DUMMYFUNCTION("""COMPUTED_VALUE"""),2.0)</f>
        <v>2</v>
      </c>
      <c r="G138" s="4">
        <f>IFERROR(__xludf.DUMMYFUNCTION("""COMPUTED_VALUE"""),988.0)</f>
        <v>988</v>
      </c>
      <c r="H138" s="5">
        <f>IFERROR(__xludf.DUMMYFUNCTION("""COMPUTED_VALUE"""),5139.96)</f>
        <v>5139.96</v>
      </c>
      <c r="I138" s="5">
        <f>IFERROR(__xludf.DUMMYFUNCTION("""COMPUTED_VALUE"""),1511.39)</f>
        <v>1511.39</v>
      </c>
      <c r="J138" s="5">
        <f>IFERROR(__xludf.DUMMYFUNCTION("""COMPUTED_VALUE"""),3425.39)</f>
        <v>3425.39</v>
      </c>
      <c r="K138" s="5">
        <f>IFERROR(__xludf.DUMMYFUNCTION("""COMPUTED_VALUE"""),5198.88)</f>
        <v>5198.88</v>
      </c>
      <c r="L138" s="4">
        <f>IFERROR(__xludf.DUMMYFUNCTION("""COMPUTED_VALUE"""),10.0)</f>
        <v>10</v>
      </c>
      <c r="M138" s="4">
        <f>IFERROR(__xludf.DUMMYFUNCTION("""COMPUTED_VALUE"""),74.0)</f>
        <v>74</v>
      </c>
      <c r="N138" s="2" t="str">
        <f>IFERROR(__xludf.DUMMYFUNCTION("""COMPUTED_VALUE"""),"FALSO")</f>
        <v>FALSO</v>
      </c>
    </row>
    <row r="139">
      <c r="A139" s="2">
        <f>IFERROR(__xludf.DUMMYFUNCTION("""COMPUTED_VALUE"""),138.0)</f>
        <v>138</v>
      </c>
      <c r="B139" s="2" t="str">
        <f>IFERROR(__xludf.DUMMYFUNCTION("""COMPUTED_VALUE"""),"Clarie Eynald")</f>
        <v>Clarie Eynald</v>
      </c>
      <c r="C139" s="2" t="str">
        <f>IFERROR(__xludf.DUMMYFUNCTION("""COMPUTED_VALUE"""),"ceynald3u@intel.com")</f>
        <v>ceynald3u@intel.com</v>
      </c>
      <c r="D139" s="4">
        <f>IFERROR(__xludf.DUMMYFUNCTION("""COMPUTED_VALUE"""),158.0)</f>
        <v>158</v>
      </c>
      <c r="E139" s="4">
        <f>IFERROR(__xludf.DUMMYFUNCTION("""COMPUTED_VALUE"""),81.0)</f>
        <v>81</v>
      </c>
      <c r="F139" s="4">
        <f>IFERROR(__xludf.DUMMYFUNCTION("""COMPUTED_VALUE"""),2.0)</f>
        <v>2</v>
      </c>
      <c r="G139" s="4">
        <f>IFERROR(__xludf.DUMMYFUNCTION("""COMPUTED_VALUE"""),1574.0)</f>
        <v>1574</v>
      </c>
      <c r="H139" s="5">
        <f>IFERROR(__xludf.DUMMYFUNCTION("""COMPUTED_VALUE"""),3414.39)</f>
        <v>3414.39</v>
      </c>
      <c r="I139" s="5">
        <f>IFERROR(__xludf.DUMMYFUNCTION("""COMPUTED_VALUE"""),9728.02)</f>
        <v>9728.02</v>
      </c>
      <c r="J139" s="5">
        <f>IFERROR(__xludf.DUMMYFUNCTION("""COMPUTED_VALUE"""),9044.08)</f>
        <v>9044.08</v>
      </c>
      <c r="K139" s="5">
        <f>IFERROR(__xludf.DUMMYFUNCTION("""COMPUTED_VALUE"""),5624.35)</f>
        <v>5624.35</v>
      </c>
      <c r="L139" s="4">
        <f>IFERROR(__xludf.DUMMYFUNCTION("""COMPUTED_VALUE"""),7.0)</f>
        <v>7</v>
      </c>
      <c r="M139" s="4">
        <f>IFERROR(__xludf.DUMMYFUNCTION("""COMPUTED_VALUE"""),57.0)</f>
        <v>57</v>
      </c>
      <c r="N139" s="2" t="str">
        <f>IFERROR(__xludf.DUMMYFUNCTION("""COMPUTED_VALUE"""),"FALSO")</f>
        <v>FALSO</v>
      </c>
    </row>
    <row r="140">
      <c r="A140" s="2">
        <f>IFERROR(__xludf.DUMMYFUNCTION("""COMPUTED_VALUE"""),139.0)</f>
        <v>139</v>
      </c>
      <c r="B140" s="2" t="str">
        <f>IFERROR(__xludf.DUMMYFUNCTION("""COMPUTED_VALUE"""),"Xymenes Caile")</f>
        <v>Xymenes Caile</v>
      </c>
      <c r="C140" s="2" t="str">
        <f>IFERROR(__xludf.DUMMYFUNCTION("""COMPUTED_VALUE"""),"xcaile3v@bandcamp.com")</f>
        <v>xcaile3v@bandcamp.com</v>
      </c>
      <c r="D140" s="4">
        <f>IFERROR(__xludf.DUMMYFUNCTION("""COMPUTED_VALUE"""),17.0)</f>
        <v>17</v>
      </c>
      <c r="E140" s="4">
        <f>IFERROR(__xludf.DUMMYFUNCTION("""COMPUTED_VALUE"""),81.0)</f>
        <v>81</v>
      </c>
      <c r="F140" s="4">
        <f>IFERROR(__xludf.DUMMYFUNCTION("""COMPUTED_VALUE"""),2.0)</f>
        <v>2</v>
      </c>
      <c r="G140" s="4">
        <f>IFERROR(__xludf.DUMMYFUNCTION("""COMPUTED_VALUE"""),1358.0)</f>
        <v>1358</v>
      </c>
      <c r="H140" s="5">
        <f>IFERROR(__xludf.DUMMYFUNCTION("""COMPUTED_VALUE"""),8547.77)</f>
        <v>8547.77</v>
      </c>
      <c r="I140" s="5">
        <f>IFERROR(__xludf.DUMMYFUNCTION("""COMPUTED_VALUE"""),8926.56)</f>
        <v>8926.56</v>
      </c>
      <c r="J140" s="5">
        <f>IFERROR(__xludf.DUMMYFUNCTION("""COMPUTED_VALUE"""),2267.37)</f>
        <v>2267.37</v>
      </c>
      <c r="K140" s="5">
        <f>IFERROR(__xludf.DUMMYFUNCTION("""COMPUTED_VALUE"""),2818.97)</f>
        <v>2818.97</v>
      </c>
      <c r="L140" s="4">
        <f>IFERROR(__xludf.DUMMYFUNCTION("""COMPUTED_VALUE"""),2.0)</f>
        <v>2</v>
      </c>
      <c r="M140" s="4">
        <f>IFERROR(__xludf.DUMMYFUNCTION("""COMPUTED_VALUE"""),32.0)</f>
        <v>32</v>
      </c>
      <c r="N140" s="2" t="str">
        <f>IFERROR(__xludf.DUMMYFUNCTION("""COMPUTED_VALUE"""),"VERDADERO")</f>
        <v>VERDADERO</v>
      </c>
    </row>
    <row r="141">
      <c r="A141" s="2">
        <f>IFERROR(__xludf.DUMMYFUNCTION("""COMPUTED_VALUE"""),140.0)</f>
        <v>140</v>
      </c>
      <c r="B141" s="2" t="str">
        <f>IFERROR(__xludf.DUMMYFUNCTION("""COMPUTED_VALUE"""),"Cherish Gleadle")</f>
        <v>Cherish Gleadle</v>
      </c>
      <c r="C141" s="2" t="str">
        <f>IFERROR(__xludf.DUMMYFUNCTION("""COMPUTED_VALUE"""),"cgleadle3w@liveinternet.ru")</f>
        <v>cgleadle3w@liveinternet.ru</v>
      </c>
      <c r="D141" s="4">
        <f>IFERROR(__xludf.DUMMYFUNCTION("""COMPUTED_VALUE"""),124.0)</f>
        <v>124</v>
      </c>
      <c r="E141" s="4">
        <f>IFERROR(__xludf.DUMMYFUNCTION("""COMPUTED_VALUE"""),85.0)</f>
        <v>85</v>
      </c>
      <c r="F141" s="4">
        <f>IFERROR(__xludf.DUMMYFUNCTION("""COMPUTED_VALUE"""),3.0)</f>
        <v>3</v>
      </c>
      <c r="G141" s="4">
        <f>IFERROR(__xludf.DUMMYFUNCTION("""COMPUTED_VALUE"""),1295.0)</f>
        <v>1295</v>
      </c>
      <c r="H141" s="5">
        <f>IFERROR(__xludf.DUMMYFUNCTION("""COMPUTED_VALUE"""),6589.77)</f>
        <v>6589.77</v>
      </c>
      <c r="I141" s="5">
        <f>IFERROR(__xludf.DUMMYFUNCTION("""COMPUTED_VALUE"""),7859.68)</f>
        <v>7859.68</v>
      </c>
      <c r="J141" s="5">
        <f>IFERROR(__xludf.DUMMYFUNCTION("""COMPUTED_VALUE"""),2790.34)</f>
        <v>2790.34</v>
      </c>
      <c r="K141" s="5">
        <f>IFERROR(__xludf.DUMMYFUNCTION("""COMPUTED_VALUE"""),7204.34)</f>
        <v>7204.34</v>
      </c>
      <c r="L141" s="4">
        <f>IFERROR(__xludf.DUMMYFUNCTION("""COMPUTED_VALUE"""),4.0)</f>
        <v>4</v>
      </c>
      <c r="M141" s="4">
        <f>IFERROR(__xludf.DUMMYFUNCTION("""COMPUTED_VALUE"""),45.0)</f>
        <v>45</v>
      </c>
      <c r="N141" s="2" t="str">
        <f>IFERROR(__xludf.DUMMYFUNCTION("""COMPUTED_VALUE"""),"FALSO")</f>
        <v>FALSO</v>
      </c>
    </row>
    <row r="142">
      <c r="A142" s="2">
        <f>IFERROR(__xludf.DUMMYFUNCTION("""COMPUTED_VALUE"""),141.0)</f>
        <v>141</v>
      </c>
      <c r="B142" s="2" t="str">
        <f>IFERROR(__xludf.DUMMYFUNCTION("""COMPUTED_VALUE"""),"Dusty Pringle")</f>
        <v>Dusty Pringle</v>
      </c>
      <c r="C142" s="2" t="str">
        <f>IFERROR(__xludf.DUMMYFUNCTION("""COMPUTED_VALUE"""),"dpringle3x@amazonaws.com")</f>
        <v>dpringle3x@amazonaws.com</v>
      </c>
      <c r="D142" s="4">
        <f>IFERROR(__xludf.DUMMYFUNCTION("""COMPUTED_VALUE"""),37.0)</f>
        <v>37</v>
      </c>
      <c r="E142" s="4">
        <f>IFERROR(__xludf.DUMMYFUNCTION("""COMPUTED_VALUE"""),107.0)</f>
        <v>107</v>
      </c>
      <c r="F142" s="4">
        <f>IFERROR(__xludf.DUMMYFUNCTION("""COMPUTED_VALUE"""),5.0)</f>
        <v>5</v>
      </c>
      <c r="G142" s="4">
        <f>IFERROR(__xludf.DUMMYFUNCTION("""COMPUTED_VALUE"""),1455.0)</f>
        <v>1455</v>
      </c>
      <c r="H142" s="5">
        <f>IFERROR(__xludf.DUMMYFUNCTION("""COMPUTED_VALUE"""),9929.53)</f>
        <v>9929.53</v>
      </c>
      <c r="I142" s="5">
        <f>IFERROR(__xludf.DUMMYFUNCTION("""COMPUTED_VALUE"""),8593.28)</f>
        <v>8593.28</v>
      </c>
      <c r="J142" s="5">
        <f>IFERROR(__xludf.DUMMYFUNCTION("""COMPUTED_VALUE"""),5704.9)</f>
        <v>5704.9</v>
      </c>
      <c r="K142" s="5">
        <f>IFERROR(__xludf.DUMMYFUNCTION("""COMPUTED_VALUE"""),550.26)</f>
        <v>550.26</v>
      </c>
      <c r="L142" s="4">
        <f>IFERROR(__xludf.DUMMYFUNCTION("""COMPUTED_VALUE"""),6.0)</f>
        <v>6</v>
      </c>
      <c r="M142" s="4">
        <f>IFERROR(__xludf.DUMMYFUNCTION("""COMPUTED_VALUE"""),96.0)</f>
        <v>96</v>
      </c>
      <c r="N142" s="2" t="str">
        <f>IFERROR(__xludf.DUMMYFUNCTION("""COMPUTED_VALUE"""),"VERDADERO")</f>
        <v>VERDADERO</v>
      </c>
    </row>
    <row r="143">
      <c r="A143" s="2">
        <f>IFERROR(__xludf.DUMMYFUNCTION("""COMPUTED_VALUE"""),142.0)</f>
        <v>142</v>
      </c>
      <c r="B143" s="2" t="str">
        <f>IFERROR(__xludf.DUMMYFUNCTION("""COMPUTED_VALUE"""),"Corinna Davydoch")</f>
        <v>Corinna Davydoch</v>
      </c>
      <c r="C143" s="2" t="str">
        <f>IFERROR(__xludf.DUMMYFUNCTION("""COMPUTED_VALUE"""),"cdavydoch3y@mediafire.com")</f>
        <v>cdavydoch3y@mediafire.com</v>
      </c>
      <c r="D143" s="4">
        <f>IFERROR(__xludf.DUMMYFUNCTION("""COMPUTED_VALUE"""),120.0)</f>
        <v>120</v>
      </c>
      <c r="E143" s="4">
        <f>IFERROR(__xludf.DUMMYFUNCTION("""COMPUTED_VALUE"""),48.0)</f>
        <v>48</v>
      </c>
      <c r="F143" s="4">
        <f>IFERROR(__xludf.DUMMYFUNCTION("""COMPUTED_VALUE"""),4.0)</f>
        <v>4</v>
      </c>
      <c r="G143" s="4">
        <f>IFERROR(__xludf.DUMMYFUNCTION("""COMPUTED_VALUE"""),1351.0)</f>
        <v>1351</v>
      </c>
      <c r="H143" s="5">
        <f>IFERROR(__xludf.DUMMYFUNCTION("""COMPUTED_VALUE"""),8184.77)</f>
        <v>8184.77</v>
      </c>
      <c r="I143" s="5">
        <f>IFERROR(__xludf.DUMMYFUNCTION("""COMPUTED_VALUE"""),5007.36)</f>
        <v>5007.36</v>
      </c>
      <c r="J143" s="5">
        <f>IFERROR(__xludf.DUMMYFUNCTION("""COMPUTED_VALUE"""),4452.36)</f>
        <v>4452.36</v>
      </c>
      <c r="K143" s="5">
        <f>IFERROR(__xludf.DUMMYFUNCTION("""COMPUTED_VALUE"""),3595.8)</f>
        <v>3595.8</v>
      </c>
      <c r="L143" s="4">
        <f>IFERROR(__xludf.DUMMYFUNCTION("""COMPUTED_VALUE"""),16.0)</f>
        <v>16</v>
      </c>
      <c r="M143" s="4">
        <f>IFERROR(__xludf.DUMMYFUNCTION("""COMPUTED_VALUE"""),47.0)</f>
        <v>47</v>
      </c>
      <c r="N143" s="2" t="str">
        <f>IFERROR(__xludf.DUMMYFUNCTION("""COMPUTED_VALUE"""),"VERDADERO")</f>
        <v>VERDADERO</v>
      </c>
    </row>
    <row r="144">
      <c r="A144" s="2">
        <f>IFERROR(__xludf.DUMMYFUNCTION("""COMPUTED_VALUE"""),143.0)</f>
        <v>143</v>
      </c>
      <c r="B144" s="2" t="str">
        <f>IFERROR(__xludf.DUMMYFUNCTION("""COMPUTED_VALUE"""),"Leila Lynskey")</f>
        <v>Leila Lynskey</v>
      </c>
      <c r="C144" s="2" t="str">
        <f>IFERROR(__xludf.DUMMYFUNCTION("""COMPUTED_VALUE"""),"llynskey3z@blinklist.com")</f>
        <v>llynskey3z@blinklist.com</v>
      </c>
      <c r="D144" s="4">
        <f>IFERROR(__xludf.DUMMYFUNCTION("""COMPUTED_VALUE"""),65.0)</f>
        <v>65</v>
      </c>
      <c r="E144" s="4">
        <f>IFERROR(__xludf.DUMMYFUNCTION("""COMPUTED_VALUE"""),60.0)</f>
        <v>60</v>
      </c>
      <c r="F144" s="4">
        <f>IFERROR(__xludf.DUMMYFUNCTION("""COMPUTED_VALUE"""),3.0)</f>
        <v>3</v>
      </c>
      <c r="G144" s="4">
        <f>IFERROR(__xludf.DUMMYFUNCTION("""COMPUTED_VALUE"""),535.0)</f>
        <v>535</v>
      </c>
      <c r="H144" s="5">
        <f>IFERROR(__xludf.DUMMYFUNCTION("""COMPUTED_VALUE"""),1117.02)</f>
        <v>1117.02</v>
      </c>
      <c r="I144" s="5">
        <f>IFERROR(__xludf.DUMMYFUNCTION("""COMPUTED_VALUE"""),8650.19)</f>
        <v>8650.19</v>
      </c>
      <c r="J144" s="5">
        <f>IFERROR(__xludf.DUMMYFUNCTION("""COMPUTED_VALUE"""),5539.82)</f>
        <v>5539.82</v>
      </c>
      <c r="K144" s="5">
        <f>IFERROR(__xludf.DUMMYFUNCTION("""COMPUTED_VALUE"""),5985.69)</f>
        <v>5985.69</v>
      </c>
      <c r="L144" s="4">
        <f>IFERROR(__xludf.DUMMYFUNCTION("""COMPUTED_VALUE"""),3.0)</f>
        <v>3</v>
      </c>
      <c r="M144" s="4">
        <f>IFERROR(__xludf.DUMMYFUNCTION("""COMPUTED_VALUE"""),83.0)</f>
        <v>83</v>
      </c>
      <c r="N144" s="2" t="str">
        <f>IFERROR(__xludf.DUMMYFUNCTION("""COMPUTED_VALUE"""),"VERDADERO")</f>
        <v>VERDADERO</v>
      </c>
    </row>
    <row r="145">
      <c r="A145" s="2">
        <f>IFERROR(__xludf.DUMMYFUNCTION("""COMPUTED_VALUE"""),144.0)</f>
        <v>144</v>
      </c>
      <c r="B145" s="2" t="str">
        <f>IFERROR(__xludf.DUMMYFUNCTION("""COMPUTED_VALUE"""),"Claudio Claworth")</f>
        <v>Claudio Claworth</v>
      </c>
      <c r="C145" s="2" t="str">
        <f>IFERROR(__xludf.DUMMYFUNCTION("""COMPUTED_VALUE"""),"cclaworth40@uiuc.edu")</f>
        <v>cclaworth40@uiuc.edu</v>
      </c>
      <c r="D145" s="4">
        <f>IFERROR(__xludf.DUMMYFUNCTION("""COMPUTED_VALUE"""),24.0)</f>
        <v>24</v>
      </c>
      <c r="E145" s="4">
        <f>IFERROR(__xludf.DUMMYFUNCTION("""COMPUTED_VALUE"""),75.0)</f>
        <v>75</v>
      </c>
      <c r="F145" s="4">
        <f>IFERROR(__xludf.DUMMYFUNCTION("""COMPUTED_VALUE"""),9.0)</f>
        <v>9</v>
      </c>
      <c r="G145" s="4">
        <f>IFERROR(__xludf.DUMMYFUNCTION("""COMPUTED_VALUE"""),1471.0)</f>
        <v>1471</v>
      </c>
      <c r="H145" s="5">
        <f>IFERROR(__xludf.DUMMYFUNCTION("""COMPUTED_VALUE"""),5193.05)</f>
        <v>5193.05</v>
      </c>
      <c r="I145" s="5">
        <f>IFERROR(__xludf.DUMMYFUNCTION("""COMPUTED_VALUE"""),1976.58)</f>
        <v>1976.58</v>
      </c>
      <c r="J145" s="5">
        <f>IFERROR(__xludf.DUMMYFUNCTION("""COMPUTED_VALUE"""),4636.09)</f>
        <v>4636.09</v>
      </c>
      <c r="K145" s="5">
        <f>IFERROR(__xludf.DUMMYFUNCTION("""COMPUTED_VALUE"""),414.36)</f>
        <v>414.36</v>
      </c>
      <c r="L145" s="4">
        <f>IFERROR(__xludf.DUMMYFUNCTION("""COMPUTED_VALUE"""),15.0)</f>
        <v>15</v>
      </c>
      <c r="M145" s="4">
        <f>IFERROR(__xludf.DUMMYFUNCTION("""COMPUTED_VALUE"""),14.0)</f>
        <v>14</v>
      </c>
      <c r="N145" s="2" t="str">
        <f>IFERROR(__xludf.DUMMYFUNCTION("""COMPUTED_VALUE"""),"VERDADERO")</f>
        <v>VERDADERO</v>
      </c>
    </row>
    <row r="146">
      <c r="A146" s="2">
        <f>IFERROR(__xludf.DUMMYFUNCTION("""COMPUTED_VALUE"""),145.0)</f>
        <v>145</v>
      </c>
      <c r="B146" s="2" t="str">
        <f>IFERROR(__xludf.DUMMYFUNCTION("""COMPUTED_VALUE"""),"Alika Pleasance")</f>
        <v>Alika Pleasance</v>
      </c>
      <c r="C146" s="2" t="str">
        <f>IFERROR(__xludf.DUMMYFUNCTION("""COMPUTED_VALUE"""),"apleasance41@sakura.ne.jp")</f>
        <v>apleasance41@sakura.ne.jp</v>
      </c>
      <c r="D146" s="4">
        <f>IFERROR(__xludf.DUMMYFUNCTION("""COMPUTED_VALUE"""),29.0)</f>
        <v>29</v>
      </c>
      <c r="E146" s="4">
        <f>IFERROR(__xludf.DUMMYFUNCTION("""COMPUTED_VALUE"""),90.0)</f>
        <v>90</v>
      </c>
      <c r="F146" s="4">
        <f>IFERROR(__xludf.DUMMYFUNCTION("""COMPUTED_VALUE"""),5.0)</f>
        <v>5</v>
      </c>
      <c r="G146" s="4">
        <f>IFERROR(__xludf.DUMMYFUNCTION("""COMPUTED_VALUE"""),811.0)</f>
        <v>811</v>
      </c>
      <c r="H146" s="5">
        <f>IFERROR(__xludf.DUMMYFUNCTION("""COMPUTED_VALUE"""),4524.0)</f>
        <v>4524</v>
      </c>
      <c r="I146" s="5">
        <f>IFERROR(__xludf.DUMMYFUNCTION("""COMPUTED_VALUE"""),4857.86)</f>
        <v>4857.86</v>
      </c>
      <c r="J146" s="5">
        <f>IFERROR(__xludf.DUMMYFUNCTION("""COMPUTED_VALUE"""),780.67)</f>
        <v>780.67</v>
      </c>
      <c r="K146" s="5">
        <f>IFERROR(__xludf.DUMMYFUNCTION("""COMPUTED_VALUE"""),2154.62)</f>
        <v>2154.62</v>
      </c>
      <c r="L146" s="4">
        <f>IFERROR(__xludf.DUMMYFUNCTION("""COMPUTED_VALUE"""),5.0)</f>
        <v>5</v>
      </c>
      <c r="M146" s="4">
        <f>IFERROR(__xludf.DUMMYFUNCTION("""COMPUTED_VALUE"""),72.0)</f>
        <v>72</v>
      </c>
      <c r="N146" s="2" t="str">
        <f>IFERROR(__xludf.DUMMYFUNCTION("""COMPUTED_VALUE"""),"FALSO")</f>
        <v>FALSO</v>
      </c>
    </row>
    <row r="147">
      <c r="A147" s="2">
        <f>IFERROR(__xludf.DUMMYFUNCTION("""COMPUTED_VALUE"""),146.0)</f>
        <v>146</v>
      </c>
      <c r="B147" s="2" t="str">
        <f>IFERROR(__xludf.DUMMYFUNCTION("""COMPUTED_VALUE"""),"Heddi Beszant")</f>
        <v>Heddi Beszant</v>
      </c>
      <c r="C147" s="2" t="str">
        <f>IFERROR(__xludf.DUMMYFUNCTION("""COMPUTED_VALUE"""),"hbeszant42@360.cn")</f>
        <v>hbeszant42@360.cn</v>
      </c>
      <c r="D147" s="4">
        <f>IFERROR(__xludf.DUMMYFUNCTION("""COMPUTED_VALUE"""),29.0)</f>
        <v>29</v>
      </c>
      <c r="E147" s="4">
        <f>IFERROR(__xludf.DUMMYFUNCTION("""COMPUTED_VALUE"""),107.0)</f>
        <v>107</v>
      </c>
      <c r="F147" s="4">
        <f>IFERROR(__xludf.DUMMYFUNCTION("""COMPUTED_VALUE"""),5.0)</f>
        <v>5</v>
      </c>
      <c r="G147" s="4">
        <f>IFERROR(__xludf.DUMMYFUNCTION("""COMPUTED_VALUE"""),964.0)</f>
        <v>964</v>
      </c>
      <c r="H147" s="5">
        <f>IFERROR(__xludf.DUMMYFUNCTION("""COMPUTED_VALUE"""),7044.23)</f>
        <v>7044.23</v>
      </c>
      <c r="I147" s="5">
        <f>IFERROR(__xludf.DUMMYFUNCTION("""COMPUTED_VALUE"""),1376.1)</f>
        <v>1376.1</v>
      </c>
      <c r="J147" s="5">
        <f>IFERROR(__xludf.DUMMYFUNCTION("""COMPUTED_VALUE"""),5907.93)</f>
        <v>5907.93</v>
      </c>
      <c r="K147" s="5">
        <f>IFERROR(__xludf.DUMMYFUNCTION("""COMPUTED_VALUE"""),1912.72)</f>
        <v>1912.72</v>
      </c>
      <c r="L147" s="4">
        <f>IFERROR(__xludf.DUMMYFUNCTION("""COMPUTED_VALUE"""),6.0)</f>
        <v>6</v>
      </c>
      <c r="M147" s="4">
        <f>IFERROR(__xludf.DUMMYFUNCTION("""COMPUTED_VALUE"""),62.0)</f>
        <v>62</v>
      </c>
      <c r="N147" s="2" t="str">
        <f>IFERROR(__xludf.DUMMYFUNCTION("""COMPUTED_VALUE"""),"VERDADERO")</f>
        <v>VERDADERO</v>
      </c>
    </row>
    <row r="148">
      <c r="A148" s="2">
        <f>IFERROR(__xludf.DUMMYFUNCTION("""COMPUTED_VALUE"""),147.0)</f>
        <v>147</v>
      </c>
      <c r="B148" s="2" t="str">
        <f>IFERROR(__xludf.DUMMYFUNCTION("""COMPUTED_VALUE"""),"Virge Webley")</f>
        <v>Virge Webley</v>
      </c>
      <c r="C148" s="2" t="str">
        <f>IFERROR(__xludf.DUMMYFUNCTION("""COMPUTED_VALUE"""),"vwebley43@mit.edu")</f>
        <v>vwebley43@mit.edu</v>
      </c>
      <c r="D148" s="4">
        <f>IFERROR(__xludf.DUMMYFUNCTION("""COMPUTED_VALUE"""),122.0)</f>
        <v>122</v>
      </c>
      <c r="E148" s="4">
        <f>IFERROR(__xludf.DUMMYFUNCTION("""COMPUTED_VALUE"""),39.0)</f>
        <v>39</v>
      </c>
      <c r="F148" s="4">
        <f>IFERROR(__xludf.DUMMYFUNCTION("""COMPUTED_VALUE"""),11.0)</f>
        <v>11</v>
      </c>
      <c r="G148" s="4">
        <f>IFERROR(__xludf.DUMMYFUNCTION("""COMPUTED_VALUE"""),969.0)</f>
        <v>969</v>
      </c>
      <c r="H148" s="5">
        <f>IFERROR(__xludf.DUMMYFUNCTION("""COMPUTED_VALUE"""),4051.41)</f>
        <v>4051.41</v>
      </c>
      <c r="I148" s="5">
        <f>IFERROR(__xludf.DUMMYFUNCTION("""COMPUTED_VALUE"""),6600.13)</f>
        <v>6600.13</v>
      </c>
      <c r="J148" s="5">
        <f>IFERROR(__xludf.DUMMYFUNCTION("""COMPUTED_VALUE"""),7916.47)</f>
        <v>7916.47</v>
      </c>
      <c r="K148" s="5">
        <f>IFERROR(__xludf.DUMMYFUNCTION("""COMPUTED_VALUE"""),2491.87)</f>
        <v>2491.87</v>
      </c>
      <c r="L148" s="4">
        <f>IFERROR(__xludf.DUMMYFUNCTION("""COMPUTED_VALUE"""),19.0)</f>
        <v>19</v>
      </c>
      <c r="M148" s="4">
        <f>IFERROR(__xludf.DUMMYFUNCTION("""COMPUTED_VALUE"""),57.0)</f>
        <v>57</v>
      </c>
      <c r="N148" s="2" t="str">
        <f>IFERROR(__xludf.DUMMYFUNCTION("""COMPUTED_VALUE"""),"FALSO")</f>
        <v>FALSO</v>
      </c>
    </row>
    <row r="149">
      <c r="A149" s="2">
        <f>IFERROR(__xludf.DUMMYFUNCTION("""COMPUTED_VALUE"""),148.0)</f>
        <v>148</v>
      </c>
      <c r="B149" s="2" t="str">
        <f>IFERROR(__xludf.DUMMYFUNCTION("""COMPUTED_VALUE"""),"Wyatan Early")</f>
        <v>Wyatan Early</v>
      </c>
      <c r="C149" s="2" t="str">
        <f>IFERROR(__xludf.DUMMYFUNCTION("""COMPUTED_VALUE"""),"wearly44@linkedin.com")</f>
        <v>wearly44@linkedin.com</v>
      </c>
      <c r="D149" s="4">
        <f>IFERROR(__xludf.DUMMYFUNCTION("""COMPUTED_VALUE"""),29.0)</f>
        <v>29</v>
      </c>
      <c r="E149" s="4">
        <f>IFERROR(__xludf.DUMMYFUNCTION("""COMPUTED_VALUE"""),81.0)</f>
        <v>81</v>
      </c>
      <c r="F149" s="4">
        <f>IFERROR(__xludf.DUMMYFUNCTION("""COMPUTED_VALUE"""),2.0)</f>
        <v>2</v>
      </c>
      <c r="G149" s="4">
        <f>IFERROR(__xludf.DUMMYFUNCTION("""COMPUTED_VALUE"""),476.0)</f>
        <v>476</v>
      </c>
      <c r="H149" s="5">
        <f>IFERROR(__xludf.DUMMYFUNCTION("""COMPUTED_VALUE"""),6636.72)</f>
        <v>6636.72</v>
      </c>
      <c r="I149" s="5">
        <f>IFERROR(__xludf.DUMMYFUNCTION("""COMPUTED_VALUE"""),5246.03)</f>
        <v>5246.03</v>
      </c>
      <c r="J149" s="5">
        <f>IFERROR(__xludf.DUMMYFUNCTION("""COMPUTED_VALUE"""),1293.28)</f>
        <v>1293.28</v>
      </c>
      <c r="K149" s="5">
        <f>IFERROR(__xludf.DUMMYFUNCTION("""COMPUTED_VALUE"""),1516.62)</f>
        <v>1516.62</v>
      </c>
      <c r="L149" s="4">
        <f>IFERROR(__xludf.DUMMYFUNCTION("""COMPUTED_VALUE"""),19.0)</f>
        <v>19</v>
      </c>
      <c r="M149" s="4">
        <f>IFERROR(__xludf.DUMMYFUNCTION("""COMPUTED_VALUE"""),83.0)</f>
        <v>83</v>
      </c>
      <c r="N149" s="2" t="str">
        <f>IFERROR(__xludf.DUMMYFUNCTION("""COMPUTED_VALUE"""),"VERDADERO")</f>
        <v>VERDADERO</v>
      </c>
    </row>
    <row r="150">
      <c r="A150" s="2">
        <f>IFERROR(__xludf.DUMMYFUNCTION("""COMPUTED_VALUE"""),149.0)</f>
        <v>149</v>
      </c>
      <c r="B150" s="2" t="str">
        <f>IFERROR(__xludf.DUMMYFUNCTION("""COMPUTED_VALUE"""),"Hoyt Risso")</f>
        <v>Hoyt Risso</v>
      </c>
      <c r="C150" s="2" t="str">
        <f>IFERROR(__xludf.DUMMYFUNCTION("""COMPUTED_VALUE"""),"hrisso45@nhs.uk")</f>
        <v>hrisso45@nhs.uk</v>
      </c>
      <c r="D150" s="4">
        <f>IFERROR(__xludf.DUMMYFUNCTION("""COMPUTED_VALUE"""),29.0)</f>
        <v>29</v>
      </c>
      <c r="E150" s="4">
        <f>IFERROR(__xludf.DUMMYFUNCTION("""COMPUTED_VALUE"""),27.0)</f>
        <v>27</v>
      </c>
      <c r="F150" s="4">
        <f>IFERROR(__xludf.DUMMYFUNCTION("""COMPUTED_VALUE"""),11.0)</f>
        <v>11</v>
      </c>
      <c r="G150" s="4">
        <f>IFERROR(__xludf.DUMMYFUNCTION("""COMPUTED_VALUE"""),1344.0)</f>
        <v>1344</v>
      </c>
      <c r="H150" s="5">
        <f>IFERROR(__xludf.DUMMYFUNCTION("""COMPUTED_VALUE"""),9959.06)</f>
        <v>9959.06</v>
      </c>
      <c r="I150" s="5">
        <f>IFERROR(__xludf.DUMMYFUNCTION("""COMPUTED_VALUE"""),7020.1)</f>
        <v>7020.1</v>
      </c>
      <c r="J150" s="5">
        <f>IFERROR(__xludf.DUMMYFUNCTION("""COMPUTED_VALUE"""),3090.17)</f>
        <v>3090.17</v>
      </c>
      <c r="K150" s="5">
        <f>IFERROR(__xludf.DUMMYFUNCTION("""COMPUTED_VALUE"""),7345.91)</f>
        <v>7345.91</v>
      </c>
      <c r="L150" s="4">
        <f>IFERROR(__xludf.DUMMYFUNCTION("""COMPUTED_VALUE"""),10.0)</f>
        <v>10</v>
      </c>
      <c r="M150" s="4">
        <f>IFERROR(__xludf.DUMMYFUNCTION("""COMPUTED_VALUE"""),67.0)</f>
        <v>67</v>
      </c>
      <c r="N150" s="2" t="str">
        <f>IFERROR(__xludf.DUMMYFUNCTION("""COMPUTED_VALUE"""),"VERDADERO")</f>
        <v>VERDADERO</v>
      </c>
    </row>
    <row r="151">
      <c r="A151" s="2">
        <f>IFERROR(__xludf.DUMMYFUNCTION("""COMPUTED_VALUE"""),150.0)</f>
        <v>150</v>
      </c>
      <c r="B151" s="2" t="str">
        <f>IFERROR(__xludf.DUMMYFUNCTION("""COMPUTED_VALUE"""),"Erwin Ioannidis")</f>
        <v>Erwin Ioannidis</v>
      </c>
      <c r="C151" s="2" t="str">
        <f>IFERROR(__xludf.DUMMYFUNCTION("""COMPUTED_VALUE"""),"eioannidis46@newsvine.com")</f>
        <v>eioannidis46@newsvine.com</v>
      </c>
      <c r="D151" s="4">
        <f>IFERROR(__xludf.DUMMYFUNCTION("""COMPUTED_VALUE"""),124.0)</f>
        <v>124</v>
      </c>
      <c r="E151" s="4">
        <f>IFERROR(__xludf.DUMMYFUNCTION("""COMPUTED_VALUE"""),85.0)</f>
        <v>85</v>
      </c>
      <c r="F151" s="4">
        <f>IFERROR(__xludf.DUMMYFUNCTION("""COMPUTED_VALUE"""),3.0)</f>
        <v>3</v>
      </c>
      <c r="G151" s="4">
        <f>IFERROR(__xludf.DUMMYFUNCTION("""COMPUTED_VALUE"""),966.0)</f>
        <v>966</v>
      </c>
      <c r="H151" s="5">
        <f>IFERROR(__xludf.DUMMYFUNCTION("""COMPUTED_VALUE"""),5812.81)</f>
        <v>5812.81</v>
      </c>
      <c r="I151" s="5">
        <f>IFERROR(__xludf.DUMMYFUNCTION("""COMPUTED_VALUE"""),3811.71)</f>
        <v>3811.71</v>
      </c>
      <c r="J151" s="5">
        <f>IFERROR(__xludf.DUMMYFUNCTION("""COMPUTED_VALUE"""),7699.28)</f>
        <v>7699.28</v>
      </c>
      <c r="K151" s="5">
        <f>IFERROR(__xludf.DUMMYFUNCTION("""COMPUTED_VALUE"""),3772.2)</f>
        <v>3772.2</v>
      </c>
      <c r="L151" s="4">
        <f>IFERROR(__xludf.DUMMYFUNCTION("""COMPUTED_VALUE"""),17.0)</f>
        <v>17</v>
      </c>
      <c r="M151" s="4">
        <f>IFERROR(__xludf.DUMMYFUNCTION("""COMPUTED_VALUE"""),36.0)</f>
        <v>36</v>
      </c>
      <c r="N151" s="2" t="str">
        <f>IFERROR(__xludf.DUMMYFUNCTION("""COMPUTED_VALUE"""),"FALSO")</f>
        <v>FALSO</v>
      </c>
    </row>
    <row r="152">
      <c r="A152" s="2">
        <f>IFERROR(__xludf.DUMMYFUNCTION("""COMPUTED_VALUE"""),151.0)</f>
        <v>151</v>
      </c>
      <c r="B152" s="2" t="str">
        <f>IFERROR(__xludf.DUMMYFUNCTION("""COMPUTED_VALUE"""),"Bjorn Parlott")</f>
        <v>Bjorn Parlott</v>
      </c>
      <c r="C152" s="2" t="str">
        <f>IFERROR(__xludf.DUMMYFUNCTION("""COMPUTED_VALUE"""),"bparlott47@netvibes.com")</f>
        <v>bparlott47@netvibes.com</v>
      </c>
      <c r="D152" s="4">
        <f>IFERROR(__xludf.DUMMYFUNCTION("""COMPUTED_VALUE"""),29.0)</f>
        <v>29</v>
      </c>
      <c r="E152" s="4">
        <f>IFERROR(__xludf.DUMMYFUNCTION("""COMPUTED_VALUE"""),66.0)</f>
        <v>66</v>
      </c>
      <c r="F152" s="4">
        <f>IFERROR(__xludf.DUMMYFUNCTION("""COMPUTED_VALUE"""),6.0)</f>
        <v>6</v>
      </c>
      <c r="G152" s="4">
        <f>IFERROR(__xludf.DUMMYFUNCTION("""COMPUTED_VALUE"""),1601.0)</f>
        <v>1601</v>
      </c>
      <c r="H152" s="5">
        <f>IFERROR(__xludf.DUMMYFUNCTION("""COMPUTED_VALUE"""),4168.76)</f>
        <v>4168.76</v>
      </c>
      <c r="I152" s="5">
        <f>IFERROR(__xludf.DUMMYFUNCTION("""COMPUTED_VALUE"""),6385.18)</f>
        <v>6385.18</v>
      </c>
      <c r="J152" s="5">
        <f>IFERROR(__xludf.DUMMYFUNCTION("""COMPUTED_VALUE"""),5304.61)</f>
        <v>5304.61</v>
      </c>
      <c r="K152" s="5">
        <f>IFERROR(__xludf.DUMMYFUNCTION("""COMPUTED_VALUE"""),5452.67)</f>
        <v>5452.67</v>
      </c>
      <c r="L152" s="4">
        <f>IFERROR(__xludf.DUMMYFUNCTION("""COMPUTED_VALUE"""),4.0)</f>
        <v>4</v>
      </c>
      <c r="M152" s="4">
        <f>IFERROR(__xludf.DUMMYFUNCTION("""COMPUTED_VALUE"""),99.0)</f>
        <v>99</v>
      </c>
      <c r="N152" s="2" t="str">
        <f>IFERROR(__xludf.DUMMYFUNCTION("""COMPUTED_VALUE"""),"VERDADERO")</f>
        <v>VERDADERO</v>
      </c>
    </row>
    <row r="153">
      <c r="A153" s="2">
        <f>IFERROR(__xludf.DUMMYFUNCTION("""COMPUTED_VALUE"""),152.0)</f>
        <v>152</v>
      </c>
      <c r="B153" s="2" t="str">
        <f>IFERROR(__xludf.DUMMYFUNCTION("""COMPUTED_VALUE"""),"Angelika McCluney")</f>
        <v>Angelika McCluney</v>
      </c>
      <c r="C153" s="2" t="str">
        <f>IFERROR(__xludf.DUMMYFUNCTION("""COMPUTED_VALUE"""),"amccluney48@istockphoto.com")</f>
        <v>amccluney48@istockphoto.com</v>
      </c>
      <c r="D153" s="4">
        <f>IFERROR(__xludf.DUMMYFUNCTION("""COMPUTED_VALUE"""),121.0)</f>
        <v>121</v>
      </c>
      <c r="E153" s="4">
        <f>IFERROR(__xludf.DUMMYFUNCTION("""COMPUTED_VALUE"""),53.0)</f>
        <v>53</v>
      </c>
      <c r="F153" s="4">
        <f>IFERROR(__xludf.DUMMYFUNCTION("""COMPUTED_VALUE"""),9.0)</f>
        <v>9</v>
      </c>
      <c r="G153" s="4">
        <f>IFERROR(__xludf.DUMMYFUNCTION("""COMPUTED_VALUE"""),437.0)</f>
        <v>437</v>
      </c>
      <c r="H153" s="5">
        <f>IFERROR(__xludf.DUMMYFUNCTION("""COMPUTED_VALUE"""),5914.4)</f>
        <v>5914.4</v>
      </c>
      <c r="I153" s="5">
        <f>IFERROR(__xludf.DUMMYFUNCTION("""COMPUTED_VALUE"""),9048.44)</f>
        <v>9048.44</v>
      </c>
      <c r="J153" s="5">
        <f>IFERROR(__xludf.DUMMYFUNCTION("""COMPUTED_VALUE"""),9168.4)</f>
        <v>9168.4</v>
      </c>
      <c r="K153" s="5">
        <f>IFERROR(__xludf.DUMMYFUNCTION("""COMPUTED_VALUE"""),7848.83)</f>
        <v>7848.83</v>
      </c>
      <c r="L153" s="4">
        <f>IFERROR(__xludf.DUMMYFUNCTION("""COMPUTED_VALUE"""),1.0)</f>
        <v>1</v>
      </c>
      <c r="M153" s="4">
        <f>IFERROR(__xludf.DUMMYFUNCTION("""COMPUTED_VALUE"""),100.0)</f>
        <v>100</v>
      </c>
      <c r="N153" s="2" t="str">
        <f>IFERROR(__xludf.DUMMYFUNCTION("""COMPUTED_VALUE"""),"FALSO")</f>
        <v>FALSO</v>
      </c>
    </row>
    <row r="154">
      <c r="A154" s="2">
        <f>IFERROR(__xludf.DUMMYFUNCTION("""COMPUTED_VALUE"""),153.0)</f>
        <v>153</v>
      </c>
      <c r="B154" s="2" t="str">
        <f>IFERROR(__xludf.DUMMYFUNCTION("""COMPUTED_VALUE"""),"Johna Paolillo")</f>
        <v>Johna Paolillo</v>
      </c>
      <c r="C154" s="2" t="str">
        <f>IFERROR(__xludf.DUMMYFUNCTION("""COMPUTED_VALUE"""),"jpaolillo49@slashdot.org")</f>
        <v>jpaolillo49@slashdot.org</v>
      </c>
      <c r="D154" s="4">
        <f>IFERROR(__xludf.DUMMYFUNCTION("""COMPUTED_VALUE"""),65.0)</f>
        <v>65</v>
      </c>
      <c r="E154" s="4">
        <f>IFERROR(__xludf.DUMMYFUNCTION("""COMPUTED_VALUE"""),90.0)</f>
        <v>90</v>
      </c>
      <c r="F154" s="4">
        <f>IFERROR(__xludf.DUMMYFUNCTION("""COMPUTED_VALUE"""),12.0)</f>
        <v>12</v>
      </c>
      <c r="G154" s="4">
        <f>IFERROR(__xludf.DUMMYFUNCTION("""COMPUTED_VALUE"""),238.0)</f>
        <v>238</v>
      </c>
      <c r="H154" s="5">
        <f>IFERROR(__xludf.DUMMYFUNCTION("""COMPUTED_VALUE"""),2073.42)</f>
        <v>2073.42</v>
      </c>
      <c r="I154" s="5">
        <f>IFERROR(__xludf.DUMMYFUNCTION("""COMPUTED_VALUE"""),9039.29)</f>
        <v>9039.29</v>
      </c>
      <c r="J154" s="5">
        <f>IFERROR(__xludf.DUMMYFUNCTION("""COMPUTED_VALUE"""),2571.62)</f>
        <v>2571.62</v>
      </c>
      <c r="K154" s="5">
        <f>IFERROR(__xludf.DUMMYFUNCTION("""COMPUTED_VALUE"""),9380.4)</f>
        <v>9380.4</v>
      </c>
      <c r="L154" s="4">
        <f>IFERROR(__xludf.DUMMYFUNCTION("""COMPUTED_VALUE"""),6.0)</f>
        <v>6</v>
      </c>
      <c r="M154" s="4">
        <f>IFERROR(__xludf.DUMMYFUNCTION("""COMPUTED_VALUE"""),49.0)</f>
        <v>49</v>
      </c>
      <c r="N154" s="2" t="str">
        <f>IFERROR(__xludf.DUMMYFUNCTION("""COMPUTED_VALUE"""),"FALSO")</f>
        <v>FALSO</v>
      </c>
    </row>
    <row r="155">
      <c r="A155" s="2">
        <f>IFERROR(__xludf.DUMMYFUNCTION("""COMPUTED_VALUE"""),154.0)</f>
        <v>154</v>
      </c>
      <c r="B155" s="2" t="str">
        <f>IFERROR(__xludf.DUMMYFUNCTION("""COMPUTED_VALUE"""),"Chase Rablen")</f>
        <v>Chase Rablen</v>
      </c>
      <c r="C155" s="2" t="str">
        <f>IFERROR(__xludf.DUMMYFUNCTION("""COMPUTED_VALUE"""),"crablen4a@cnn.com")</f>
        <v>crablen4a@cnn.com</v>
      </c>
      <c r="D155" s="4">
        <f>IFERROR(__xludf.DUMMYFUNCTION("""COMPUTED_VALUE"""),29.0)</f>
        <v>29</v>
      </c>
      <c r="E155" s="4">
        <f>IFERROR(__xludf.DUMMYFUNCTION("""COMPUTED_VALUE"""),66.0)</f>
        <v>66</v>
      </c>
      <c r="F155" s="4">
        <f>IFERROR(__xludf.DUMMYFUNCTION("""COMPUTED_VALUE"""),6.0)</f>
        <v>6</v>
      </c>
      <c r="G155" s="4">
        <f>IFERROR(__xludf.DUMMYFUNCTION("""COMPUTED_VALUE"""),742.0)</f>
        <v>742</v>
      </c>
      <c r="H155" s="5">
        <f>IFERROR(__xludf.DUMMYFUNCTION("""COMPUTED_VALUE"""),9363.8)</f>
        <v>9363.8</v>
      </c>
      <c r="I155" s="5">
        <f>IFERROR(__xludf.DUMMYFUNCTION("""COMPUTED_VALUE"""),2084.08)</f>
        <v>2084.08</v>
      </c>
      <c r="J155" s="5">
        <f>IFERROR(__xludf.DUMMYFUNCTION("""COMPUTED_VALUE"""),8998.13)</f>
        <v>8998.13</v>
      </c>
      <c r="K155" s="5">
        <f>IFERROR(__xludf.DUMMYFUNCTION("""COMPUTED_VALUE"""),7031.89)</f>
        <v>7031.89</v>
      </c>
      <c r="L155" s="4">
        <f>IFERROR(__xludf.DUMMYFUNCTION("""COMPUTED_VALUE"""),13.0)</f>
        <v>13</v>
      </c>
      <c r="M155" s="4">
        <f>IFERROR(__xludf.DUMMYFUNCTION("""COMPUTED_VALUE"""),69.0)</f>
        <v>69</v>
      </c>
      <c r="N155" s="2" t="str">
        <f>IFERROR(__xludf.DUMMYFUNCTION("""COMPUTED_VALUE"""),"FALSO")</f>
        <v>FALSO</v>
      </c>
    </row>
    <row r="156">
      <c r="A156" s="2">
        <f>IFERROR(__xludf.DUMMYFUNCTION("""COMPUTED_VALUE"""),155.0)</f>
        <v>155</v>
      </c>
      <c r="B156" s="2" t="str">
        <f>IFERROR(__xludf.DUMMYFUNCTION("""COMPUTED_VALUE"""),"Perrine Mobbs")</f>
        <v>Perrine Mobbs</v>
      </c>
      <c r="C156" s="2" t="str">
        <f>IFERROR(__xludf.DUMMYFUNCTION("""COMPUTED_VALUE"""),"pmobbs4b@ft.com")</f>
        <v>pmobbs4b@ft.com</v>
      </c>
      <c r="D156" s="4">
        <f>IFERROR(__xludf.DUMMYFUNCTION("""COMPUTED_VALUE"""),29.0)</f>
        <v>29</v>
      </c>
      <c r="E156" s="4">
        <f>IFERROR(__xludf.DUMMYFUNCTION("""COMPUTED_VALUE"""),107.0)</f>
        <v>107</v>
      </c>
      <c r="F156" s="4">
        <f>IFERROR(__xludf.DUMMYFUNCTION("""COMPUTED_VALUE"""),5.0)</f>
        <v>5</v>
      </c>
      <c r="G156" s="4">
        <f>IFERROR(__xludf.DUMMYFUNCTION("""COMPUTED_VALUE"""),1178.0)</f>
        <v>1178</v>
      </c>
      <c r="H156" s="5">
        <f>IFERROR(__xludf.DUMMYFUNCTION("""COMPUTED_VALUE"""),8386.17)</f>
        <v>8386.17</v>
      </c>
      <c r="I156" s="5">
        <f>IFERROR(__xludf.DUMMYFUNCTION("""COMPUTED_VALUE"""),9296.73)</f>
        <v>9296.73</v>
      </c>
      <c r="J156" s="5">
        <f>IFERROR(__xludf.DUMMYFUNCTION("""COMPUTED_VALUE"""),3508.96)</f>
        <v>3508.96</v>
      </c>
      <c r="K156" s="5">
        <f>IFERROR(__xludf.DUMMYFUNCTION("""COMPUTED_VALUE"""),1715.8)</f>
        <v>1715.8</v>
      </c>
      <c r="L156" s="4">
        <f>IFERROR(__xludf.DUMMYFUNCTION("""COMPUTED_VALUE"""),3.0)</f>
        <v>3</v>
      </c>
      <c r="M156" s="4">
        <f>IFERROR(__xludf.DUMMYFUNCTION("""COMPUTED_VALUE"""),7.0)</f>
        <v>7</v>
      </c>
      <c r="N156" s="2" t="str">
        <f>IFERROR(__xludf.DUMMYFUNCTION("""COMPUTED_VALUE"""),"FALSO")</f>
        <v>FALSO</v>
      </c>
    </row>
    <row r="157">
      <c r="A157" s="2">
        <f>IFERROR(__xludf.DUMMYFUNCTION("""COMPUTED_VALUE"""),156.0)</f>
        <v>156</v>
      </c>
      <c r="B157" s="2" t="str">
        <f>IFERROR(__xludf.DUMMYFUNCTION("""COMPUTED_VALUE"""),"Hubert Life")</f>
        <v>Hubert Life</v>
      </c>
      <c r="C157" s="2" t="str">
        <f>IFERROR(__xludf.DUMMYFUNCTION("""COMPUTED_VALUE"""),"hlife4c@cdbaby.com")</f>
        <v>hlife4c@cdbaby.com</v>
      </c>
      <c r="D157" s="4">
        <f>IFERROR(__xludf.DUMMYFUNCTION("""COMPUTED_VALUE"""),153.0)</f>
        <v>153</v>
      </c>
      <c r="E157" s="4">
        <f>IFERROR(__xludf.DUMMYFUNCTION("""COMPUTED_VALUE"""),81.0)</f>
        <v>81</v>
      </c>
      <c r="F157" s="4">
        <f>IFERROR(__xludf.DUMMYFUNCTION("""COMPUTED_VALUE"""),2.0)</f>
        <v>2</v>
      </c>
      <c r="G157" s="4">
        <f>IFERROR(__xludf.DUMMYFUNCTION("""COMPUTED_VALUE"""),859.0)</f>
        <v>859</v>
      </c>
      <c r="H157" s="5">
        <f>IFERROR(__xludf.DUMMYFUNCTION("""COMPUTED_VALUE"""),6450.17)</f>
        <v>6450.17</v>
      </c>
      <c r="I157" s="5">
        <f>IFERROR(__xludf.DUMMYFUNCTION("""COMPUTED_VALUE"""),3630.68)</f>
        <v>3630.68</v>
      </c>
      <c r="J157" s="5">
        <f>IFERROR(__xludf.DUMMYFUNCTION("""COMPUTED_VALUE"""),714.35)</f>
        <v>714.35</v>
      </c>
      <c r="K157" s="5">
        <f>IFERROR(__xludf.DUMMYFUNCTION("""COMPUTED_VALUE"""),7610.1)</f>
        <v>7610.1</v>
      </c>
      <c r="L157" s="4">
        <f>IFERROR(__xludf.DUMMYFUNCTION("""COMPUTED_VALUE"""),19.0)</f>
        <v>19</v>
      </c>
      <c r="M157" s="4">
        <f>IFERROR(__xludf.DUMMYFUNCTION("""COMPUTED_VALUE"""),25.0)</f>
        <v>25</v>
      </c>
      <c r="N157" s="2" t="str">
        <f>IFERROR(__xludf.DUMMYFUNCTION("""COMPUTED_VALUE"""),"VERDADERO")</f>
        <v>VERDADERO</v>
      </c>
    </row>
    <row r="158">
      <c r="A158" s="2">
        <f>IFERROR(__xludf.DUMMYFUNCTION("""COMPUTED_VALUE"""),157.0)</f>
        <v>157</v>
      </c>
      <c r="B158" s="2" t="str">
        <f>IFERROR(__xludf.DUMMYFUNCTION("""COMPUTED_VALUE"""),"Ivonne Crowche")</f>
        <v>Ivonne Crowche</v>
      </c>
      <c r="C158" s="2" t="str">
        <f>IFERROR(__xludf.DUMMYFUNCTION("""COMPUTED_VALUE"""),"icrowche4d@soup.io")</f>
        <v>icrowche4d@soup.io</v>
      </c>
      <c r="D158" s="4">
        <f>IFERROR(__xludf.DUMMYFUNCTION("""COMPUTED_VALUE"""),19.0)</f>
        <v>19</v>
      </c>
      <c r="E158" s="4">
        <f>IFERROR(__xludf.DUMMYFUNCTION("""COMPUTED_VALUE"""),81.0)</f>
        <v>81</v>
      </c>
      <c r="F158" s="4">
        <f>IFERROR(__xludf.DUMMYFUNCTION("""COMPUTED_VALUE"""),2.0)</f>
        <v>2</v>
      </c>
      <c r="G158" s="4">
        <f>IFERROR(__xludf.DUMMYFUNCTION("""COMPUTED_VALUE"""),1526.0)</f>
        <v>1526</v>
      </c>
      <c r="H158" s="5">
        <f>IFERROR(__xludf.DUMMYFUNCTION("""COMPUTED_VALUE"""),6167.01)</f>
        <v>6167.01</v>
      </c>
      <c r="I158" s="5">
        <f>IFERROR(__xludf.DUMMYFUNCTION("""COMPUTED_VALUE"""),5816.25)</f>
        <v>5816.25</v>
      </c>
      <c r="J158" s="5">
        <f>IFERROR(__xludf.DUMMYFUNCTION("""COMPUTED_VALUE"""),2796.43)</f>
        <v>2796.43</v>
      </c>
      <c r="K158" s="5">
        <f>IFERROR(__xludf.DUMMYFUNCTION("""COMPUTED_VALUE"""),9505.45)</f>
        <v>9505.45</v>
      </c>
      <c r="L158" s="4">
        <f>IFERROR(__xludf.DUMMYFUNCTION("""COMPUTED_VALUE"""),19.0)</f>
        <v>19</v>
      </c>
      <c r="M158" s="4">
        <f>IFERROR(__xludf.DUMMYFUNCTION("""COMPUTED_VALUE"""),70.0)</f>
        <v>70</v>
      </c>
      <c r="N158" s="2" t="str">
        <f>IFERROR(__xludf.DUMMYFUNCTION("""COMPUTED_VALUE"""),"FALSO")</f>
        <v>FALSO</v>
      </c>
    </row>
    <row r="159">
      <c r="A159" s="2">
        <f>IFERROR(__xludf.DUMMYFUNCTION("""COMPUTED_VALUE"""),158.0)</f>
        <v>158</v>
      </c>
      <c r="B159" s="2" t="str">
        <f>IFERROR(__xludf.DUMMYFUNCTION("""COMPUTED_VALUE"""),"Jocelyne Milne")</f>
        <v>Jocelyne Milne</v>
      </c>
      <c r="C159" s="2" t="str">
        <f>IFERROR(__xludf.DUMMYFUNCTION("""COMPUTED_VALUE"""),"jmilne4e@photobucket.com")</f>
        <v>jmilne4e@photobucket.com</v>
      </c>
      <c r="D159" s="4">
        <f>IFERROR(__xludf.DUMMYFUNCTION("""COMPUTED_VALUE"""),12.0)</f>
        <v>12</v>
      </c>
      <c r="E159" s="4">
        <f>IFERROR(__xludf.DUMMYFUNCTION("""COMPUTED_VALUE"""),107.0)</f>
        <v>107</v>
      </c>
      <c r="F159" s="4">
        <f>IFERROR(__xludf.DUMMYFUNCTION("""COMPUTED_VALUE"""),5.0)</f>
        <v>5</v>
      </c>
      <c r="G159" s="4">
        <f>IFERROR(__xludf.DUMMYFUNCTION("""COMPUTED_VALUE"""),1473.0)</f>
        <v>1473</v>
      </c>
      <c r="H159" s="5">
        <f>IFERROR(__xludf.DUMMYFUNCTION("""COMPUTED_VALUE"""),9922.43)</f>
        <v>9922.43</v>
      </c>
      <c r="I159" s="5">
        <f>IFERROR(__xludf.DUMMYFUNCTION("""COMPUTED_VALUE"""),376.7)</f>
        <v>376.7</v>
      </c>
      <c r="J159" s="5">
        <f>IFERROR(__xludf.DUMMYFUNCTION("""COMPUTED_VALUE"""),9738.47)</f>
        <v>9738.47</v>
      </c>
      <c r="K159" s="5">
        <f>IFERROR(__xludf.DUMMYFUNCTION("""COMPUTED_VALUE"""),4010.44)</f>
        <v>4010.44</v>
      </c>
      <c r="L159" s="4">
        <f>IFERROR(__xludf.DUMMYFUNCTION("""COMPUTED_VALUE"""),2.0)</f>
        <v>2</v>
      </c>
      <c r="M159" s="4">
        <f>IFERROR(__xludf.DUMMYFUNCTION("""COMPUTED_VALUE"""),88.0)</f>
        <v>88</v>
      </c>
      <c r="N159" s="2" t="str">
        <f>IFERROR(__xludf.DUMMYFUNCTION("""COMPUTED_VALUE"""),"FALSO")</f>
        <v>FALSO</v>
      </c>
    </row>
    <row r="160">
      <c r="A160" s="2">
        <f>IFERROR(__xludf.DUMMYFUNCTION("""COMPUTED_VALUE"""),159.0)</f>
        <v>159</v>
      </c>
      <c r="B160" s="2" t="str">
        <f>IFERROR(__xludf.DUMMYFUNCTION("""COMPUTED_VALUE"""),"Tonia Duiguid")</f>
        <v>Tonia Duiguid</v>
      </c>
      <c r="C160" s="2" t="str">
        <f>IFERROR(__xludf.DUMMYFUNCTION("""COMPUTED_VALUE"""),"tduiguid4f@istockphoto.com")</f>
        <v>tduiguid4f@istockphoto.com</v>
      </c>
      <c r="D160" s="4">
        <f>IFERROR(__xludf.DUMMYFUNCTION("""COMPUTED_VALUE"""),110.0)</f>
        <v>110</v>
      </c>
      <c r="E160" s="4">
        <f>IFERROR(__xludf.DUMMYFUNCTION("""COMPUTED_VALUE"""),6.0)</f>
        <v>6</v>
      </c>
      <c r="F160" s="4">
        <f>IFERROR(__xludf.DUMMYFUNCTION("""COMPUTED_VALUE"""),13.0)</f>
        <v>13</v>
      </c>
      <c r="G160" s="4">
        <f>IFERROR(__xludf.DUMMYFUNCTION("""COMPUTED_VALUE"""),312.0)</f>
        <v>312</v>
      </c>
      <c r="H160" s="5">
        <f>IFERROR(__xludf.DUMMYFUNCTION("""COMPUTED_VALUE"""),5175.35)</f>
        <v>5175.35</v>
      </c>
      <c r="I160" s="5">
        <f>IFERROR(__xludf.DUMMYFUNCTION("""COMPUTED_VALUE"""),712.09)</f>
        <v>712.09</v>
      </c>
      <c r="J160" s="5">
        <f>IFERROR(__xludf.DUMMYFUNCTION("""COMPUTED_VALUE"""),704.09)</f>
        <v>704.09</v>
      </c>
      <c r="K160" s="5">
        <f>IFERROR(__xludf.DUMMYFUNCTION("""COMPUTED_VALUE"""),2527.72)</f>
        <v>2527.72</v>
      </c>
      <c r="L160" s="4">
        <f>IFERROR(__xludf.DUMMYFUNCTION("""COMPUTED_VALUE"""),1.0)</f>
        <v>1</v>
      </c>
      <c r="M160" s="4">
        <f>IFERROR(__xludf.DUMMYFUNCTION("""COMPUTED_VALUE"""),58.0)</f>
        <v>58</v>
      </c>
      <c r="N160" s="2" t="str">
        <f>IFERROR(__xludf.DUMMYFUNCTION("""COMPUTED_VALUE"""),"VERDADERO")</f>
        <v>VERDADERO</v>
      </c>
    </row>
    <row r="161">
      <c r="A161" s="2">
        <f>IFERROR(__xludf.DUMMYFUNCTION("""COMPUTED_VALUE"""),160.0)</f>
        <v>160</v>
      </c>
      <c r="B161" s="2" t="str">
        <f>IFERROR(__xludf.DUMMYFUNCTION("""COMPUTED_VALUE"""),"Lora Sigfrid")</f>
        <v>Lora Sigfrid</v>
      </c>
      <c r="C161" s="2" t="str">
        <f>IFERROR(__xludf.DUMMYFUNCTION("""COMPUTED_VALUE"""),"lsigfrid4g@ihg.com")</f>
        <v>lsigfrid4g@ihg.com</v>
      </c>
      <c r="D161" s="4">
        <f>IFERROR(__xludf.DUMMYFUNCTION("""COMPUTED_VALUE"""),122.0)</f>
        <v>122</v>
      </c>
      <c r="E161" s="4">
        <f>IFERROR(__xludf.DUMMYFUNCTION("""COMPUTED_VALUE"""),18.0)</f>
        <v>18</v>
      </c>
      <c r="F161" s="4">
        <f>IFERROR(__xludf.DUMMYFUNCTION("""COMPUTED_VALUE"""),8.0)</f>
        <v>8</v>
      </c>
      <c r="G161" s="4">
        <f>IFERROR(__xludf.DUMMYFUNCTION("""COMPUTED_VALUE"""),393.0)</f>
        <v>393</v>
      </c>
      <c r="H161" s="5">
        <f>IFERROR(__xludf.DUMMYFUNCTION("""COMPUTED_VALUE"""),3819.37)</f>
        <v>3819.37</v>
      </c>
      <c r="I161" s="5">
        <f>IFERROR(__xludf.DUMMYFUNCTION("""COMPUTED_VALUE"""),3725.03)</f>
        <v>3725.03</v>
      </c>
      <c r="J161" s="5">
        <f>IFERROR(__xludf.DUMMYFUNCTION("""COMPUTED_VALUE"""),5808.74)</f>
        <v>5808.74</v>
      </c>
      <c r="K161" s="5">
        <f>IFERROR(__xludf.DUMMYFUNCTION("""COMPUTED_VALUE"""),902.38)</f>
        <v>902.38</v>
      </c>
      <c r="L161" s="4">
        <f>IFERROR(__xludf.DUMMYFUNCTION("""COMPUTED_VALUE"""),11.0)</f>
        <v>11</v>
      </c>
      <c r="M161" s="4">
        <f>IFERROR(__xludf.DUMMYFUNCTION("""COMPUTED_VALUE"""),25.0)</f>
        <v>25</v>
      </c>
      <c r="N161" s="2" t="str">
        <f>IFERROR(__xludf.DUMMYFUNCTION("""COMPUTED_VALUE"""),"VERDADERO")</f>
        <v>VERDADERO</v>
      </c>
    </row>
    <row r="162">
      <c r="A162" s="2">
        <f>IFERROR(__xludf.DUMMYFUNCTION("""COMPUTED_VALUE"""),161.0)</f>
        <v>161</v>
      </c>
      <c r="B162" s="2" t="str">
        <f>IFERROR(__xludf.DUMMYFUNCTION("""COMPUTED_VALUE"""),"Aleksandr McIlvaney")</f>
        <v>Aleksandr McIlvaney</v>
      </c>
      <c r="C162" s="2" t="str">
        <f>IFERROR(__xludf.DUMMYFUNCTION("""COMPUTED_VALUE"""),"amcilvaney4h@jigsy.com")</f>
        <v>amcilvaney4h@jigsy.com</v>
      </c>
      <c r="D162" s="4">
        <f>IFERROR(__xludf.DUMMYFUNCTION("""COMPUTED_VALUE"""),29.0)</f>
        <v>29</v>
      </c>
      <c r="E162" s="4">
        <f>IFERROR(__xludf.DUMMYFUNCTION("""COMPUTED_VALUE"""),107.0)</f>
        <v>107</v>
      </c>
      <c r="F162" s="4">
        <f>IFERROR(__xludf.DUMMYFUNCTION("""COMPUTED_VALUE"""),5.0)</f>
        <v>5</v>
      </c>
      <c r="G162" s="4">
        <f>IFERROR(__xludf.DUMMYFUNCTION("""COMPUTED_VALUE"""),241.0)</f>
        <v>241</v>
      </c>
      <c r="H162" s="5">
        <f>IFERROR(__xludf.DUMMYFUNCTION("""COMPUTED_VALUE"""),8919.23)</f>
        <v>8919.23</v>
      </c>
      <c r="I162" s="5">
        <f>IFERROR(__xludf.DUMMYFUNCTION("""COMPUTED_VALUE"""),8935.87)</f>
        <v>8935.87</v>
      </c>
      <c r="J162" s="5">
        <f>IFERROR(__xludf.DUMMYFUNCTION("""COMPUTED_VALUE"""),1116.4)</f>
        <v>1116.4</v>
      </c>
      <c r="K162" s="5">
        <f>IFERROR(__xludf.DUMMYFUNCTION("""COMPUTED_VALUE"""),1532.53)</f>
        <v>1532.53</v>
      </c>
      <c r="L162" s="4">
        <f>IFERROR(__xludf.DUMMYFUNCTION("""COMPUTED_VALUE"""),3.0)</f>
        <v>3</v>
      </c>
      <c r="M162" s="4">
        <f>IFERROR(__xludf.DUMMYFUNCTION("""COMPUTED_VALUE"""),73.0)</f>
        <v>73</v>
      </c>
      <c r="N162" s="2" t="str">
        <f>IFERROR(__xludf.DUMMYFUNCTION("""COMPUTED_VALUE"""),"VERDADERO")</f>
        <v>VERDADERO</v>
      </c>
    </row>
    <row r="163">
      <c r="A163" s="2">
        <f>IFERROR(__xludf.DUMMYFUNCTION("""COMPUTED_VALUE"""),162.0)</f>
        <v>162</v>
      </c>
      <c r="B163" s="2" t="str">
        <f>IFERROR(__xludf.DUMMYFUNCTION("""COMPUTED_VALUE"""),"Mile Howle")</f>
        <v>Mile Howle</v>
      </c>
      <c r="C163" s="2" t="str">
        <f>IFERROR(__xludf.DUMMYFUNCTION("""COMPUTED_VALUE"""),"mhowle4i@xing.com")</f>
        <v>mhowle4i@xing.com</v>
      </c>
      <c r="D163" s="4">
        <f>IFERROR(__xludf.DUMMYFUNCTION("""COMPUTED_VALUE"""),29.0)</f>
        <v>29</v>
      </c>
      <c r="E163" s="4">
        <f>IFERROR(__xludf.DUMMYFUNCTION("""COMPUTED_VALUE"""),119.0)</f>
        <v>119</v>
      </c>
      <c r="F163" s="4">
        <f>IFERROR(__xludf.DUMMYFUNCTION("""COMPUTED_VALUE"""),1.0)</f>
        <v>1</v>
      </c>
      <c r="G163" s="4">
        <f>IFERROR(__xludf.DUMMYFUNCTION("""COMPUTED_VALUE"""),1127.0)</f>
        <v>1127</v>
      </c>
      <c r="H163" s="5">
        <f>IFERROR(__xludf.DUMMYFUNCTION("""COMPUTED_VALUE"""),5062.1)</f>
        <v>5062.1</v>
      </c>
      <c r="I163" s="5">
        <f>IFERROR(__xludf.DUMMYFUNCTION("""COMPUTED_VALUE"""),668.7)</f>
        <v>668.7</v>
      </c>
      <c r="J163" s="5">
        <f>IFERROR(__xludf.DUMMYFUNCTION("""COMPUTED_VALUE"""),380.65)</f>
        <v>380.65</v>
      </c>
      <c r="K163" s="5">
        <f>IFERROR(__xludf.DUMMYFUNCTION("""COMPUTED_VALUE"""),704.09)</f>
        <v>704.09</v>
      </c>
      <c r="L163" s="4">
        <f>IFERROR(__xludf.DUMMYFUNCTION("""COMPUTED_VALUE"""),8.0)</f>
        <v>8</v>
      </c>
      <c r="M163" s="4">
        <f>IFERROR(__xludf.DUMMYFUNCTION("""COMPUTED_VALUE"""),48.0)</f>
        <v>48</v>
      </c>
      <c r="N163" s="2" t="str">
        <f>IFERROR(__xludf.DUMMYFUNCTION("""COMPUTED_VALUE"""),"VERDADERO")</f>
        <v>VERDADERO</v>
      </c>
    </row>
    <row r="164">
      <c r="A164" s="2">
        <f>IFERROR(__xludf.DUMMYFUNCTION("""COMPUTED_VALUE"""),163.0)</f>
        <v>163</v>
      </c>
      <c r="B164" s="2" t="str">
        <f>IFERROR(__xludf.DUMMYFUNCTION("""COMPUTED_VALUE"""),"Jeanna Larret")</f>
        <v>Jeanna Larret</v>
      </c>
      <c r="C164" s="2" t="str">
        <f>IFERROR(__xludf.DUMMYFUNCTION("""COMPUTED_VALUE"""),"jlarret4j@tamu.edu")</f>
        <v>jlarret4j@tamu.edu</v>
      </c>
      <c r="D164" s="4">
        <f>IFERROR(__xludf.DUMMYFUNCTION("""COMPUTED_VALUE"""),48.0)</f>
        <v>48</v>
      </c>
      <c r="E164" s="4">
        <f>IFERROR(__xludf.DUMMYFUNCTION("""COMPUTED_VALUE"""),39.0)</f>
        <v>39</v>
      </c>
      <c r="F164" s="4">
        <f>IFERROR(__xludf.DUMMYFUNCTION("""COMPUTED_VALUE"""),11.0)</f>
        <v>11</v>
      </c>
      <c r="G164" s="4">
        <f>IFERROR(__xludf.DUMMYFUNCTION("""COMPUTED_VALUE"""),1100.0)</f>
        <v>1100</v>
      </c>
      <c r="H164" s="5">
        <f>IFERROR(__xludf.DUMMYFUNCTION("""COMPUTED_VALUE"""),4983.31)</f>
        <v>4983.31</v>
      </c>
      <c r="I164" s="5">
        <f>IFERROR(__xludf.DUMMYFUNCTION("""COMPUTED_VALUE"""),6707.44)</f>
        <v>6707.44</v>
      </c>
      <c r="J164" s="5">
        <f>IFERROR(__xludf.DUMMYFUNCTION("""COMPUTED_VALUE"""),9859.9)</f>
        <v>9859.9</v>
      </c>
      <c r="K164" s="5">
        <f>IFERROR(__xludf.DUMMYFUNCTION("""COMPUTED_VALUE"""),8658.71)</f>
        <v>8658.71</v>
      </c>
      <c r="L164" s="4">
        <f>IFERROR(__xludf.DUMMYFUNCTION("""COMPUTED_VALUE"""),19.0)</f>
        <v>19</v>
      </c>
      <c r="M164" s="4">
        <f>IFERROR(__xludf.DUMMYFUNCTION("""COMPUTED_VALUE"""),71.0)</f>
        <v>71</v>
      </c>
      <c r="N164" s="2" t="str">
        <f>IFERROR(__xludf.DUMMYFUNCTION("""COMPUTED_VALUE"""),"FALSO")</f>
        <v>FALSO</v>
      </c>
    </row>
    <row r="165">
      <c r="A165" s="2">
        <f>IFERROR(__xludf.DUMMYFUNCTION("""COMPUTED_VALUE"""),164.0)</f>
        <v>164</v>
      </c>
      <c r="B165" s="2" t="str">
        <f>IFERROR(__xludf.DUMMYFUNCTION("""COMPUTED_VALUE"""),"Thomasina Ballantine")</f>
        <v>Thomasina Ballantine</v>
      </c>
      <c r="C165" s="2" t="str">
        <f>IFERROR(__xludf.DUMMYFUNCTION("""COMPUTED_VALUE"""),"tballantine4k@ucoz.ru")</f>
        <v>tballantine4k@ucoz.ru</v>
      </c>
      <c r="D165" s="4">
        <f>IFERROR(__xludf.DUMMYFUNCTION("""COMPUTED_VALUE"""),29.0)</f>
        <v>29</v>
      </c>
      <c r="E165" s="4">
        <f>IFERROR(__xludf.DUMMYFUNCTION("""COMPUTED_VALUE"""),29.0)</f>
        <v>29</v>
      </c>
      <c r="F165" s="4">
        <f>IFERROR(__xludf.DUMMYFUNCTION("""COMPUTED_VALUE"""),11.0)</f>
        <v>11</v>
      </c>
      <c r="G165" s="4">
        <f>IFERROR(__xludf.DUMMYFUNCTION("""COMPUTED_VALUE"""),1286.0)</f>
        <v>1286</v>
      </c>
      <c r="H165" s="5">
        <f>IFERROR(__xludf.DUMMYFUNCTION("""COMPUTED_VALUE"""),6150.66)</f>
        <v>6150.66</v>
      </c>
      <c r="I165" s="5">
        <f>IFERROR(__xludf.DUMMYFUNCTION("""COMPUTED_VALUE"""),5459.07)</f>
        <v>5459.07</v>
      </c>
      <c r="J165" s="5">
        <f>IFERROR(__xludf.DUMMYFUNCTION("""COMPUTED_VALUE"""),8427.36)</f>
        <v>8427.36</v>
      </c>
      <c r="K165" s="5">
        <f>IFERROR(__xludf.DUMMYFUNCTION("""COMPUTED_VALUE"""),5948.04)</f>
        <v>5948.04</v>
      </c>
      <c r="L165" s="4">
        <f>IFERROR(__xludf.DUMMYFUNCTION("""COMPUTED_VALUE"""),5.0)</f>
        <v>5</v>
      </c>
      <c r="M165" s="4">
        <f>IFERROR(__xludf.DUMMYFUNCTION("""COMPUTED_VALUE"""),71.0)</f>
        <v>71</v>
      </c>
      <c r="N165" s="2" t="str">
        <f>IFERROR(__xludf.DUMMYFUNCTION("""COMPUTED_VALUE"""),"VERDADERO")</f>
        <v>VERDADERO</v>
      </c>
    </row>
    <row r="166">
      <c r="A166" s="2">
        <f>IFERROR(__xludf.DUMMYFUNCTION("""COMPUTED_VALUE"""),165.0)</f>
        <v>165</v>
      </c>
      <c r="B166" s="2" t="str">
        <f>IFERROR(__xludf.DUMMYFUNCTION("""COMPUTED_VALUE"""),"Lanny Griffe")</f>
        <v>Lanny Griffe</v>
      </c>
      <c r="C166" s="2" t="str">
        <f>IFERROR(__xludf.DUMMYFUNCTION("""COMPUTED_VALUE"""),"lgriffe4l@cnn.com")</f>
        <v>lgriffe4l@cnn.com</v>
      </c>
      <c r="D166" s="4">
        <f>IFERROR(__xludf.DUMMYFUNCTION("""COMPUTED_VALUE"""),29.0)</f>
        <v>29</v>
      </c>
      <c r="E166" s="4">
        <f>IFERROR(__xludf.DUMMYFUNCTION("""COMPUTED_VALUE"""),80.0)</f>
        <v>80</v>
      </c>
      <c r="F166" s="4">
        <f>IFERROR(__xludf.DUMMYFUNCTION("""COMPUTED_VALUE"""),12.0)</f>
        <v>12</v>
      </c>
      <c r="G166" s="4">
        <f>IFERROR(__xludf.DUMMYFUNCTION("""COMPUTED_VALUE"""),1192.0)</f>
        <v>1192</v>
      </c>
      <c r="H166" s="5">
        <f>IFERROR(__xludf.DUMMYFUNCTION("""COMPUTED_VALUE"""),6071.11)</f>
        <v>6071.11</v>
      </c>
      <c r="I166" s="5">
        <f>IFERROR(__xludf.DUMMYFUNCTION("""COMPUTED_VALUE"""),3998.62)</f>
        <v>3998.62</v>
      </c>
      <c r="J166" s="5">
        <f>IFERROR(__xludf.DUMMYFUNCTION("""COMPUTED_VALUE"""),3108.17)</f>
        <v>3108.17</v>
      </c>
      <c r="K166" s="5">
        <f>IFERROR(__xludf.DUMMYFUNCTION("""COMPUTED_VALUE"""),4837.64)</f>
        <v>4837.64</v>
      </c>
      <c r="L166" s="4">
        <f>IFERROR(__xludf.DUMMYFUNCTION("""COMPUTED_VALUE"""),2.0)</f>
        <v>2</v>
      </c>
      <c r="M166" s="4">
        <f>IFERROR(__xludf.DUMMYFUNCTION("""COMPUTED_VALUE"""),19.0)</f>
        <v>19</v>
      </c>
      <c r="N166" s="2" t="str">
        <f>IFERROR(__xludf.DUMMYFUNCTION("""COMPUTED_VALUE"""),"FALSO")</f>
        <v>FALSO</v>
      </c>
    </row>
    <row r="167">
      <c r="A167" s="2">
        <f>IFERROR(__xludf.DUMMYFUNCTION("""COMPUTED_VALUE"""),166.0)</f>
        <v>166</v>
      </c>
      <c r="B167" s="2" t="str">
        <f>IFERROR(__xludf.DUMMYFUNCTION("""COMPUTED_VALUE"""),"Magdalen Solland")</f>
        <v>Magdalen Solland</v>
      </c>
      <c r="C167" s="2" t="str">
        <f>IFERROR(__xludf.DUMMYFUNCTION("""COMPUTED_VALUE"""),"msolland4m@w3.org")</f>
        <v>msolland4m@w3.org</v>
      </c>
      <c r="D167" s="4">
        <f>IFERROR(__xludf.DUMMYFUNCTION("""COMPUTED_VALUE"""),42.0)</f>
        <v>42</v>
      </c>
      <c r="E167" s="4">
        <f>IFERROR(__xludf.DUMMYFUNCTION("""COMPUTED_VALUE"""),55.0)</f>
        <v>55</v>
      </c>
      <c r="F167" s="4">
        <f>IFERROR(__xludf.DUMMYFUNCTION("""COMPUTED_VALUE"""),8.0)</f>
        <v>8</v>
      </c>
      <c r="G167" s="4">
        <f>IFERROR(__xludf.DUMMYFUNCTION("""COMPUTED_VALUE"""),885.0)</f>
        <v>885</v>
      </c>
      <c r="H167" s="5">
        <f>IFERROR(__xludf.DUMMYFUNCTION("""COMPUTED_VALUE"""),7811.09)</f>
        <v>7811.09</v>
      </c>
      <c r="I167" s="5">
        <f>IFERROR(__xludf.DUMMYFUNCTION("""COMPUTED_VALUE"""),459.71)</f>
        <v>459.71</v>
      </c>
      <c r="J167" s="5">
        <f>IFERROR(__xludf.DUMMYFUNCTION("""COMPUTED_VALUE"""),2594.07)</f>
        <v>2594.07</v>
      </c>
      <c r="K167" s="5">
        <f>IFERROR(__xludf.DUMMYFUNCTION("""COMPUTED_VALUE"""),8251.89)</f>
        <v>8251.89</v>
      </c>
      <c r="L167" s="4">
        <f>IFERROR(__xludf.DUMMYFUNCTION("""COMPUTED_VALUE"""),1.0)</f>
        <v>1</v>
      </c>
      <c r="M167" s="4">
        <f>IFERROR(__xludf.DUMMYFUNCTION("""COMPUTED_VALUE"""),67.0)</f>
        <v>67</v>
      </c>
      <c r="N167" s="2" t="str">
        <f>IFERROR(__xludf.DUMMYFUNCTION("""COMPUTED_VALUE"""),"FALSO")</f>
        <v>FALSO</v>
      </c>
    </row>
    <row r="168">
      <c r="A168" s="2">
        <f>IFERROR(__xludf.DUMMYFUNCTION("""COMPUTED_VALUE"""),167.0)</f>
        <v>167</v>
      </c>
      <c r="B168" s="2" t="str">
        <f>IFERROR(__xludf.DUMMYFUNCTION("""COMPUTED_VALUE"""),"Abdel Liven")</f>
        <v>Abdel Liven</v>
      </c>
      <c r="C168" s="2" t="str">
        <f>IFERROR(__xludf.DUMMYFUNCTION("""COMPUTED_VALUE"""),"aliven4n@typepad.com")</f>
        <v>aliven4n@typepad.com</v>
      </c>
      <c r="D168" s="4">
        <f>IFERROR(__xludf.DUMMYFUNCTION("""COMPUTED_VALUE"""),150.0)</f>
        <v>150</v>
      </c>
      <c r="E168" s="4">
        <f>IFERROR(__xludf.DUMMYFUNCTION("""COMPUTED_VALUE"""),42.0)</f>
        <v>42</v>
      </c>
      <c r="F168" s="4">
        <f>IFERROR(__xludf.DUMMYFUNCTION("""COMPUTED_VALUE"""),13.0)</f>
        <v>13</v>
      </c>
      <c r="G168" s="4">
        <f>IFERROR(__xludf.DUMMYFUNCTION("""COMPUTED_VALUE"""),1379.0)</f>
        <v>1379</v>
      </c>
      <c r="H168" s="5">
        <f>IFERROR(__xludf.DUMMYFUNCTION("""COMPUTED_VALUE"""),4053.81)</f>
        <v>4053.81</v>
      </c>
      <c r="I168" s="5">
        <f>IFERROR(__xludf.DUMMYFUNCTION("""COMPUTED_VALUE"""),7810.66)</f>
        <v>7810.66</v>
      </c>
      <c r="J168" s="5">
        <f>IFERROR(__xludf.DUMMYFUNCTION("""COMPUTED_VALUE"""),7501.12)</f>
        <v>7501.12</v>
      </c>
      <c r="K168" s="5">
        <f>IFERROR(__xludf.DUMMYFUNCTION("""COMPUTED_VALUE"""),6805.66)</f>
        <v>6805.66</v>
      </c>
      <c r="L168" s="4">
        <f>IFERROR(__xludf.DUMMYFUNCTION("""COMPUTED_VALUE"""),1.0)</f>
        <v>1</v>
      </c>
      <c r="M168" s="4">
        <f>IFERROR(__xludf.DUMMYFUNCTION("""COMPUTED_VALUE"""),86.0)</f>
        <v>86</v>
      </c>
      <c r="N168" s="2" t="str">
        <f>IFERROR(__xludf.DUMMYFUNCTION("""COMPUTED_VALUE"""),"FALSO")</f>
        <v>FALSO</v>
      </c>
    </row>
    <row r="169">
      <c r="A169" s="2">
        <f>IFERROR(__xludf.DUMMYFUNCTION("""COMPUTED_VALUE"""),168.0)</f>
        <v>168</v>
      </c>
      <c r="B169" s="2" t="str">
        <f>IFERROR(__xludf.DUMMYFUNCTION("""COMPUTED_VALUE"""),"Curtis Paler")</f>
        <v>Curtis Paler</v>
      </c>
      <c r="C169" s="2" t="str">
        <f>IFERROR(__xludf.DUMMYFUNCTION("""COMPUTED_VALUE"""),"cpaler4o@chicagotribune.com")</f>
        <v>cpaler4o@chicagotribune.com</v>
      </c>
      <c r="D169" s="4">
        <f>IFERROR(__xludf.DUMMYFUNCTION("""COMPUTED_VALUE"""),75.0)</f>
        <v>75</v>
      </c>
      <c r="E169" s="4">
        <f>IFERROR(__xludf.DUMMYFUNCTION("""COMPUTED_VALUE"""),66.0)</f>
        <v>66</v>
      </c>
      <c r="F169" s="4">
        <f>IFERROR(__xludf.DUMMYFUNCTION("""COMPUTED_VALUE"""),6.0)</f>
        <v>6</v>
      </c>
      <c r="G169" s="4">
        <f>IFERROR(__xludf.DUMMYFUNCTION("""COMPUTED_VALUE"""),1310.0)</f>
        <v>1310</v>
      </c>
      <c r="H169" s="5">
        <f>IFERROR(__xludf.DUMMYFUNCTION("""COMPUTED_VALUE"""),2492.66)</f>
        <v>2492.66</v>
      </c>
      <c r="I169" s="5">
        <f>IFERROR(__xludf.DUMMYFUNCTION("""COMPUTED_VALUE"""),4704.47)</f>
        <v>4704.47</v>
      </c>
      <c r="J169" s="5">
        <f>IFERROR(__xludf.DUMMYFUNCTION("""COMPUTED_VALUE"""),1430.93)</f>
        <v>1430.93</v>
      </c>
      <c r="K169" s="5">
        <f>IFERROR(__xludf.DUMMYFUNCTION("""COMPUTED_VALUE"""),56.08)</f>
        <v>56.08</v>
      </c>
      <c r="L169" s="4">
        <f>IFERROR(__xludf.DUMMYFUNCTION("""COMPUTED_VALUE"""),15.0)</f>
        <v>15</v>
      </c>
      <c r="M169" s="4">
        <f>IFERROR(__xludf.DUMMYFUNCTION("""COMPUTED_VALUE"""),26.0)</f>
        <v>26</v>
      </c>
      <c r="N169" s="2" t="str">
        <f>IFERROR(__xludf.DUMMYFUNCTION("""COMPUTED_VALUE"""),"FALSO")</f>
        <v>FALSO</v>
      </c>
    </row>
    <row r="170">
      <c r="A170" s="2">
        <f>IFERROR(__xludf.DUMMYFUNCTION("""COMPUTED_VALUE"""),169.0)</f>
        <v>169</v>
      </c>
      <c r="B170" s="2" t="str">
        <f>IFERROR(__xludf.DUMMYFUNCTION("""COMPUTED_VALUE"""),"Winona Ladbury")</f>
        <v>Winona Ladbury</v>
      </c>
      <c r="C170" s="2" t="str">
        <f>IFERROR(__xludf.DUMMYFUNCTION("""COMPUTED_VALUE"""),"wladbury4p@quantcast.com")</f>
        <v>wladbury4p@quantcast.com</v>
      </c>
      <c r="D170" s="4">
        <f>IFERROR(__xludf.DUMMYFUNCTION("""COMPUTED_VALUE"""),65.0)</f>
        <v>65</v>
      </c>
      <c r="E170" s="4">
        <f>IFERROR(__xludf.DUMMYFUNCTION("""COMPUTED_VALUE"""),9.0)</f>
        <v>9</v>
      </c>
      <c r="F170" s="4">
        <f>IFERROR(__xludf.DUMMYFUNCTION("""COMPUTED_VALUE"""),10.0)</f>
        <v>10</v>
      </c>
      <c r="G170" s="4">
        <f>IFERROR(__xludf.DUMMYFUNCTION("""COMPUTED_VALUE"""),1308.0)</f>
        <v>1308</v>
      </c>
      <c r="H170" s="5">
        <f>IFERROR(__xludf.DUMMYFUNCTION("""COMPUTED_VALUE"""),1563.76)</f>
        <v>1563.76</v>
      </c>
      <c r="I170" s="5">
        <f>IFERROR(__xludf.DUMMYFUNCTION("""COMPUTED_VALUE"""),6773.69)</f>
        <v>6773.69</v>
      </c>
      <c r="J170" s="5">
        <f>IFERROR(__xludf.DUMMYFUNCTION("""COMPUTED_VALUE"""),6704.07)</f>
        <v>6704.07</v>
      </c>
      <c r="K170" s="5">
        <f>IFERROR(__xludf.DUMMYFUNCTION("""COMPUTED_VALUE"""),9481.58)</f>
        <v>9481.58</v>
      </c>
      <c r="L170" s="4">
        <f>IFERROR(__xludf.DUMMYFUNCTION("""COMPUTED_VALUE"""),7.0)</f>
        <v>7</v>
      </c>
      <c r="M170" s="4">
        <f>IFERROR(__xludf.DUMMYFUNCTION("""COMPUTED_VALUE"""),74.0)</f>
        <v>74</v>
      </c>
      <c r="N170" s="2" t="str">
        <f>IFERROR(__xludf.DUMMYFUNCTION("""COMPUTED_VALUE"""),"FALSO")</f>
        <v>FALSO</v>
      </c>
    </row>
    <row r="171">
      <c r="A171" s="2">
        <f>IFERROR(__xludf.DUMMYFUNCTION("""COMPUTED_VALUE"""),170.0)</f>
        <v>170</v>
      </c>
      <c r="B171" s="2" t="str">
        <f>IFERROR(__xludf.DUMMYFUNCTION("""COMPUTED_VALUE"""),"Scarface Oneal")</f>
        <v>Scarface Oneal</v>
      </c>
      <c r="C171" s="2" t="str">
        <f>IFERROR(__xludf.DUMMYFUNCTION("""COMPUTED_VALUE"""),"soneal4q@homestead.com")</f>
        <v>soneal4q@homestead.com</v>
      </c>
      <c r="D171" s="4">
        <f>IFERROR(__xludf.DUMMYFUNCTION("""COMPUTED_VALUE"""),12.0)</f>
        <v>12</v>
      </c>
      <c r="E171" s="4">
        <f>IFERROR(__xludf.DUMMYFUNCTION("""COMPUTED_VALUE"""),107.0)</f>
        <v>107</v>
      </c>
      <c r="F171" s="4">
        <f>IFERROR(__xludf.DUMMYFUNCTION("""COMPUTED_VALUE"""),5.0)</f>
        <v>5</v>
      </c>
      <c r="G171" s="4">
        <f>IFERROR(__xludf.DUMMYFUNCTION("""COMPUTED_VALUE"""),9.0)</f>
        <v>9</v>
      </c>
      <c r="H171" s="5">
        <f>IFERROR(__xludf.DUMMYFUNCTION("""COMPUTED_VALUE"""),6747.53)</f>
        <v>6747.53</v>
      </c>
      <c r="I171" s="5">
        <f>IFERROR(__xludf.DUMMYFUNCTION("""COMPUTED_VALUE"""),7924.22)</f>
        <v>7924.22</v>
      </c>
      <c r="J171" s="5">
        <f>IFERROR(__xludf.DUMMYFUNCTION("""COMPUTED_VALUE"""),2237.02)</f>
        <v>2237.02</v>
      </c>
      <c r="K171" s="5">
        <f>IFERROR(__xludf.DUMMYFUNCTION("""COMPUTED_VALUE"""),841.15)</f>
        <v>841.15</v>
      </c>
      <c r="L171" s="4">
        <f>IFERROR(__xludf.DUMMYFUNCTION("""COMPUTED_VALUE"""),4.0)</f>
        <v>4</v>
      </c>
      <c r="M171" s="4">
        <f>IFERROR(__xludf.DUMMYFUNCTION("""COMPUTED_VALUE"""),64.0)</f>
        <v>64</v>
      </c>
      <c r="N171" s="2" t="str">
        <f>IFERROR(__xludf.DUMMYFUNCTION("""COMPUTED_VALUE"""),"FALSO")</f>
        <v>FALSO</v>
      </c>
    </row>
    <row r="172">
      <c r="A172" s="2">
        <f>IFERROR(__xludf.DUMMYFUNCTION("""COMPUTED_VALUE"""),171.0)</f>
        <v>171</v>
      </c>
      <c r="B172" s="2" t="str">
        <f>IFERROR(__xludf.DUMMYFUNCTION("""COMPUTED_VALUE"""),"Thorny Stedall")</f>
        <v>Thorny Stedall</v>
      </c>
      <c r="C172" s="2" t="str">
        <f>IFERROR(__xludf.DUMMYFUNCTION("""COMPUTED_VALUE"""),"tstedall4r@tinypic.com")</f>
        <v>tstedall4r@tinypic.com</v>
      </c>
      <c r="D172" s="4">
        <f>IFERROR(__xludf.DUMMYFUNCTION("""COMPUTED_VALUE"""),137.0)</f>
        <v>137</v>
      </c>
      <c r="E172" s="4">
        <f>IFERROR(__xludf.DUMMYFUNCTION("""COMPUTED_VALUE"""),81.0)</f>
        <v>81</v>
      </c>
      <c r="F172" s="4">
        <f>IFERROR(__xludf.DUMMYFUNCTION("""COMPUTED_VALUE"""),2.0)</f>
        <v>2</v>
      </c>
      <c r="G172" s="4">
        <f>IFERROR(__xludf.DUMMYFUNCTION("""COMPUTED_VALUE"""),63.0)</f>
        <v>63</v>
      </c>
      <c r="H172" s="5">
        <f>IFERROR(__xludf.DUMMYFUNCTION("""COMPUTED_VALUE"""),3800.48)</f>
        <v>3800.48</v>
      </c>
      <c r="I172" s="5">
        <f>IFERROR(__xludf.DUMMYFUNCTION("""COMPUTED_VALUE"""),9454.98)</f>
        <v>9454.98</v>
      </c>
      <c r="J172" s="5">
        <f>IFERROR(__xludf.DUMMYFUNCTION("""COMPUTED_VALUE"""),7963.52)</f>
        <v>7963.52</v>
      </c>
      <c r="K172" s="5">
        <f>IFERROR(__xludf.DUMMYFUNCTION("""COMPUTED_VALUE"""),6133.18)</f>
        <v>6133.18</v>
      </c>
      <c r="L172" s="4">
        <f>IFERROR(__xludf.DUMMYFUNCTION("""COMPUTED_VALUE"""),3.0)</f>
        <v>3</v>
      </c>
      <c r="M172" s="4">
        <f>IFERROR(__xludf.DUMMYFUNCTION("""COMPUTED_VALUE"""),70.0)</f>
        <v>70</v>
      </c>
      <c r="N172" s="2" t="str">
        <f>IFERROR(__xludf.DUMMYFUNCTION("""COMPUTED_VALUE"""),"VERDADERO")</f>
        <v>VERDADERO</v>
      </c>
    </row>
    <row r="173">
      <c r="A173" s="2">
        <f>IFERROR(__xludf.DUMMYFUNCTION("""COMPUTED_VALUE"""),172.0)</f>
        <v>172</v>
      </c>
      <c r="B173" s="2" t="str">
        <f>IFERROR(__xludf.DUMMYFUNCTION("""COMPUTED_VALUE"""),"Chrotoem Vanne")</f>
        <v>Chrotoem Vanne</v>
      </c>
      <c r="C173" s="2" t="str">
        <f>IFERROR(__xludf.DUMMYFUNCTION("""COMPUTED_VALUE"""),"cvanne4s@reverbnation.com")</f>
        <v>cvanne4s@reverbnation.com</v>
      </c>
      <c r="D173" s="4">
        <f>IFERROR(__xludf.DUMMYFUNCTION("""COMPUTED_VALUE"""),13.0)</f>
        <v>13</v>
      </c>
      <c r="E173" s="4">
        <f>IFERROR(__xludf.DUMMYFUNCTION("""COMPUTED_VALUE"""),101.0)</f>
        <v>101</v>
      </c>
      <c r="F173" s="4">
        <f>IFERROR(__xludf.DUMMYFUNCTION("""COMPUTED_VALUE"""),5.0)</f>
        <v>5</v>
      </c>
      <c r="G173" s="4">
        <f>IFERROR(__xludf.DUMMYFUNCTION("""COMPUTED_VALUE"""),747.0)</f>
        <v>747</v>
      </c>
      <c r="H173" s="5">
        <f>IFERROR(__xludf.DUMMYFUNCTION("""COMPUTED_VALUE"""),2167.78)</f>
        <v>2167.78</v>
      </c>
      <c r="I173" s="5">
        <f>IFERROR(__xludf.DUMMYFUNCTION("""COMPUTED_VALUE"""),7168.42)</f>
        <v>7168.42</v>
      </c>
      <c r="J173" s="5">
        <f>IFERROR(__xludf.DUMMYFUNCTION("""COMPUTED_VALUE"""),5904.25)</f>
        <v>5904.25</v>
      </c>
      <c r="K173" s="5">
        <f>IFERROR(__xludf.DUMMYFUNCTION("""COMPUTED_VALUE"""),5158.0)</f>
        <v>5158</v>
      </c>
      <c r="L173" s="4">
        <f>IFERROR(__xludf.DUMMYFUNCTION("""COMPUTED_VALUE"""),6.0)</f>
        <v>6</v>
      </c>
      <c r="M173" s="4">
        <f>IFERROR(__xludf.DUMMYFUNCTION("""COMPUTED_VALUE"""),74.0)</f>
        <v>74</v>
      </c>
      <c r="N173" s="2" t="str">
        <f>IFERROR(__xludf.DUMMYFUNCTION("""COMPUTED_VALUE"""),"FALSO")</f>
        <v>FALSO</v>
      </c>
    </row>
    <row r="174">
      <c r="A174" s="2">
        <f>IFERROR(__xludf.DUMMYFUNCTION("""COMPUTED_VALUE"""),173.0)</f>
        <v>173</v>
      </c>
      <c r="B174" s="2" t="str">
        <f>IFERROR(__xludf.DUMMYFUNCTION("""COMPUTED_VALUE"""),"Dana Althorpe")</f>
        <v>Dana Althorpe</v>
      </c>
      <c r="C174" s="2" t="str">
        <f>IFERROR(__xludf.DUMMYFUNCTION("""COMPUTED_VALUE"""),"dalthorpe4t@jiathis.com")</f>
        <v>dalthorpe4t@jiathis.com</v>
      </c>
      <c r="D174" s="4">
        <f>IFERROR(__xludf.DUMMYFUNCTION("""COMPUTED_VALUE"""),61.0)</f>
        <v>61</v>
      </c>
      <c r="E174" s="4">
        <f>IFERROR(__xludf.DUMMYFUNCTION("""COMPUTED_VALUE"""),81.0)</f>
        <v>81</v>
      </c>
      <c r="F174" s="4">
        <f>IFERROR(__xludf.DUMMYFUNCTION("""COMPUTED_VALUE"""),2.0)</f>
        <v>2</v>
      </c>
      <c r="G174" s="4">
        <f>IFERROR(__xludf.DUMMYFUNCTION("""COMPUTED_VALUE"""),486.0)</f>
        <v>486</v>
      </c>
      <c r="H174" s="5">
        <f>IFERROR(__xludf.DUMMYFUNCTION("""COMPUTED_VALUE"""),4343.59)</f>
        <v>4343.59</v>
      </c>
      <c r="I174" s="5">
        <f>IFERROR(__xludf.DUMMYFUNCTION("""COMPUTED_VALUE"""),1036.0)</f>
        <v>1036</v>
      </c>
      <c r="J174" s="5">
        <f>IFERROR(__xludf.DUMMYFUNCTION("""COMPUTED_VALUE"""),9554.34)</f>
        <v>9554.34</v>
      </c>
      <c r="K174" s="5">
        <f>IFERROR(__xludf.DUMMYFUNCTION("""COMPUTED_VALUE"""),913.24)</f>
        <v>913.24</v>
      </c>
      <c r="L174" s="4">
        <f>IFERROR(__xludf.DUMMYFUNCTION("""COMPUTED_VALUE"""),15.0)</f>
        <v>15</v>
      </c>
      <c r="M174" s="4">
        <f>IFERROR(__xludf.DUMMYFUNCTION("""COMPUTED_VALUE"""),96.0)</f>
        <v>96</v>
      </c>
      <c r="N174" s="2" t="str">
        <f>IFERROR(__xludf.DUMMYFUNCTION("""COMPUTED_VALUE"""),"FALSO")</f>
        <v>FALSO</v>
      </c>
    </row>
    <row r="175">
      <c r="A175" s="2">
        <f>IFERROR(__xludf.DUMMYFUNCTION("""COMPUTED_VALUE"""),174.0)</f>
        <v>174</v>
      </c>
      <c r="B175" s="2" t="str">
        <f>IFERROR(__xludf.DUMMYFUNCTION("""COMPUTED_VALUE"""),"Fairfax Fortin")</f>
        <v>Fairfax Fortin</v>
      </c>
      <c r="C175" s="2" t="str">
        <f>IFERROR(__xludf.DUMMYFUNCTION("""COMPUTED_VALUE"""),"ffortin4u@ted.com")</f>
        <v>ffortin4u@ted.com</v>
      </c>
      <c r="D175" s="4">
        <f>IFERROR(__xludf.DUMMYFUNCTION("""COMPUTED_VALUE"""),137.0)</f>
        <v>137</v>
      </c>
      <c r="E175" s="4">
        <f>IFERROR(__xludf.DUMMYFUNCTION("""COMPUTED_VALUE"""),61.0)</f>
        <v>61</v>
      </c>
      <c r="F175" s="4">
        <f>IFERROR(__xludf.DUMMYFUNCTION("""COMPUTED_VALUE"""),4.0)</f>
        <v>4</v>
      </c>
      <c r="G175" s="4">
        <f>IFERROR(__xludf.DUMMYFUNCTION("""COMPUTED_VALUE"""),769.0)</f>
        <v>769</v>
      </c>
      <c r="H175" s="5">
        <f>IFERROR(__xludf.DUMMYFUNCTION("""COMPUTED_VALUE"""),1776.69)</f>
        <v>1776.69</v>
      </c>
      <c r="I175" s="5">
        <f>IFERROR(__xludf.DUMMYFUNCTION("""COMPUTED_VALUE"""),2240.33)</f>
        <v>2240.33</v>
      </c>
      <c r="J175" s="5">
        <f>IFERROR(__xludf.DUMMYFUNCTION("""COMPUTED_VALUE"""),7029.25)</f>
        <v>7029.25</v>
      </c>
      <c r="K175" s="5">
        <f>IFERROR(__xludf.DUMMYFUNCTION("""COMPUTED_VALUE"""),4105.96)</f>
        <v>4105.96</v>
      </c>
      <c r="L175" s="4">
        <f>IFERROR(__xludf.DUMMYFUNCTION("""COMPUTED_VALUE"""),14.0)</f>
        <v>14</v>
      </c>
      <c r="M175" s="4">
        <f>IFERROR(__xludf.DUMMYFUNCTION("""COMPUTED_VALUE"""),22.0)</f>
        <v>22</v>
      </c>
      <c r="N175" s="2" t="str">
        <f>IFERROR(__xludf.DUMMYFUNCTION("""COMPUTED_VALUE"""),"VERDADERO")</f>
        <v>VERDADERO</v>
      </c>
    </row>
    <row r="176">
      <c r="A176" s="2">
        <f>IFERROR(__xludf.DUMMYFUNCTION("""COMPUTED_VALUE"""),175.0)</f>
        <v>175</v>
      </c>
      <c r="B176" s="2" t="str">
        <f>IFERROR(__xludf.DUMMYFUNCTION("""COMPUTED_VALUE"""),"Tadeas Chung")</f>
        <v>Tadeas Chung</v>
      </c>
      <c r="C176" s="2" t="str">
        <f>IFERROR(__xludf.DUMMYFUNCTION("""COMPUTED_VALUE"""),"tchung4v@nifty.com")</f>
        <v>tchung4v@nifty.com</v>
      </c>
      <c r="D176" s="4">
        <f>IFERROR(__xludf.DUMMYFUNCTION("""COMPUTED_VALUE"""),24.0)</f>
        <v>24</v>
      </c>
      <c r="E176" s="4">
        <f>IFERROR(__xludf.DUMMYFUNCTION("""COMPUTED_VALUE"""),11.0)</f>
        <v>11</v>
      </c>
      <c r="F176" s="4">
        <f>IFERROR(__xludf.DUMMYFUNCTION("""COMPUTED_VALUE"""),13.0)</f>
        <v>13</v>
      </c>
      <c r="G176" s="4">
        <f>IFERROR(__xludf.DUMMYFUNCTION("""COMPUTED_VALUE"""),1569.0)</f>
        <v>1569</v>
      </c>
      <c r="H176" s="5">
        <f>IFERROR(__xludf.DUMMYFUNCTION("""COMPUTED_VALUE"""),6403.97)</f>
        <v>6403.97</v>
      </c>
      <c r="I176" s="5">
        <f>IFERROR(__xludf.DUMMYFUNCTION("""COMPUTED_VALUE"""),9556.37)</f>
        <v>9556.37</v>
      </c>
      <c r="J176" s="5">
        <f>IFERROR(__xludf.DUMMYFUNCTION("""COMPUTED_VALUE"""),6079.41)</f>
        <v>6079.41</v>
      </c>
      <c r="K176" s="5">
        <f>IFERROR(__xludf.DUMMYFUNCTION("""COMPUTED_VALUE"""),4940.01)</f>
        <v>4940.01</v>
      </c>
      <c r="L176" s="4">
        <f>IFERROR(__xludf.DUMMYFUNCTION("""COMPUTED_VALUE"""),10.0)</f>
        <v>10</v>
      </c>
      <c r="M176" s="4">
        <f>IFERROR(__xludf.DUMMYFUNCTION("""COMPUTED_VALUE"""),20.0)</f>
        <v>20</v>
      </c>
      <c r="N176" s="2" t="str">
        <f>IFERROR(__xludf.DUMMYFUNCTION("""COMPUTED_VALUE"""),"VERDADERO")</f>
        <v>VERDADERO</v>
      </c>
    </row>
    <row r="177">
      <c r="A177" s="2">
        <f>IFERROR(__xludf.DUMMYFUNCTION("""COMPUTED_VALUE"""),176.0)</f>
        <v>176</v>
      </c>
      <c r="B177" s="2" t="str">
        <f>IFERROR(__xludf.DUMMYFUNCTION("""COMPUTED_VALUE"""),"Rubi Braitling")</f>
        <v>Rubi Braitling</v>
      </c>
      <c r="C177" s="2" t="str">
        <f>IFERROR(__xludf.DUMMYFUNCTION("""COMPUTED_VALUE"""),"rbraitling4w@nasa.gov")</f>
        <v>rbraitling4w@nasa.gov</v>
      </c>
      <c r="D177" s="4">
        <f>IFERROR(__xludf.DUMMYFUNCTION("""COMPUTED_VALUE"""),29.0)</f>
        <v>29</v>
      </c>
      <c r="E177" s="4">
        <f>IFERROR(__xludf.DUMMYFUNCTION("""COMPUTED_VALUE"""),119.0)</f>
        <v>119</v>
      </c>
      <c r="F177" s="4">
        <f>IFERROR(__xludf.DUMMYFUNCTION("""COMPUTED_VALUE"""),10.0)</f>
        <v>10</v>
      </c>
      <c r="G177" s="4">
        <f>IFERROR(__xludf.DUMMYFUNCTION("""COMPUTED_VALUE"""),971.0)</f>
        <v>971</v>
      </c>
      <c r="H177" s="5">
        <f>IFERROR(__xludf.DUMMYFUNCTION("""COMPUTED_VALUE"""),1018.89)</f>
        <v>1018.89</v>
      </c>
      <c r="I177" s="5">
        <f>IFERROR(__xludf.DUMMYFUNCTION("""COMPUTED_VALUE"""),8112.53)</f>
        <v>8112.53</v>
      </c>
      <c r="J177" s="5">
        <f>IFERROR(__xludf.DUMMYFUNCTION("""COMPUTED_VALUE"""),9565.18)</f>
        <v>9565.18</v>
      </c>
      <c r="K177" s="5">
        <f>IFERROR(__xludf.DUMMYFUNCTION("""COMPUTED_VALUE"""),5866.53)</f>
        <v>5866.53</v>
      </c>
      <c r="L177" s="4">
        <f>IFERROR(__xludf.DUMMYFUNCTION("""COMPUTED_VALUE"""),15.0)</f>
        <v>15</v>
      </c>
      <c r="M177" s="4">
        <f>IFERROR(__xludf.DUMMYFUNCTION("""COMPUTED_VALUE"""),31.0)</f>
        <v>31</v>
      </c>
      <c r="N177" s="2" t="str">
        <f>IFERROR(__xludf.DUMMYFUNCTION("""COMPUTED_VALUE"""),"FALSO")</f>
        <v>FALSO</v>
      </c>
    </row>
    <row r="178">
      <c r="A178" s="2">
        <f>IFERROR(__xludf.DUMMYFUNCTION("""COMPUTED_VALUE"""),177.0)</f>
        <v>177</v>
      </c>
      <c r="B178" s="2" t="str">
        <f>IFERROR(__xludf.DUMMYFUNCTION("""COMPUTED_VALUE"""),"Iain Nortcliffe")</f>
        <v>Iain Nortcliffe</v>
      </c>
      <c r="C178" s="2" t="str">
        <f>IFERROR(__xludf.DUMMYFUNCTION("""COMPUTED_VALUE"""),"inortcliffe4x@archive.org")</f>
        <v>inortcliffe4x@archive.org</v>
      </c>
      <c r="D178" s="4">
        <f>IFERROR(__xludf.DUMMYFUNCTION("""COMPUTED_VALUE"""),29.0)</f>
        <v>29</v>
      </c>
      <c r="E178" s="4">
        <f>IFERROR(__xludf.DUMMYFUNCTION("""COMPUTED_VALUE"""),55.0)</f>
        <v>55</v>
      </c>
      <c r="F178" s="4">
        <f>IFERROR(__xludf.DUMMYFUNCTION("""COMPUTED_VALUE"""),9.0)</f>
        <v>9</v>
      </c>
      <c r="G178" s="4">
        <f>IFERROR(__xludf.DUMMYFUNCTION("""COMPUTED_VALUE"""),756.0)</f>
        <v>756</v>
      </c>
      <c r="H178" s="5">
        <f>IFERROR(__xludf.DUMMYFUNCTION("""COMPUTED_VALUE"""),7770.45)</f>
        <v>7770.45</v>
      </c>
      <c r="I178" s="5">
        <f>IFERROR(__xludf.DUMMYFUNCTION("""COMPUTED_VALUE"""),3804.61)</f>
        <v>3804.61</v>
      </c>
      <c r="J178" s="5">
        <f>IFERROR(__xludf.DUMMYFUNCTION("""COMPUTED_VALUE"""),9085.69)</f>
        <v>9085.69</v>
      </c>
      <c r="K178" s="5">
        <f>IFERROR(__xludf.DUMMYFUNCTION("""COMPUTED_VALUE"""),1594.88)</f>
        <v>1594.88</v>
      </c>
      <c r="L178" s="4">
        <f>IFERROR(__xludf.DUMMYFUNCTION("""COMPUTED_VALUE"""),16.0)</f>
        <v>16</v>
      </c>
      <c r="M178" s="4">
        <f>IFERROR(__xludf.DUMMYFUNCTION("""COMPUTED_VALUE"""),15.0)</f>
        <v>15</v>
      </c>
      <c r="N178" s="2" t="str">
        <f>IFERROR(__xludf.DUMMYFUNCTION("""COMPUTED_VALUE"""),"VERDADERO")</f>
        <v>VERDADERO</v>
      </c>
    </row>
    <row r="179">
      <c r="A179" s="2">
        <f>IFERROR(__xludf.DUMMYFUNCTION("""COMPUTED_VALUE"""),178.0)</f>
        <v>178</v>
      </c>
      <c r="B179" s="2" t="str">
        <f>IFERROR(__xludf.DUMMYFUNCTION("""COMPUTED_VALUE"""),"Ardys Heigho")</f>
        <v>Ardys Heigho</v>
      </c>
      <c r="C179" s="2" t="str">
        <f>IFERROR(__xludf.DUMMYFUNCTION("""COMPUTED_VALUE"""),"aheigho4y@youtu.be")</f>
        <v>aheigho4y@youtu.be</v>
      </c>
      <c r="D179" s="4">
        <f>IFERROR(__xludf.DUMMYFUNCTION("""COMPUTED_VALUE"""),29.0)</f>
        <v>29</v>
      </c>
      <c r="E179" s="4">
        <f>IFERROR(__xludf.DUMMYFUNCTION("""COMPUTED_VALUE"""),71.0)</f>
        <v>71</v>
      </c>
      <c r="F179" s="4">
        <f>IFERROR(__xludf.DUMMYFUNCTION("""COMPUTED_VALUE"""),6.0)</f>
        <v>6</v>
      </c>
      <c r="G179" s="4">
        <f>IFERROR(__xludf.DUMMYFUNCTION("""COMPUTED_VALUE"""),1365.0)</f>
        <v>1365</v>
      </c>
      <c r="H179" s="5">
        <f>IFERROR(__xludf.DUMMYFUNCTION("""COMPUTED_VALUE"""),8148.18)</f>
        <v>8148.18</v>
      </c>
      <c r="I179" s="5">
        <f>IFERROR(__xludf.DUMMYFUNCTION("""COMPUTED_VALUE"""),9117.45)</f>
        <v>9117.45</v>
      </c>
      <c r="J179" s="5">
        <f>IFERROR(__xludf.DUMMYFUNCTION("""COMPUTED_VALUE"""),4771.42)</f>
        <v>4771.42</v>
      </c>
      <c r="K179" s="5">
        <f>IFERROR(__xludf.DUMMYFUNCTION("""COMPUTED_VALUE"""),7373.17)</f>
        <v>7373.17</v>
      </c>
      <c r="L179" s="4">
        <f>IFERROR(__xludf.DUMMYFUNCTION("""COMPUTED_VALUE"""),11.0)</f>
        <v>11</v>
      </c>
      <c r="M179" s="4">
        <f>IFERROR(__xludf.DUMMYFUNCTION("""COMPUTED_VALUE"""),33.0)</f>
        <v>33</v>
      </c>
      <c r="N179" s="2" t="str">
        <f>IFERROR(__xludf.DUMMYFUNCTION("""COMPUTED_VALUE"""),"FALSO")</f>
        <v>FALSO</v>
      </c>
    </row>
    <row r="180">
      <c r="A180" s="2">
        <f>IFERROR(__xludf.DUMMYFUNCTION("""COMPUTED_VALUE"""),179.0)</f>
        <v>179</v>
      </c>
      <c r="B180" s="2" t="str">
        <f>IFERROR(__xludf.DUMMYFUNCTION("""COMPUTED_VALUE"""),"Hildy Yetman")</f>
        <v>Hildy Yetman</v>
      </c>
      <c r="C180" s="2" t="str">
        <f>IFERROR(__xludf.DUMMYFUNCTION("""COMPUTED_VALUE"""),"hyetman4z@youku.com")</f>
        <v>hyetman4z@youku.com</v>
      </c>
      <c r="D180" s="4">
        <f>IFERROR(__xludf.DUMMYFUNCTION("""COMPUTED_VALUE"""),29.0)</f>
        <v>29</v>
      </c>
      <c r="E180" s="4">
        <f>IFERROR(__xludf.DUMMYFUNCTION("""COMPUTED_VALUE"""),11.0)</f>
        <v>11</v>
      </c>
      <c r="F180" s="4">
        <f>IFERROR(__xludf.DUMMYFUNCTION("""COMPUTED_VALUE"""),13.0)</f>
        <v>13</v>
      </c>
      <c r="G180" s="4">
        <f>IFERROR(__xludf.DUMMYFUNCTION("""COMPUTED_VALUE"""),1511.0)</f>
        <v>1511</v>
      </c>
      <c r="H180" s="5">
        <f>IFERROR(__xludf.DUMMYFUNCTION("""COMPUTED_VALUE"""),3849.01)</f>
        <v>3849.01</v>
      </c>
      <c r="I180" s="5">
        <f>IFERROR(__xludf.DUMMYFUNCTION("""COMPUTED_VALUE"""),5405.96)</f>
        <v>5405.96</v>
      </c>
      <c r="J180" s="5">
        <f>IFERROR(__xludf.DUMMYFUNCTION("""COMPUTED_VALUE"""),6072.87)</f>
        <v>6072.87</v>
      </c>
      <c r="K180" s="5">
        <f>IFERROR(__xludf.DUMMYFUNCTION("""COMPUTED_VALUE"""),7420.51)</f>
        <v>7420.51</v>
      </c>
      <c r="L180" s="4">
        <f>IFERROR(__xludf.DUMMYFUNCTION("""COMPUTED_VALUE"""),3.0)</f>
        <v>3</v>
      </c>
      <c r="M180" s="4">
        <f>IFERROR(__xludf.DUMMYFUNCTION("""COMPUTED_VALUE"""),82.0)</f>
        <v>82</v>
      </c>
      <c r="N180" s="2" t="str">
        <f>IFERROR(__xludf.DUMMYFUNCTION("""COMPUTED_VALUE"""),"VERDADERO")</f>
        <v>VERDADERO</v>
      </c>
    </row>
    <row r="181">
      <c r="A181" s="2">
        <f>IFERROR(__xludf.DUMMYFUNCTION("""COMPUTED_VALUE"""),180.0)</f>
        <v>180</v>
      </c>
      <c r="B181" s="2" t="str">
        <f>IFERROR(__xludf.DUMMYFUNCTION("""COMPUTED_VALUE"""),"Arney Jannaway")</f>
        <v>Arney Jannaway</v>
      </c>
      <c r="C181" s="2" t="str">
        <f>IFERROR(__xludf.DUMMYFUNCTION("""COMPUTED_VALUE"""),"ajannaway50@twitpic.com")</f>
        <v>ajannaway50@twitpic.com</v>
      </c>
      <c r="D181" s="4">
        <f>IFERROR(__xludf.DUMMYFUNCTION("""COMPUTED_VALUE"""),37.0)</f>
        <v>37</v>
      </c>
      <c r="E181" s="4">
        <f>IFERROR(__xludf.DUMMYFUNCTION("""COMPUTED_VALUE"""),81.0)</f>
        <v>81</v>
      </c>
      <c r="F181" s="4">
        <f>IFERROR(__xludf.DUMMYFUNCTION("""COMPUTED_VALUE"""),2.0)</f>
        <v>2</v>
      </c>
      <c r="G181" s="4">
        <f>IFERROR(__xludf.DUMMYFUNCTION("""COMPUTED_VALUE"""),385.0)</f>
        <v>385</v>
      </c>
      <c r="H181" s="5">
        <f>IFERROR(__xludf.DUMMYFUNCTION("""COMPUTED_VALUE"""),1373.48)</f>
        <v>1373.48</v>
      </c>
      <c r="I181" s="5">
        <f>IFERROR(__xludf.DUMMYFUNCTION("""COMPUTED_VALUE"""),6914.6)</f>
        <v>6914.6</v>
      </c>
      <c r="J181" s="5">
        <f>IFERROR(__xludf.DUMMYFUNCTION("""COMPUTED_VALUE"""),3416.77)</f>
        <v>3416.77</v>
      </c>
      <c r="K181" s="5">
        <f>IFERROR(__xludf.DUMMYFUNCTION("""COMPUTED_VALUE"""),6965.12)</f>
        <v>6965.12</v>
      </c>
      <c r="L181" s="4">
        <f>IFERROR(__xludf.DUMMYFUNCTION("""COMPUTED_VALUE"""),7.0)</f>
        <v>7</v>
      </c>
      <c r="M181" s="4">
        <f>IFERROR(__xludf.DUMMYFUNCTION("""COMPUTED_VALUE"""),24.0)</f>
        <v>24</v>
      </c>
      <c r="N181" s="2" t="str">
        <f>IFERROR(__xludf.DUMMYFUNCTION("""COMPUTED_VALUE"""),"FALSO")</f>
        <v>FALSO</v>
      </c>
    </row>
    <row r="182">
      <c r="A182" s="2">
        <f>IFERROR(__xludf.DUMMYFUNCTION("""COMPUTED_VALUE"""),181.0)</f>
        <v>181</v>
      </c>
      <c r="B182" s="2" t="str">
        <f>IFERROR(__xludf.DUMMYFUNCTION("""COMPUTED_VALUE"""),"Letizia Hewes")</f>
        <v>Letizia Hewes</v>
      </c>
      <c r="C182" s="2" t="str">
        <f>IFERROR(__xludf.DUMMYFUNCTION("""COMPUTED_VALUE"""),"lhewes51@dedecms.com")</f>
        <v>lhewes51@dedecms.com</v>
      </c>
      <c r="D182" s="4">
        <f>IFERROR(__xludf.DUMMYFUNCTION("""COMPUTED_VALUE"""),29.0)</f>
        <v>29</v>
      </c>
      <c r="E182" s="4">
        <f>IFERROR(__xludf.DUMMYFUNCTION("""COMPUTED_VALUE"""),74.0)</f>
        <v>74</v>
      </c>
      <c r="F182" s="4">
        <f>IFERROR(__xludf.DUMMYFUNCTION("""COMPUTED_VALUE"""),5.0)</f>
        <v>5</v>
      </c>
      <c r="G182" s="4">
        <f>IFERROR(__xludf.DUMMYFUNCTION("""COMPUTED_VALUE"""),1430.0)</f>
        <v>1430</v>
      </c>
      <c r="H182" s="5">
        <f>IFERROR(__xludf.DUMMYFUNCTION("""COMPUTED_VALUE"""),7482.91)</f>
        <v>7482.91</v>
      </c>
      <c r="I182" s="5">
        <f>IFERROR(__xludf.DUMMYFUNCTION("""COMPUTED_VALUE"""),4333.74)</f>
        <v>4333.74</v>
      </c>
      <c r="J182" s="5">
        <f>IFERROR(__xludf.DUMMYFUNCTION("""COMPUTED_VALUE"""),3406.37)</f>
        <v>3406.37</v>
      </c>
      <c r="K182" s="5">
        <f>IFERROR(__xludf.DUMMYFUNCTION("""COMPUTED_VALUE"""),5990.4)</f>
        <v>5990.4</v>
      </c>
      <c r="L182" s="4">
        <f>IFERROR(__xludf.DUMMYFUNCTION("""COMPUTED_VALUE"""),17.0)</f>
        <v>17</v>
      </c>
      <c r="M182" s="4">
        <f>IFERROR(__xludf.DUMMYFUNCTION("""COMPUTED_VALUE"""),58.0)</f>
        <v>58</v>
      </c>
      <c r="N182" s="2" t="str">
        <f>IFERROR(__xludf.DUMMYFUNCTION("""COMPUTED_VALUE"""),"VERDADERO")</f>
        <v>VERDADERO</v>
      </c>
    </row>
    <row r="183">
      <c r="A183" s="2">
        <f>IFERROR(__xludf.DUMMYFUNCTION("""COMPUTED_VALUE"""),182.0)</f>
        <v>182</v>
      </c>
      <c r="B183" s="2" t="str">
        <f>IFERROR(__xludf.DUMMYFUNCTION("""COMPUTED_VALUE"""),"Phip Belsham")</f>
        <v>Phip Belsham</v>
      </c>
      <c r="C183" s="2" t="str">
        <f>IFERROR(__xludf.DUMMYFUNCTION("""COMPUTED_VALUE"""),"pbelsham52@shareasale.com")</f>
        <v>pbelsham52@shareasale.com</v>
      </c>
      <c r="D183" s="4">
        <f>IFERROR(__xludf.DUMMYFUNCTION("""COMPUTED_VALUE"""),122.0)</f>
        <v>122</v>
      </c>
      <c r="E183" s="4">
        <f>IFERROR(__xludf.DUMMYFUNCTION("""COMPUTED_VALUE"""),40.0)</f>
        <v>40</v>
      </c>
      <c r="F183" s="4">
        <f>IFERROR(__xludf.DUMMYFUNCTION("""COMPUTED_VALUE"""),1.0)</f>
        <v>1</v>
      </c>
      <c r="G183" s="4">
        <f>IFERROR(__xludf.DUMMYFUNCTION("""COMPUTED_VALUE"""),519.0)</f>
        <v>519</v>
      </c>
      <c r="H183" s="5">
        <f>IFERROR(__xludf.DUMMYFUNCTION("""COMPUTED_VALUE"""),9376.06)</f>
        <v>9376.06</v>
      </c>
      <c r="I183" s="5">
        <f>IFERROR(__xludf.DUMMYFUNCTION("""COMPUTED_VALUE"""),8082.59)</f>
        <v>8082.59</v>
      </c>
      <c r="J183" s="5">
        <f>IFERROR(__xludf.DUMMYFUNCTION("""COMPUTED_VALUE"""),8676.02)</f>
        <v>8676.02</v>
      </c>
      <c r="K183" s="5">
        <f>IFERROR(__xludf.DUMMYFUNCTION("""COMPUTED_VALUE"""),9853.13)</f>
        <v>9853.13</v>
      </c>
      <c r="L183" s="4">
        <f>IFERROR(__xludf.DUMMYFUNCTION("""COMPUTED_VALUE"""),20.0)</f>
        <v>20</v>
      </c>
      <c r="M183" s="4">
        <f>IFERROR(__xludf.DUMMYFUNCTION("""COMPUTED_VALUE"""),38.0)</f>
        <v>38</v>
      </c>
      <c r="N183" s="2" t="str">
        <f>IFERROR(__xludf.DUMMYFUNCTION("""COMPUTED_VALUE"""),"FALSO")</f>
        <v>FALSO</v>
      </c>
    </row>
    <row r="184">
      <c r="A184" s="2">
        <f>IFERROR(__xludf.DUMMYFUNCTION("""COMPUTED_VALUE"""),183.0)</f>
        <v>183</v>
      </c>
      <c r="B184" s="2" t="str">
        <f>IFERROR(__xludf.DUMMYFUNCTION("""COMPUTED_VALUE"""),"Leonardo Eccleshare")</f>
        <v>Leonardo Eccleshare</v>
      </c>
      <c r="C184" s="2" t="str">
        <f>IFERROR(__xludf.DUMMYFUNCTION("""COMPUTED_VALUE"""),"leccleshare53@yahoo.co.jp")</f>
        <v>leccleshare53@yahoo.co.jp</v>
      </c>
      <c r="D184" s="4">
        <f>IFERROR(__xludf.DUMMYFUNCTION("""COMPUTED_VALUE"""),116.0)</f>
        <v>116</v>
      </c>
      <c r="E184" s="4">
        <f>IFERROR(__xludf.DUMMYFUNCTION("""COMPUTED_VALUE"""),29.0)</f>
        <v>29</v>
      </c>
      <c r="F184" s="4">
        <f>IFERROR(__xludf.DUMMYFUNCTION("""COMPUTED_VALUE"""),11.0)</f>
        <v>11</v>
      </c>
      <c r="G184" s="4">
        <f>IFERROR(__xludf.DUMMYFUNCTION("""COMPUTED_VALUE"""),1252.0)</f>
        <v>1252</v>
      </c>
      <c r="H184" s="5">
        <f>IFERROR(__xludf.DUMMYFUNCTION("""COMPUTED_VALUE"""),6525.73)</f>
        <v>6525.73</v>
      </c>
      <c r="I184" s="5">
        <f>IFERROR(__xludf.DUMMYFUNCTION("""COMPUTED_VALUE"""),3125.02)</f>
        <v>3125.02</v>
      </c>
      <c r="J184" s="5">
        <f>IFERROR(__xludf.DUMMYFUNCTION("""COMPUTED_VALUE"""),933.47)</f>
        <v>933.47</v>
      </c>
      <c r="K184" s="5">
        <f>IFERROR(__xludf.DUMMYFUNCTION("""COMPUTED_VALUE"""),8684.31)</f>
        <v>8684.31</v>
      </c>
      <c r="L184" s="4">
        <f>IFERROR(__xludf.DUMMYFUNCTION("""COMPUTED_VALUE"""),3.0)</f>
        <v>3</v>
      </c>
      <c r="M184" s="4">
        <f>IFERROR(__xludf.DUMMYFUNCTION("""COMPUTED_VALUE"""),86.0)</f>
        <v>86</v>
      </c>
      <c r="N184" s="2" t="str">
        <f>IFERROR(__xludf.DUMMYFUNCTION("""COMPUTED_VALUE"""),"FALSO")</f>
        <v>FALSO</v>
      </c>
    </row>
    <row r="185">
      <c r="A185" s="2">
        <f>IFERROR(__xludf.DUMMYFUNCTION("""COMPUTED_VALUE"""),184.0)</f>
        <v>184</v>
      </c>
      <c r="B185" s="2" t="str">
        <f>IFERROR(__xludf.DUMMYFUNCTION("""COMPUTED_VALUE"""),"Willabella Blatchford")</f>
        <v>Willabella Blatchford</v>
      </c>
      <c r="C185" s="2" t="str">
        <f>IFERROR(__xludf.DUMMYFUNCTION("""COMPUTED_VALUE"""),"wblatchford54@ft.com")</f>
        <v>wblatchford54@ft.com</v>
      </c>
      <c r="D185" s="4">
        <f>IFERROR(__xludf.DUMMYFUNCTION("""COMPUTED_VALUE"""),58.0)</f>
        <v>58</v>
      </c>
      <c r="E185" s="4">
        <f>IFERROR(__xludf.DUMMYFUNCTION("""COMPUTED_VALUE"""),63.0)</f>
        <v>63</v>
      </c>
      <c r="F185" s="4">
        <f>IFERROR(__xludf.DUMMYFUNCTION("""COMPUTED_VALUE"""),4.0)</f>
        <v>4</v>
      </c>
      <c r="G185" s="4">
        <f>IFERROR(__xludf.DUMMYFUNCTION("""COMPUTED_VALUE"""),634.0)</f>
        <v>634</v>
      </c>
      <c r="H185" s="5">
        <f>IFERROR(__xludf.DUMMYFUNCTION("""COMPUTED_VALUE"""),9678.62)</f>
        <v>9678.62</v>
      </c>
      <c r="I185" s="5">
        <f>IFERROR(__xludf.DUMMYFUNCTION("""COMPUTED_VALUE"""),7145.82)</f>
        <v>7145.82</v>
      </c>
      <c r="J185" s="5">
        <f>IFERROR(__xludf.DUMMYFUNCTION("""COMPUTED_VALUE"""),7591.5)</f>
        <v>7591.5</v>
      </c>
      <c r="K185" s="5">
        <f>IFERROR(__xludf.DUMMYFUNCTION("""COMPUTED_VALUE"""),807.97)</f>
        <v>807.97</v>
      </c>
      <c r="L185" s="4">
        <f>IFERROR(__xludf.DUMMYFUNCTION("""COMPUTED_VALUE"""),4.0)</f>
        <v>4</v>
      </c>
      <c r="M185" s="4">
        <f>IFERROR(__xludf.DUMMYFUNCTION("""COMPUTED_VALUE"""),1.0)</f>
        <v>1</v>
      </c>
      <c r="N185" s="2" t="str">
        <f>IFERROR(__xludf.DUMMYFUNCTION("""COMPUTED_VALUE"""),"VERDADERO")</f>
        <v>VERDADERO</v>
      </c>
    </row>
    <row r="186">
      <c r="A186" s="2">
        <f>IFERROR(__xludf.DUMMYFUNCTION("""COMPUTED_VALUE"""),185.0)</f>
        <v>185</v>
      </c>
      <c r="B186" s="2" t="str">
        <f>IFERROR(__xludf.DUMMYFUNCTION("""COMPUTED_VALUE"""),"Gearard Adlard")</f>
        <v>Gearard Adlard</v>
      </c>
      <c r="C186" s="2" t="str">
        <f>IFERROR(__xludf.DUMMYFUNCTION("""COMPUTED_VALUE"""),"gadlard55@va.gov")</f>
        <v>gadlard55@va.gov</v>
      </c>
      <c r="D186" s="4">
        <f>IFERROR(__xludf.DUMMYFUNCTION("""COMPUTED_VALUE"""),101.0)</f>
        <v>101</v>
      </c>
      <c r="E186" s="4">
        <f>IFERROR(__xludf.DUMMYFUNCTION("""COMPUTED_VALUE"""),81.0)</f>
        <v>81</v>
      </c>
      <c r="F186" s="4">
        <f>IFERROR(__xludf.DUMMYFUNCTION("""COMPUTED_VALUE"""),2.0)</f>
        <v>2</v>
      </c>
      <c r="G186" s="4">
        <f>IFERROR(__xludf.DUMMYFUNCTION("""COMPUTED_VALUE"""),710.0)</f>
        <v>710</v>
      </c>
      <c r="H186" s="5">
        <f>IFERROR(__xludf.DUMMYFUNCTION("""COMPUTED_VALUE"""),2106.98)</f>
        <v>2106.98</v>
      </c>
      <c r="I186" s="5">
        <f>IFERROR(__xludf.DUMMYFUNCTION("""COMPUTED_VALUE"""),6542.75)</f>
        <v>6542.75</v>
      </c>
      <c r="J186" s="5">
        <f>IFERROR(__xludf.DUMMYFUNCTION("""COMPUTED_VALUE"""),134.92)</f>
        <v>134.92</v>
      </c>
      <c r="K186" s="5">
        <f>IFERROR(__xludf.DUMMYFUNCTION("""COMPUTED_VALUE"""),5802.05)</f>
        <v>5802.05</v>
      </c>
      <c r="L186" s="4">
        <f>IFERROR(__xludf.DUMMYFUNCTION("""COMPUTED_VALUE"""),10.0)</f>
        <v>10</v>
      </c>
      <c r="M186" s="4">
        <f>IFERROR(__xludf.DUMMYFUNCTION("""COMPUTED_VALUE"""),25.0)</f>
        <v>25</v>
      </c>
      <c r="N186" s="2" t="str">
        <f>IFERROR(__xludf.DUMMYFUNCTION("""COMPUTED_VALUE"""),"VERDADERO")</f>
        <v>VERDADERO</v>
      </c>
    </row>
    <row r="187">
      <c r="A187" s="2">
        <f>IFERROR(__xludf.DUMMYFUNCTION("""COMPUTED_VALUE"""),186.0)</f>
        <v>186</v>
      </c>
      <c r="B187" s="2" t="str">
        <f>IFERROR(__xludf.DUMMYFUNCTION("""COMPUTED_VALUE"""),"Joyann Antoniak")</f>
        <v>Joyann Antoniak</v>
      </c>
      <c r="C187" s="2" t="str">
        <f>IFERROR(__xludf.DUMMYFUNCTION("""COMPUTED_VALUE"""),"jantoniak56@forbes.com")</f>
        <v>jantoniak56@forbes.com</v>
      </c>
      <c r="D187" s="4">
        <f>IFERROR(__xludf.DUMMYFUNCTION("""COMPUTED_VALUE"""),29.0)</f>
        <v>29</v>
      </c>
      <c r="E187" s="4">
        <f>IFERROR(__xludf.DUMMYFUNCTION("""COMPUTED_VALUE"""),64.0)</f>
        <v>64</v>
      </c>
      <c r="F187" s="4">
        <f>IFERROR(__xludf.DUMMYFUNCTION("""COMPUTED_VALUE"""),4.0)</f>
        <v>4</v>
      </c>
      <c r="G187" s="4">
        <f>IFERROR(__xludf.DUMMYFUNCTION("""COMPUTED_VALUE"""),412.0)</f>
        <v>412</v>
      </c>
      <c r="H187" s="5">
        <f>IFERROR(__xludf.DUMMYFUNCTION("""COMPUTED_VALUE"""),4476.21)</f>
        <v>4476.21</v>
      </c>
      <c r="I187" s="5">
        <f>IFERROR(__xludf.DUMMYFUNCTION("""COMPUTED_VALUE"""),8979.7)</f>
        <v>8979.7</v>
      </c>
      <c r="J187" s="5">
        <f>IFERROR(__xludf.DUMMYFUNCTION("""COMPUTED_VALUE"""),8450.3)</f>
        <v>8450.3</v>
      </c>
      <c r="K187" s="5">
        <f>IFERROR(__xludf.DUMMYFUNCTION("""COMPUTED_VALUE"""),9521.56)</f>
        <v>9521.56</v>
      </c>
      <c r="L187" s="4">
        <f>IFERROR(__xludf.DUMMYFUNCTION("""COMPUTED_VALUE"""),3.0)</f>
        <v>3</v>
      </c>
      <c r="M187" s="4">
        <f>IFERROR(__xludf.DUMMYFUNCTION("""COMPUTED_VALUE"""),94.0)</f>
        <v>94</v>
      </c>
      <c r="N187" s="2" t="str">
        <f>IFERROR(__xludf.DUMMYFUNCTION("""COMPUTED_VALUE"""),"VERDADERO")</f>
        <v>VERDADERO</v>
      </c>
    </row>
    <row r="188">
      <c r="A188" s="2">
        <f>IFERROR(__xludf.DUMMYFUNCTION("""COMPUTED_VALUE"""),187.0)</f>
        <v>187</v>
      </c>
      <c r="B188" s="2" t="str">
        <f>IFERROR(__xludf.DUMMYFUNCTION("""COMPUTED_VALUE"""),"Ulla Hamor")</f>
        <v>Ulla Hamor</v>
      </c>
      <c r="C188" s="2" t="str">
        <f>IFERROR(__xludf.DUMMYFUNCTION("""COMPUTED_VALUE"""),"uhamor57@qq.com")</f>
        <v>uhamor57@qq.com</v>
      </c>
      <c r="D188" s="4">
        <f>IFERROR(__xludf.DUMMYFUNCTION("""COMPUTED_VALUE"""),120.0)</f>
        <v>120</v>
      </c>
      <c r="E188" s="4">
        <f>IFERROR(__xludf.DUMMYFUNCTION("""COMPUTED_VALUE"""),121.0)</f>
        <v>121</v>
      </c>
      <c r="F188" s="4">
        <f>IFERROR(__xludf.DUMMYFUNCTION("""COMPUTED_VALUE"""),8.0)</f>
        <v>8</v>
      </c>
      <c r="G188" s="4">
        <f>IFERROR(__xludf.DUMMYFUNCTION("""COMPUTED_VALUE"""),1419.0)</f>
        <v>1419</v>
      </c>
      <c r="H188" s="5">
        <f>IFERROR(__xludf.DUMMYFUNCTION("""COMPUTED_VALUE"""),2057.85)</f>
        <v>2057.85</v>
      </c>
      <c r="I188" s="5">
        <f>IFERROR(__xludf.DUMMYFUNCTION("""COMPUTED_VALUE"""),3684.1)</f>
        <v>3684.1</v>
      </c>
      <c r="J188" s="5">
        <f>IFERROR(__xludf.DUMMYFUNCTION("""COMPUTED_VALUE"""),1712.2)</f>
        <v>1712.2</v>
      </c>
      <c r="K188" s="5">
        <f>IFERROR(__xludf.DUMMYFUNCTION("""COMPUTED_VALUE"""),6102.86)</f>
        <v>6102.86</v>
      </c>
      <c r="L188" s="4">
        <f>IFERROR(__xludf.DUMMYFUNCTION("""COMPUTED_VALUE"""),20.0)</f>
        <v>20</v>
      </c>
      <c r="M188" s="4">
        <f>IFERROR(__xludf.DUMMYFUNCTION("""COMPUTED_VALUE"""),67.0)</f>
        <v>67</v>
      </c>
      <c r="N188" s="2" t="str">
        <f>IFERROR(__xludf.DUMMYFUNCTION("""COMPUTED_VALUE"""),"FALSO")</f>
        <v>FALSO</v>
      </c>
    </row>
    <row r="189">
      <c r="A189" s="2">
        <f>IFERROR(__xludf.DUMMYFUNCTION("""COMPUTED_VALUE"""),188.0)</f>
        <v>188</v>
      </c>
      <c r="B189" s="2" t="str">
        <f>IFERROR(__xludf.DUMMYFUNCTION("""COMPUTED_VALUE"""),"Ram Teers")</f>
        <v>Ram Teers</v>
      </c>
      <c r="C189" s="2" t="str">
        <f>IFERROR(__xludf.DUMMYFUNCTION("""COMPUTED_VALUE"""),"rteers58@redcross.org")</f>
        <v>rteers58@redcross.org</v>
      </c>
      <c r="D189" s="4">
        <f>IFERROR(__xludf.DUMMYFUNCTION("""COMPUTED_VALUE"""),121.0)</f>
        <v>121</v>
      </c>
      <c r="E189" s="4">
        <f>IFERROR(__xludf.DUMMYFUNCTION("""COMPUTED_VALUE"""),54.0)</f>
        <v>54</v>
      </c>
      <c r="F189" s="4">
        <f>IFERROR(__xludf.DUMMYFUNCTION("""COMPUTED_VALUE"""),10.0)</f>
        <v>10</v>
      </c>
      <c r="G189" s="4">
        <f>IFERROR(__xludf.DUMMYFUNCTION("""COMPUTED_VALUE"""),592.0)</f>
        <v>592</v>
      </c>
      <c r="H189" s="5">
        <f>IFERROR(__xludf.DUMMYFUNCTION("""COMPUTED_VALUE"""),9484.04)</f>
        <v>9484.04</v>
      </c>
      <c r="I189" s="5">
        <f>IFERROR(__xludf.DUMMYFUNCTION("""COMPUTED_VALUE"""),3059.21)</f>
        <v>3059.21</v>
      </c>
      <c r="J189" s="5">
        <f>IFERROR(__xludf.DUMMYFUNCTION("""COMPUTED_VALUE"""),6114.48)</f>
        <v>6114.48</v>
      </c>
      <c r="K189" s="5">
        <f>IFERROR(__xludf.DUMMYFUNCTION("""COMPUTED_VALUE"""),9642.58)</f>
        <v>9642.58</v>
      </c>
      <c r="L189" s="4">
        <f>IFERROR(__xludf.DUMMYFUNCTION("""COMPUTED_VALUE"""),11.0)</f>
        <v>11</v>
      </c>
      <c r="M189" s="4">
        <f>IFERROR(__xludf.DUMMYFUNCTION("""COMPUTED_VALUE"""),51.0)</f>
        <v>51</v>
      </c>
      <c r="N189" s="2" t="str">
        <f>IFERROR(__xludf.DUMMYFUNCTION("""COMPUTED_VALUE"""),"VERDADERO")</f>
        <v>VERDADERO</v>
      </c>
    </row>
    <row r="190">
      <c r="A190" s="2">
        <f>IFERROR(__xludf.DUMMYFUNCTION("""COMPUTED_VALUE"""),189.0)</f>
        <v>189</v>
      </c>
      <c r="B190" s="2" t="str">
        <f>IFERROR(__xludf.DUMMYFUNCTION("""COMPUTED_VALUE"""),"Scarlet Liveley")</f>
        <v>Scarlet Liveley</v>
      </c>
      <c r="C190" s="2" t="str">
        <f>IFERROR(__xludf.DUMMYFUNCTION("""COMPUTED_VALUE"""),"sliveley59@icq.com")</f>
        <v>sliveley59@icq.com</v>
      </c>
      <c r="D190" s="4">
        <f>IFERROR(__xludf.DUMMYFUNCTION("""COMPUTED_VALUE"""),143.0)</f>
        <v>143</v>
      </c>
      <c r="E190" s="4">
        <f>IFERROR(__xludf.DUMMYFUNCTION("""COMPUTED_VALUE"""),8.0)</f>
        <v>8</v>
      </c>
      <c r="F190" s="4">
        <f>IFERROR(__xludf.DUMMYFUNCTION("""COMPUTED_VALUE"""),8.0)</f>
        <v>8</v>
      </c>
      <c r="G190" s="4">
        <f>IFERROR(__xludf.DUMMYFUNCTION("""COMPUTED_VALUE"""),716.0)</f>
        <v>716</v>
      </c>
      <c r="H190" s="5">
        <f>IFERROR(__xludf.DUMMYFUNCTION("""COMPUTED_VALUE"""),3581.62)</f>
        <v>3581.62</v>
      </c>
      <c r="I190" s="5">
        <f>IFERROR(__xludf.DUMMYFUNCTION("""COMPUTED_VALUE"""),1107.59)</f>
        <v>1107.59</v>
      </c>
      <c r="J190" s="5">
        <f>IFERROR(__xludf.DUMMYFUNCTION("""COMPUTED_VALUE"""),9285.72)</f>
        <v>9285.72</v>
      </c>
      <c r="K190" s="5">
        <f>IFERROR(__xludf.DUMMYFUNCTION("""COMPUTED_VALUE"""),5448.14)</f>
        <v>5448.14</v>
      </c>
      <c r="L190" s="4">
        <f>IFERROR(__xludf.DUMMYFUNCTION("""COMPUTED_VALUE"""),3.0)</f>
        <v>3</v>
      </c>
      <c r="M190" s="4">
        <f>IFERROR(__xludf.DUMMYFUNCTION("""COMPUTED_VALUE"""),14.0)</f>
        <v>14</v>
      </c>
      <c r="N190" s="2" t="str">
        <f>IFERROR(__xludf.DUMMYFUNCTION("""COMPUTED_VALUE"""),"VERDADERO")</f>
        <v>VERDADERO</v>
      </c>
    </row>
    <row r="191">
      <c r="A191" s="2">
        <f>IFERROR(__xludf.DUMMYFUNCTION("""COMPUTED_VALUE"""),190.0)</f>
        <v>190</v>
      </c>
      <c r="B191" s="2" t="str">
        <f>IFERROR(__xludf.DUMMYFUNCTION("""COMPUTED_VALUE"""),"Chrisse Vinden")</f>
        <v>Chrisse Vinden</v>
      </c>
      <c r="C191" s="2" t="str">
        <f>IFERROR(__xludf.DUMMYFUNCTION("""COMPUTED_VALUE"""),"cvinden5a@house.gov")</f>
        <v>cvinden5a@house.gov</v>
      </c>
      <c r="D191" s="4">
        <f>IFERROR(__xludf.DUMMYFUNCTION("""COMPUTED_VALUE"""),137.0)</f>
        <v>137</v>
      </c>
      <c r="E191" s="4">
        <f>IFERROR(__xludf.DUMMYFUNCTION("""COMPUTED_VALUE"""),81.0)</f>
        <v>81</v>
      </c>
      <c r="F191" s="4">
        <f>IFERROR(__xludf.DUMMYFUNCTION("""COMPUTED_VALUE"""),2.0)</f>
        <v>2</v>
      </c>
      <c r="G191" s="4">
        <f>IFERROR(__xludf.DUMMYFUNCTION("""COMPUTED_VALUE"""),552.0)</f>
        <v>552</v>
      </c>
      <c r="H191" s="5">
        <f>IFERROR(__xludf.DUMMYFUNCTION("""COMPUTED_VALUE"""),9658.32)</f>
        <v>9658.32</v>
      </c>
      <c r="I191" s="5">
        <f>IFERROR(__xludf.DUMMYFUNCTION("""COMPUTED_VALUE"""),4340.21)</f>
        <v>4340.21</v>
      </c>
      <c r="J191" s="5">
        <f>IFERROR(__xludf.DUMMYFUNCTION("""COMPUTED_VALUE"""),2074.48)</f>
        <v>2074.48</v>
      </c>
      <c r="K191" s="5">
        <f>IFERROR(__xludf.DUMMYFUNCTION("""COMPUTED_VALUE"""),1744.06)</f>
        <v>1744.06</v>
      </c>
      <c r="L191" s="4">
        <f>IFERROR(__xludf.DUMMYFUNCTION("""COMPUTED_VALUE"""),20.0)</f>
        <v>20</v>
      </c>
      <c r="M191" s="4">
        <f>IFERROR(__xludf.DUMMYFUNCTION("""COMPUTED_VALUE"""),69.0)</f>
        <v>69</v>
      </c>
      <c r="N191" s="2" t="str">
        <f>IFERROR(__xludf.DUMMYFUNCTION("""COMPUTED_VALUE"""),"VERDADERO")</f>
        <v>VERDADERO</v>
      </c>
    </row>
    <row r="192">
      <c r="A192" s="2">
        <f>IFERROR(__xludf.DUMMYFUNCTION("""COMPUTED_VALUE"""),191.0)</f>
        <v>191</v>
      </c>
      <c r="B192" s="2" t="str">
        <f>IFERROR(__xludf.DUMMYFUNCTION("""COMPUTED_VALUE"""),"Cristine McAllaster")</f>
        <v>Cristine McAllaster</v>
      </c>
      <c r="C192" s="2" t="str">
        <f>IFERROR(__xludf.DUMMYFUNCTION("""COMPUTED_VALUE"""),"cmcallaster5b@google.com")</f>
        <v>cmcallaster5b@google.com</v>
      </c>
      <c r="D192" s="4">
        <f>IFERROR(__xludf.DUMMYFUNCTION("""COMPUTED_VALUE"""),42.0)</f>
        <v>42</v>
      </c>
      <c r="E192" s="4">
        <f>IFERROR(__xludf.DUMMYFUNCTION("""COMPUTED_VALUE"""),81.0)</f>
        <v>81</v>
      </c>
      <c r="F192" s="4">
        <f>IFERROR(__xludf.DUMMYFUNCTION("""COMPUTED_VALUE"""),2.0)</f>
        <v>2</v>
      </c>
      <c r="G192" s="4">
        <f>IFERROR(__xludf.DUMMYFUNCTION("""COMPUTED_VALUE"""),1515.0)</f>
        <v>1515</v>
      </c>
      <c r="H192" s="5">
        <f>IFERROR(__xludf.DUMMYFUNCTION("""COMPUTED_VALUE"""),3675.81)</f>
        <v>3675.81</v>
      </c>
      <c r="I192" s="5">
        <f>IFERROR(__xludf.DUMMYFUNCTION("""COMPUTED_VALUE"""),6247.61)</f>
        <v>6247.61</v>
      </c>
      <c r="J192" s="5">
        <f>IFERROR(__xludf.DUMMYFUNCTION("""COMPUTED_VALUE"""),6747.5)</f>
        <v>6747.5</v>
      </c>
      <c r="K192" s="5">
        <f>IFERROR(__xludf.DUMMYFUNCTION("""COMPUTED_VALUE"""),3705.75)</f>
        <v>3705.75</v>
      </c>
      <c r="L192" s="4">
        <f>IFERROR(__xludf.DUMMYFUNCTION("""COMPUTED_VALUE"""),11.0)</f>
        <v>11</v>
      </c>
      <c r="M192" s="4">
        <f>IFERROR(__xludf.DUMMYFUNCTION("""COMPUTED_VALUE"""),36.0)</f>
        <v>36</v>
      </c>
      <c r="N192" s="2" t="str">
        <f>IFERROR(__xludf.DUMMYFUNCTION("""COMPUTED_VALUE"""),"VERDADERO")</f>
        <v>VERDADERO</v>
      </c>
    </row>
    <row r="193">
      <c r="A193" s="2">
        <f>IFERROR(__xludf.DUMMYFUNCTION("""COMPUTED_VALUE"""),192.0)</f>
        <v>192</v>
      </c>
      <c r="B193" s="2" t="str">
        <f>IFERROR(__xludf.DUMMYFUNCTION("""COMPUTED_VALUE"""),"Wernher Wollen")</f>
        <v>Wernher Wollen</v>
      </c>
      <c r="C193" s="2" t="str">
        <f>IFERROR(__xludf.DUMMYFUNCTION("""COMPUTED_VALUE"""),"wwollen5c@arstechnica.com")</f>
        <v>wwollen5c@arstechnica.com</v>
      </c>
      <c r="D193" s="4">
        <f>IFERROR(__xludf.DUMMYFUNCTION("""COMPUTED_VALUE"""),65.0)</f>
        <v>65</v>
      </c>
      <c r="E193" s="4">
        <f>IFERROR(__xludf.DUMMYFUNCTION("""COMPUTED_VALUE"""),120.0)</f>
        <v>120</v>
      </c>
      <c r="F193" s="4">
        <f>IFERROR(__xludf.DUMMYFUNCTION("""COMPUTED_VALUE"""),5.0)</f>
        <v>5</v>
      </c>
      <c r="G193" s="4">
        <f>IFERROR(__xludf.DUMMYFUNCTION("""COMPUTED_VALUE"""),863.0)</f>
        <v>863</v>
      </c>
      <c r="H193" s="5">
        <f>IFERROR(__xludf.DUMMYFUNCTION("""COMPUTED_VALUE"""),9841.48)</f>
        <v>9841.48</v>
      </c>
      <c r="I193" s="5">
        <f>IFERROR(__xludf.DUMMYFUNCTION("""COMPUTED_VALUE"""),8724.58)</f>
        <v>8724.58</v>
      </c>
      <c r="J193" s="5">
        <f>IFERROR(__xludf.DUMMYFUNCTION("""COMPUTED_VALUE"""),7345.27)</f>
        <v>7345.27</v>
      </c>
      <c r="K193" s="5">
        <f>IFERROR(__xludf.DUMMYFUNCTION("""COMPUTED_VALUE"""),6960.99)</f>
        <v>6960.99</v>
      </c>
      <c r="L193" s="4">
        <f>IFERROR(__xludf.DUMMYFUNCTION("""COMPUTED_VALUE"""),19.0)</f>
        <v>19</v>
      </c>
      <c r="M193" s="4">
        <f>IFERROR(__xludf.DUMMYFUNCTION("""COMPUTED_VALUE"""),82.0)</f>
        <v>82</v>
      </c>
      <c r="N193" s="2" t="str">
        <f>IFERROR(__xludf.DUMMYFUNCTION("""COMPUTED_VALUE"""),"VERDADERO")</f>
        <v>VERDADERO</v>
      </c>
    </row>
    <row r="194">
      <c r="A194" s="2">
        <f>IFERROR(__xludf.DUMMYFUNCTION("""COMPUTED_VALUE"""),193.0)</f>
        <v>193</v>
      </c>
      <c r="B194" s="2" t="str">
        <f>IFERROR(__xludf.DUMMYFUNCTION("""COMPUTED_VALUE"""),"Ebonee Petken")</f>
        <v>Ebonee Petken</v>
      </c>
      <c r="C194" s="2" t="str">
        <f>IFERROR(__xludf.DUMMYFUNCTION("""COMPUTED_VALUE"""),"epetken5d@w3.org")</f>
        <v>epetken5d@w3.org</v>
      </c>
      <c r="D194" s="4">
        <f>IFERROR(__xludf.DUMMYFUNCTION("""COMPUTED_VALUE"""),121.0)</f>
        <v>121</v>
      </c>
      <c r="E194" s="4">
        <f>IFERROR(__xludf.DUMMYFUNCTION("""COMPUTED_VALUE"""),40.0)</f>
        <v>40</v>
      </c>
      <c r="F194" s="4">
        <f>IFERROR(__xludf.DUMMYFUNCTION("""COMPUTED_VALUE"""),1.0)</f>
        <v>1</v>
      </c>
      <c r="G194" s="4">
        <f>IFERROR(__xludf.DUMMYFUNCTION("""COMPUTED_VALUE"""),392.0)</f>
        <v>392</v>
      </c>
      <c r="H194" s="5">
        <f>IFERROR(__xludf.DUMMYFUNCTION("""COMPUTED_VALUE"""),3677.3)</f>
        <v>3677.3</v>
      </c>
      <c r="I194" s="5">
        <f>IFERROR(__xludf.DUMMYFUNCTION("""COMPUTED_VALUE"""),6785.03)</f>
        <v>6785.03</v>
      </c>
      <c r="J194" s="5">
        <f>IFERROR(__xludf.DUMMYFUNCTION("""COMPUTED_VALUE"""),739.52)</f>
        <v>739.52</v>
      </c>
      <c r="K194" s="5">
        <f>IFERROR(__xludf.DUMMYFUNCTION("""COMPUTED_VALUE"""),8625.84)</f>
        <v>8625.84</v>
      </c>
      <c r="L194" s="4">
        <f>IFERROR(__xludf.DUMMYFUNCTION("""COMPUTED_VALUE"""),20.0)</f>
        <v>20</v>
      </c>
      <c r="M194" s="4">
        <f>IFERROR(__xludf.DUMMYFUNCTION("""COMPUTED_VALUE"""),62.0)</f>
        <v>62</v>
      </c>
      <c r="N194" s="2" t="str">
        <f>IFERROR(__xludf.DUMMYFUNCTION("""COMPUTED_VALUE"""),"VERDADERO")</f>
        <v>VERDADERO</v>
      </c>
    </row>
    <row r="195">
      <c r="A195" s="2">
        <f>IFERROR(__xludf.DUMMYFUNCTION("""COMPUTED_VALUE"""),194.0)</f>
        <v>194</v>
      </c>
      <c r="B195" s="2" t="str">
        <f>IFERROR(__xludf.DUMMYFUNCTION("""COMPUTED_VALUE"""),"Daisi Puzey")</f>
        <v>Daisi Puzey</v>
      </c>
      <c r="C195" s="2" t="str">
        <f>IFERROR(__xludf.DUMMYFUNCTION("""COMPUTED_VALUE"""),"dpuzey5e@1688.com")</f>
        <v>dpuzey5e@1688.com</v>
      </c>
      <c r="D195" s="4">
        <f>IFERROR(__xludf.DUMMYFUNCTION("""COMPUTED_VALUE"""),29.0)</f>
        <v>29</v>
      </c>
      <c r="E195" s="4">
        <f>IFERROR(__xludf.DUMMYFUNCTION("""COMPUTED_VALUE"""),88.0)</f>
        <v>88</v>
      </c>
      <c r="F195" s="4">
        <f>IFERROR(__xludf.DUMMYFUNCTION("""COMPUTED_VALUE"""),3.0)</f>
        <v>3</v>
      </c>
      <c r="G195" s="4">
        <f>IFERROR(__xludf.DUMMYFUNCTION("""COMPUTED_VALUE"""),1211.0)</f>
        <v>1211</v>
      </c>
      <c r="H195" s="5">
        <f>IFERROR(__xludf.DUMMYFUNCTION("""COMPUTED_VALUE"""),743.89)</f>
        <v>743.89</v>
      </c>
      <c r="I195" s="5">
        <f>IFERROR(__xludf.DUMMYFUNCTION("""COMPUTED_VALUE"""),1963.84)</f>
        <v>1963.84</v>
      </c>
      <c r="J195" s="5">
        <f>IFERROR(__xludf.DUMMYFUNCTION("""COMPUTED_VALUE"""),523.6)</f>
        <v>523.6</v>
      </c>
      <c r="K195" s="5">
        <f>IFERROR(__xludf.DUMMYFUNCTION("""COMPUTED_VALUE"""),1297.81)</f>
        <v>1297.81</v>
      </c>
      <c r="L195" s="4">
        <f>IFERROR(__xludf.DUMMYFUNCTION("""COMPUTED_VALUE"""),10.0)</f>
        <v>10</v>
      </c>
      <c r="M195" s="4">
        <f>IFERROR(__xludf.DUMMYFUNCTION("""COMPUTED_VALUE"""),50.0)</f>
        <v>50</v>
      </c>
      <c r="N195" s="2" t="str">
        <f>IFERROR(__xludf.DUMMYFUNCTION("""COMPUTED_VALUE"""),"VERDADERO")</f>
        <v>VERDADERO</v>
      </c>
    </row>
    <row r="196">
      <c r="A196" s="2">
        <f>IFERROR(__xludf.DUMMYFUNCTION("""COMPUTED_VALUE"""),195.0)</f>
        <v>195</v>
      </c>
      <c r="B196" s="2" t="str">
        <f>IFERROR(__xludf.DUMMYFUNCTION("""COMPUTED_VALUE"""),"Jackquelin Cutbush")</f>
        <v>Jackquelin Cutbush</v>
      </c>
      <c r="C196" s="2" t="str">
        <f>IFERROR(__xludf.DUMMYFUNCTION("""COMPUTED_VALUE"""),"jcutbush5f@paypal.com")</f>
        <v>jcutbush5f@paypal.com</v>
      </c>
      <c r="D196" s="4">
        <f>IFERROR(__xludf.DUMMYFUNCTION("""COMPUTED_VALUE"""),29.0)</f>
        <v>29</v>
      </c>
      <c r="E196" s="4">
        <f>IFERROR(__xludf.DUMMYFUNCTION("""COMPUTED_VALUE"""),70.0)</f>
        <v>70</v>
      </c>
      <c r="F196" s="4">
        <f>IFERROR(__xludf.DUMMYFUNCTION("""COMPUTED_VALUE"""),6.0)</f>
        <v>6</v>
      </c>
      <c r="G196" s="4">
        <f>IFERROR(__xludf.DUMMYFUNCTION("""COMPUTED_VALUE"""),1550.0)</f>
        <v>1550</v>
      </c>
      <c r="H196" s="5">
        <f>IFERROR(__xludf.DUMMYFUNCTION("""COMPUTED_VALUE"""),2739.25)</f>
        <v>2739.25</v>
      </c>
      <c r="I196" s="5">
        <f>IFERROR(__xludf.DUMMYFUNCTION("""COMPUTED_VALUE"""),8840.44)</f>
        <v>8840.44</v>
      </c>
      <c r="J196" s="5">
        <f>IFERROR(__xludf.DUMMYFUNCTION("""COMPUTED_VALUE"""),645.56)</f>
        <v>645.56</v>
      </c>
      <c r="K196" s="5">
        <f>IFERROR(__xludf.DUMMYFUNCTION("""COMPUTED_VALUE"""),3699.07)</f>
        <v>3699.07</v>
      </c>
      <c r="L196" s="4">
        <f>IFERROR(__xludf.DUMMYFUNCTION("""COMPUTED_VALUE"""),12.0)</f>
        <v>12</v>
      </c>
      <c r="M196" s="4">
        <f>IFERROR(__xludf.DUMMYFUNCTION("""COMPUTED_VALUE"""),18.0)</f>
        <v>18</v>
      </c>
      <c r="N196" s="2" t="str">
        <f>IFERROR(__xludf.DUMMYFUNCTION("""COMPUTED_VALUE"""),"FALSO")</f>
        <v>FALSO</v>
      </c>
    </row>
    <row r="197">
      <c r="A197" s="2">
        <f>IFERROR(__xludf.DUMMYFUNCTION("""COMPUTED_VALUE"""),196.0)</f>
        <v>196</v>
      </c>
      <c r="B197" s="2" t="str">
        <f>IFERROR(__xludf.DUMMYFUNCTION("""COMPUTED_VALUE"""),"Virgil Kirsz")</f>
        <v>Virgil Kirsz</v>
      </c>
      <c r="C197" s="2" t="str">
        <f>IFERROR(__xludf.DUMMYFUNCTION("""COMPUTED_VALUE"""),"vkirsz5g@mediafire.com")</f>
        <v>vkirsz5g@mediafire.com</v>
      </c>
      <c r="D197" s="4">
        <f>IFERROR(__xludf.DUMMYFUNCTION("""COMPUTED_VALUE"""),121.0)</f>
        <v>121</v>
      </c>
      <c r="E197" s="4">
        <f>IFERROR(__xludf.DUMMYFUNCTION("""COMPUTED_VALUE"""),9.0)</f>
        <v>9</v>
      </c>
      <c r="F197" s="4">
        <f>IFERROR(__xludf.DUMMYFUNCTION("""COMPUTED_VALUE"""),10.0)</f>
        <v>10</v>
      </c>
      <c r="G197" s="4">
        <f>IFERROR(__xludf.DUMMYFUNCTION("""COMPUTED_VALUE"""),1239.0)</f>
        <v>1239</v>
      </c>
      <c r="H197" s="5">
        <f>IFERROR(__xludf.DUMMYFUNCTION("""COMPUTED_VALUE"""),1515.9)</f>
        <v>1515.9</v>
      </c>
      <c r="I197" s="5">
        <f>IFERROR(__xludf.DUMMYFUNCTION("""COMPUTED_VALUE"""),3836.53)</f>
        <v>3836.53</v>
      </c>
      <c r="J197" s="5">
        <f>IFERROR(__xludf.DUMMYFUNCTION("""COMPUTED_VALUE"""),6962.59)</f>
        <v>6962.59</v>
      </c>
      <c r="K197" s="5">
        <f>IFERROR(__xludf.DUMMYFUNCTION("""COMPUTED_VALUE"""),4948.45)</f>
        <v>4948.45</v>
      </c>
      <c r="L197" s="4">
        <f>IFERROR(__xludf.DUMMYFUNCTION("""COMPUTED_VALUE"""),20.0)</f>
        <v>20</v>
      </c>
      <c r="M197" s="4">
        <f>IFERROR(__xludf.DUMMYFUNCTION("""COMPUTED_VALUE"""),79.0)</f>
        <v>79</v>
      </c>
      <c r="N197" s="2" t="str">
        <f>IFERROR(__xludf.DUMMYFUNCTION("""COMPUTED_VALUE"""),"VERDADERO")</f>
        <v>VERDADERO</v>
      </c>
    </row>
    <row r="198">
      <c r="A198" s="2">
        <f>IFERROR(__xludf.DUMMYFUNCTION("""COMPUTED_VALUE"""),197.0)</f>
        <v>197</v>
      </c>
      <c r="B198" s="2" t="str">
        <f>IFERROR(__xludf.DUMMYFUNCTION("""COMPUTED_VALUE"""),"Shanie Ricardin")</f>
        <v>Shanie Ricardin</v>
      </c>
      <c r="C198" s="2" t="str">
        <f>IFERROR(__xludf.DUMMYFUNCTION("""COMPUTED_VALUE"""),"sricardin5h@free.fr")</f>
        <v>sricardin5h@free.fr</v>
      </c>
      <c r="D198" s="4">
        <f>IFERROR(__xludf.DUMMYFUNCTION("""COMPUTED_VALUE"""),75.0)</f>
        <v>75</v>
      </c>
      <c r="E198" s="4">
        <f>IFERROR(__xludf.DUMMYFUNCTION("""COMPUTED_VALUE"""),81.0)</f>
        <v>81</v>
      </c>
      <c r="F198" s="4">
        <f>IFERROR(__xludf.DUMMYFUNCTION("""COMPUTED_VALUE"""),2.0)</f>
        <v>2</v>
      </c>
      <c r="G198" s="4">
        <f>IFERROR(__xludf.DUMMYFUNCTION("""COMPUTED_VALUE"""),410.0)</f>
        <v>410</v>
      </c>
      <c r="H198" s="5">
        <f>IFERROR(__xludf.DUMMYFUNCTION("""COMPUTED_VALUE"""),6556.43)</f>
        <v>6556.43</v>
      </c>
      <c r="I198" s="5">
        <f>IFERROR(__xludf.DUMMYFUNCTION("""COMPUTED_VALUE"""),6501.06)</f>
        <v>6501.06</v>
      </c>
      <c r="J198" s="5">
        <f>IFERROR(__xludf.DUMMYFUNCTION("""COMPUTED_VALUE"""),2824.2)</f>
        <v>2824.2</v>
      </c>
      <c r="K198" s="5">
        <f>IFERROR(__xludf.DUMMYFUNCTION("""COMPUTED_VALUE"""),1714.45)</f>
        <v>1714.45</v>
      </c>
      <c r="L198" s="4">
        <f>IFERROR(__xludf.DUMMYFUNCTION("""COMPUTED_VALUE"""),2.0)</f>
        <v>2</v>
      </c>
      <c r="M198" s="4">
        <f>IFERROR(__xludf.DUMMYFUNCTION("""COMPUTED_VALUE"""),39.0)</f>
        <v>39</v>
      </c>
      <c r="N198" s="2" t="str">
        <f>IFERROR(__xludf.DUMMYFUNCTION("""COMPUTED_VALUE"""),"VERDADERO")</f>
        <v>VERDADERO</v>
      </c>
    </row>
    <row r="199">
      <c r="A199" s="2">
        <f>IFERROR(__xludf.DUMMYFUNCTION("""COMPUTED_VALUE"""),198.0)</f>
        <v>198</v>
      </c>
      <c r="B199" s="2" t="str">
        <f>IFERROR(__xludf.DUMMYFUNCTION("""COMPUTED_VALUE"""),"Lucienne Overstreet")</f>
        <v>Lucienne Overstreet</v>
      </c>
      <c r="C199" s="2" t="str">
        <f>IFERROR(__xludf.DUMMYFUNCTION("""COMPUTED_VALUE"""),"loverstreet5i@house.gov")</f>
        <v>loverstreet5i@house.gov</v>
      </c>
      <c r="D199" s="4">
        <f>IFERROR(__xludf.DUMMYFUNCTION("""COMPUTED_VALUE"""),44.0)</f>
        <v>44</v>
      </c>
      <c r="E199" s="4">
        <f>IFERROR(__xludf.DUMMYFUNCTION("""COMPUTED_VALUE"""),39.0)</f>
        <v>39</v>
      </c>
      <c r="F199" s="4">
        <f>IFERROR(__xludf.DUMMYFUNCTION("""COMPUTED_VALUE"""),11.0)</f>
        <v>11</v>
      </c>
      <c r="G199" s="4">
        <f>IFERROR(__xludf.DUMMYFUNCTION("""COMPUTED_VALUE"""),1517.0)</f>
        <v>1517</v>
      </c>
      <c r="H199" s="5">
        <f>IFERROR(__xludf.DUMMYFUNCTION("""COMPUTED_VALUE"""),279.65)</f>
        <v>279.65</v>
      </c>
      <c r="I199" s="5">
        <f>IFERROR(__xludf.DUMMYFUNCTION("""COMPUTED_VALUE"""),4519.11)</f>
        <v>4519.11</v>
      </c>
      <c r="J199" s="5">
        <f>IFERROR(__xludf.DUMMYFUNCTION("""COMPUTED_VALUE"""),3209.49)</f>
        <v>3209.49</v>
      </c>
      <c r="K199" s="5">
        <f>IFERROR(__xludf.DUMMYFUNCTION("""COMPUTED_VALUE"""),1777.17)</f>
        <v>1777.17</v>
      </c>
      <c r="L199" s="4">
        <f>IFERROR(__xludf.DUMMYFUNCTION("""COMPUTED_VALUE"""),8.0)</f>
        <v>8</v>
      </c>
      <c r="M199" s="4">
        <f>IFERROR(__xludf.DUMMYFUNCTION("""COMPUTED_VALUE"""),82.0)</f>
        <v>82</v>
      </c>
      <c r="N199" s="2" t="str">
        <f>IFERROR(__xludf.DUMMYFUNCTION("""COMPUTED_VALUE"""),"VERDADERO")</f>
        <v>VERDADERO</v>
      </c>
    </row>
    <row r="200">
      <c r="A200" s="2">
        <f>IFERROR(__xludf.DUMMYFUNCTION("""COMPUTED_VALUE"""),199.0)</f>
        <v>199</v>
      </c>
      <c r="B200" s="2" t="str">
        <f>IFERROR(__xludf.DUMMYFUNCTION("""COMPUTED_VALUE"""),"Joyann Claringbold")</f>
        <v>Joyann Claringbold</v>
      </c>
      <c r="C200" s="2" t="str">
        <f>IFERROR(__xludf.DUMMYFUNCTION("""COMPUTED_VALUE"""),"jclaringbold5j@oracle.com")</f>
        <v>jclaringbold5j@oracle.com</v>
      </c>
      <c r="D200" s="4">
        <f>IFERROR(__xludf.DUMMYFUNCTION("""COMPUTED_VALUE"""),120.0)</f>
        <v>120</v>
      </c>
      <c r="E200" s="4">
        <f>IFERROR(__xludf.DUMMYFUNCTION("""COMPUTED_VALUE"""),99.0)</f>
        <v>99</v>
      </c>
      <c r="F200" s="4">
        <f>IFERROR(__xludf.DUMMYFUNCTION("""COMPUTED_VALUE"""),1.0)</f>
        <v>1</v>
      </c>
      <c r="G200" s="4">
        <f>IFERROR(__xludf.DUMMYFUNCTION("""COMPUTED_VALUE"""),1554.0)</f>
        <v>1554</v>
      </c>
      <c r="H200" s="5">
        <f>IFERROR(__xludf.DUMMYFUNCTION("""COMPUTED_VALUE"""),9991.41)</f>
        <v>9991.41</v>
      </c>
      <c r="I200" s="5">
        <f>IFERROR(__xludf.DUMMYFUNCTION("""COMPUTED_VALUE"""),3414.26)</f>
        <v>3414.26</v>
      </c>
      <c r="J200" s="5">
        <f>IFERROR(__xludf.DUMMYFUNCTION("""COMPUTED_VALUE"""),9256.38)</f>
        <v>9256.38</v>
      </c>
      <c r="K200" s="5">
        <f>IFERROR(__xludf.DUMMYFUNCTION("""COMPUTED_VALUE"""),5461.31)</f>
        <v>5461.31</v>
      </c>
      <c r="L200" s="4">
        <f>IFERROR(__xludf.DUMMYFUNCTION("""COMPUTED_VALUE"""),15.0)</f>
        <v>15</v>
      </c>
      <c r="M200" s="4">
        <f>IFERROR(__xludf.DUMMYFUNCTION("""COMPUTED_VALUE"""),50.0)</f>
        <v>50</v>
      </c>
      <c r="N200" s="2" t="str">
        <f>IFERROR(__xludf.DUMMYFUNCTION("""COMPUTED_VALUE"""),"FALSO")</f>
        <v>FALSO</v>
      </c>
    </row>
    <row r="201">
      <c r="A201" s="2">
        <f>IFERROR(__xludf.DUMMYFUNCTION("""COMPUTED_VALUE"""),200.0)</f>
        <v>200</v>
      </c>
      <c r="B201" s="2" t="str">
        <f>IFERROR(__xludf.DUMMYFUNCTION("""COMPUTED_VALUE"""),"Daniela Isac")</f>
        <v>Daniela Isac</v>
      </c>
      <c r="C201" s="2" t="str">
        <f>IFERROR(__xludf.DUMMYFUNCTION("""COMPUTED_VALUE"""),"disac5k@disqus.com")</f>
        <v>disac5k@disqus.com</v>
      </c>
      <c r="D201" s="4">
        <f>IFERROR(__xludf.DUMMYFUNCTION("""COMPUTED_VALUE"""),74.0)</f>
        <v>74</v>
      </c>
      <c r="E201" s="4">
        <f>IFERROR(__xludf.DUMMYFUNCTION("""COMPUTED_VALUE"""),107.0)</f>
        <v>107</v>
      </c>
      <c r="F201" s="4">
        <f>IFERROR(__xludf.DUMMYFUNCTION("""COMPUTED_VALUE"""),5.0)</f>
        <v>5</v>
      </c>
      <c r="G201" s="4">
        <f>IFERROR(__xludf.DUMMYFUNCTION("""COMPUTED_VALUE"""),273.0)</f>
        <v>273</v>
      </c>
      <c r="H201" s="5">
        <f>IFERROR(__xludf.DUMMYFUNCTION("""COMPUTED_VALUE"""),741.49)</f>
        <v>741.49</v>
      </c>
      <c r="I201" s="5">
        <f>IFERROR(__xludf.DUMMYFUNCTION("""COMPUTED_VALUE"""),8826.7)</f>
        <v>8826.7</v>
      </c>
      <c r="J201" s="5">
        <f>IFERROR(__xludf.DUMMYFUNCTION("""COMPUTED_VALUE"""),3762.8)</f>
        <v>3762.8</v>
      </c>
      <c r="K201" s="5">
        <f>IFERROR(__xludf.DUMMYFUNCTION("""COMPUTED_VALUE"""),964.19)</f>
        <v>964.19</v>
      </c>
      <c r="L201" s="4">
        <f>IFERROR(__xludf.DUMMYFUNCTION("""COMPUTED_VALUE"""),4.0)</f>
        <v>4</v>
      </c>
      <c r="M201" s="4">
        <f>IFERROR(__xludf.DUMMYFUNCTION("""COMPUTED_VALUE"""),71.0)</f>
        <v>71</v>
      </c>
      <c r="N201" s="2" t="str">
        <f>IFERROR(__xludf.DUMMYFUNCTION("""COMPUTED_VALUE"""),"FALSO")</f>
        <v>FALSO</v>
      </c>
    </row>
    <row r="202">
      <c r="A202" s="2">
        <f>IFERROR(__xludf.DUMMYFUNCTION("""COMPUTED_VALUE"""),201.0)</f>
        <v>201</v>
      </c>
      <c r="B202" s="2" t="str">
        <f>IFERROR(__xludf.DUMMYFUNCTION("""COMPUTED_VALUE"""),"Marabel Bes")</f>
        <v>Marabel Bes</v>
      </c>
      <c r="C202" s="2" t="str">
        <f>IFERROR(__xludf.DUMMYFUNCTION("""COMPUTED_VALUE"""),"mbes5l@globo.com")</f>
        <v>mbes5l@globo.com</v>
      </c>
      <c r="D202" s="4">
        <f>IFERROR(__xludf.DUMMYFUNCTION("""COMPUTED_VALUE"""),29.0)</f>
        <v>29</v>
      </c>
      <c r="E202" s="4">
        <f>IFERROR(__xludf.DUMMYFUNCTION("""COMPUTED_VALUE"""),81.0)</f>
        <v>81</v>
      </c>
      <c r="F202" s="4">
        <f>IFERROR(__xludf.DUMMYFUNCTION("""COMPUTED_VALUE"""),2.0)</f>
        <v>2</v>
      </c>
      <c r="G202" s="4">
        <f>IFERROR(__xludf.DUMMYFUNCTION("""COMPUTED_VALUE"""),52.0)</f>
        <v>52</v>
      </c>
      <c r="H202" s="5">
        <f>IFERROR(__xludf.DUMMYFUNCTION("""COMPUTED_VALUE"""),1757.9)</f>
        <v>1757.9</v>
      </c>
      <c r="I202" s="5">
        <f>IFERROR(__xludf.DUMMYFUNCTION("""COMPUTED_VALUE"""),314.05)</f>
        <v>314.05</v>
      </c>
      <c r="J202" s="5">
        <f>IFERROR(__xludf.DUMMYFUNCTION("""COMPUTED_VALUE"""),2224.37)</f>
        <v>2224.37</v>
      </c>
      <c r="K202" s="5">
        <f>IFERROR(__xludf.DUMMYFUNCTION("""COMPUTED_VALUE"""),2040.06)</f>
        <v>2040.06</v>
      </c>
      <c r="L202" s="4">
        <f>IFERROR(__xludf.DUMMYFUNCTION("""COMPUTED_VALUE"""),8.0)</f>
        <v>8</v>
      </c>
      <c r="M202" s="4">
        <f>IFERROR(__xludf.DUMMYFUNCTION("""COMPUTED_VALUE"""),50.0)</f>
        <v>50</v>
      </c>
      <c r="N202" s="2" t="str">
        <f>IFERROR(__xludf.DUMMYFUNCTION("""COMPUTED_VALUE"""),"FALSO")</f>
        <v>FALSO</v>
      </c>
    </row>
    <row r="203">
      <c r="A203" s="2">
        <f>IFERROR(__xludf.DUMMYFUNCTION("""COMPUTED_VALUE"""),202.0)</f>
        <v>202</v>
      </c>
      <c r="B203" s="2" t="str">
        <f>IFERROR(__xludf.DUMMYFUNCTION("""COMPUTED_VALUE"""),"Sonny Slate")</f>
        <v>Sonny Slate</v>
      </c>
      <c r="C203" s="2" t="str">
        <f>IFERROR(__xludf.DUMMYFUNCTION("""COMPUTED_VALUE"""),"sslate5m@kickstarter.com")</f>
        <v>sslate5m@kickstarter.com</v>
      </c>
      <c r="D203" s="4">
        <f>IFERROR(__xludf.DUMMYFUNCTION("""COMPUTED_VALUE"""),48.0)</f>
        <v>48</v>
      </c>
      <c r="E203" s="4">
        <f>IFERROR(__xludf.DUMMYFUNCTION("""COMPUTED_VALUE"""),81.0)</f>
        <v>81</v>
      </c>
      <c r="F203" s="4">
        <f>IFERROR(__xludf.DUMMYFUNCTION("""COMPUTED_VALUE"""),2.0)</f>
        <v>2</v>
      </c>
      <c r="G203" s="4">
        <f>IFERROR(__xludf.DUMMYFUNCTION("""COMPUTED_VALUE"""),433.0)</f>
        <v>433</v>
      </c>
      <c r="H203" s="5">
        <f>IFERROR(__xludf.DUMMYFUNCTION("""COMPUTED_VALUE"""),4863.78)</f>
        <v>4863.78</v>
      </c>
      <c r="I203" s="5">
        <f>IFERROR(__xludf.DUMMYFUNCTION("""COMPUTED_VALUE"""),3211.3)</f>
        <v>3211.3</v>
      </c>
      <c r="J203" s="5">
        <f>IFERROR(__xludf.DUMMYFUNCTION("""COMPUTED_VALUE"""),9389.98)</f>
        <v>9389.98</v>
      </c>
      <c r="K203" s="5">
        <f>IFERROR(__xludf.DUMMYFUNCTION("""COMPUTED_VALUE"""),5667.01)</f>
        <v>5667.01</v>
      </c>
      <c r="L203" s="4">
        <f>IFERROR(__xludf.DUMMYFUNCTION("""COMPUTED_VALUE"""),17.0)</f>
        <v>17</v>
      </c>
      <c r="M203" s="4">
        <f>IFERROR(__xludf.DUMMYFUNCTION("""COMPUTED_VALUE"""),27.0)</f>
        <v>27</v>
      </c>
      <c r="N203" s="2" t="str">
        <f>IFERROR(__xludf.DUMMYFUNCTION("""COMPUTED_VALUE"""),"VERDADERO")</f>
        <v>VERDADERO</v>
      </c>
    </row>
    <row r="204">
      <c r="A204" s="2">
        <f>IFERROR(__xludf.DUMMYFUNCTION("""COMPUTED_VALUE"""),203.0)</f>
        <v>203</v>
      </c>
      <c r="B204" s="2" t="str">
        <f>IFERROR(__xludf.DUMMYFUNCTION("""COMPUTED_VALUE"""),"Grissel Chalker")</f>
        <v>Grissel Chalker</v>
      </c>
      <c r="C204" s="2" t="str">
        <f>IFERROR(__xludf.DUMMYFUNCTION("""COMPUTED_VALUE"""),"gchalker5n@auda.org.au")</f>
        <v>gchalker5n@auda.org.au</v>
      </c>
      <c r="D204" s="4">
        <f>IFERROR(__xludf.DUMMYFUNCTION("""COMPUTED_VALUE"""),1.0)</f>
        <v>1</v>
      </c>
      <c r="E204" s="4">
        <f>IFERROR(__xludf.DUMMYFUNCTION("""COMPUTED_VALUE"""),46.0)</f>
        <v>46</v>
      </c>
      <c r="F204" s="4">
        <f>IFERROR(__xludf.DUMMYFUNCTION("""COMPUTED_VALUE"""),5.0)</f>
        <v>5</v>
      </c>
      <c r="G204" s="4">
        <f>IFERROR(__xludf.DUMMYFUNCTION("""COMPUTED_VALUE"""),1342.0)</f>
        <v>1342</v>
      </c>
      <c r="H204" s="5">
        <f>IFERROR(__xludf.DUMMYFUNCTION("""COMPUTED_VALUE"""),9847.55)</f>
        <v>9847.55</v>
      </c>
      <c r="I204" s="5">
        <f>IFERROR(__xludf.DUMMYFUNCTION("""COMPUTED_VALUE"""),4271.89)</f>
        <v>4271.89</v>
      </c>
      <c r="J204" s="5">
        <f>IFERROR(__xludf.DUMMYFUNCTION("""COMPUTED_VALUE"""),9864.37)</f>
        <v>9864.37</v>
      </c>
      <c r="K204" s="5">
        <f>IFERROR(__xludf.DUMMYFUNCTION("""COMPUTED_VALUE"""),4958.52)</f>
        <v>4958.52</v>
      </c>
      <c r="L204" s="4">
        <f>IFERROR(__xludf.DUMMYFUNCTION("""COMPUTED_VALUE"""),8.0)</f>
        <v>8</v>
      </c>
      <c r="M204" s="4">
        <f>IFERROR(__xludf.DUMMYFUNCTION("""COMPUTED_VALUE"""),55.0)</f>
        <v>55</v>
      </c>
      <c r="N204" s="2" t="str">
        <f>IFERROR(__xludf.DUMMYFUNCTION("""COMPUTED_VALUE"""),"VERDADERO")</f>
        <v>VERDADERO</v>
      </c>
    </row>
    <row r="205">
      <c r="A205" s="2">
        <f>IFERROR(__xludf.DUMMYFUNCTION("""COMPUTED_VALUE"""),204.0)</f>
        <v>204</v>
      </c>
      <c r="B205" s="2" t="str">
        <f>IFERROR(__xludf.DUMMYFUNCTION("""COMPUTED_VALUE"""),"Wilhelmina Claughton")</f>
        <v>Wilhelmina Claughton</v>
      </c>
      <c r="C205" s="2" t="str">
        <f>IFERROR(__xludf.DUMMYFUNCTION("""COMPUTED_VALUE"""),"wclaughton5o@japanpost.jp")</f>
        <v>wclaughton5o@japanpost.jp</v>
      </c>
      <c r="D205" s="4">
        <f>IFERROR(__xludf.DUMMYFUNCTION("""COMPUTED_VALUE"""),57.0)</f>
        <v>57</v>
      </c>
      <c r="E205" s="4">
        <f>IFERROR(__xludf.DUMMYFUNCTION("""COMPUTED_VALUE"""),21.0)</f>
        <v>21</v>
      </c>
      <c r="F205" s="4">
        <f>IFERROR(__xludf.DUMMYFUNCTION("""COMPUTED_VALUE"""),12.0)</f>
        <v>12</v>
      </c>
      <c r="G205" s="4">
        <f>IFERROR(__xludf.DUMMYFUNCTION("""COMPUTED_VALUE"""),916.0)</f>
        <v>916</v>
      </c>
      <c r="H205" s="5">
        <f>IFERROR(__xludf.DUMMYFUNCTION("""COMPUTED_VALUE"""),7057.18)</f>
        <v>7057.18</v>
      </c>
      <c r="I205" s="5">
        <f>IFERROR(__xludf.DUMMYFUNCTION("""COMPUTED_VALUE"""),890.36)</f>
        <v>890.36</v>
      </c>
      <c r="J205" s="5">
        <f>IFERROR(__xludf.DUMMYFUNCTION("""COMPUTED_VALUE"""),9680.12)</f>
        <v>9680.12</v>
      </c>
      <c r="K205" s="5">
        <f>IFERROR(__xludf.DUMMYFUNCTION("""COMPUTED_VALUE"""),1490.32)</f>
        <v>1490.32</v>
      </c>
      <c r="L205" s="4">
        <f>IFERROR(__xludf.DUMMYFUNCTION("""COMPUTED_VALUE"""),4.0)</f>
        <v>4</v>
      </c>
      <c r="M205" s="4">
        <f>IFERROR(__xludf.DUMMYFUNCTION("""COMPUTED_VALUE"""),22.0)</f>
        <v>22</v>
      </c>
      <c r="N205" s="2" t="str">
        <f>IFERROR(__xludf.DUMMYFUNCTION("""COMPUTED_VALUE"""),"VERDADERO")</f>
        <v>VERDADERO</v>
      </c>
    </row>
    <row r="206">
      <c r="A206" s="2">
        <f>IFERROR(__xludf.DUMMYFUNCTION("""COMPUTED_VALUE"""),205.0)</f>
        <v>205</v>
      </c>
      <c r="B206" s="2" t="str">
        <f>IFERROR(__xludf.DUMMYFUNCTION("""COMPUTED_VALUE"""),"Giana China")</f>
        <v>Giana China</v>
      </c>
      <c r="C206" s="2" t="str">
        <f>IFERROR(__xludf.DUMMYFUNCTION("""COMPUTED_VALUE"""),"gchina5p@wiley.com")</f>
        <v>gchina5p@wiley.com</v>
      </c>
      <c r="D206" s="4">
        <f>IFERROR(__xludf.DUMMYFUNCTION("""COMPUTED_VALUE"""),67.0)</f>
        <v>67</v>
      </c>
      <c r="E206" s="4">
        <f>IFERROR(__xludf.DUMMYFUNCTION("""COMPUTED_VALUE"""),66.0)</f>
        <v>66</v>
      </c>
      <c r="F206" s="4">
        <f>IFERROR(__xludf.DUMMYFUNCTION("""COMPUTED_VALUE"""),6.0)</f>
        <v>6</v>
      </c>
      <c r="G206" s="4">
        <f>IFERROR(__xludf.DUMMYFUNCTION("""COMPUTED_VALUE"""),139.0)</f>
        <v>139</v>
      </c>
      <c r="H206" s="5">
        <f>IFERROR(__xludf.DUMMYFUNCTION("""COMPUTED_VALUE"""),6295.46)</f>
        <v>6295.46</v>
      </c>
      <c r="I206" s="5">
        <f>IFERROR(__xludf.DUMMYFUNCTION("""COMPUTED_VALUE"""),6937.94)</f>
        <v>6937.94</v>
      </c>
      <c r="J206" s="5">
        <f>IFERROR(__xludf.DUMMYFUNCTION("""COMPUTED_VALUE"""),5467.75)</f>
        <v>5467.75</v>
      </c>
      <c r="K206" s="5">
        <f>IFERROR(__xludf.DUMMYFUNCTION("""COMPUTED_VALUE"""),1144.28)</f>
        <v>1144.28</v>
      </c>
      <c r="L206" s="4">
        <f>IFERROR(__xludf.DUMMYFUNCTION("""COMPUTED_VALUE"""),4.0)</f>
        <v>4</v>
      </c>
      <c r="M206" s="4">
        <f>IFERROR(__xludf.DUMMYFUNCTION("""COMPUTED_VALUE"""),72.0)</f>
        <v>72</v>
      </c>
      <c r="N206" s="2" t="str">
        <f>IFERROR(__xludf.DUMMYFUNCTION("""COMPUTED_VALUE"""),"VERDADERO")</f>
        <v>VERDADERO</v>
      </c>
    </row>
    <row r="207">
      <c r="A207" s="2">
        <f>IFERROR(__xludf.DUMMYFUNCTION("""COMPUTED_VALUE"""),206.0)</f>
        <v>206</v>
      </c>
      <c r="B207" s="2" t="str">
        <f>IFERROR(__xludf.DUMMYFUNCTION("""COMPUTED_VALUE"""),"Dagmar Chelnam")</f>
        <v>Dagmar Chelnam</v>
      </c>
      <c r="C207" s="2" t="str">
        <f>IFERROR(__xludf.DUMMYFUNCTION("""COMPUTED_VALUE"""),"dchelnam5q@vinaora.com")</f>
        <v>dchelnam5q@vinaora.com</v>
      </c>
      <c r="D207" s="4">
        <f>IFERROR(__xludf.DUMMYFUNCTION("""COMPUTED_VALUE"""),45.0)</f>
        <v>45</v>
      </c>
      <c r="E207" s="4">
        <f>IFERROR(__xludf.DUMMYFUNCTION("""COMPUTED_VALUE"""),66.0)</f>
        <v>66</v>
      </c>
      <c r="F207" s="4">
        <f>IFERROR(__xludf.DUMMYFUNCTION("""COMPUTED_VALUE"""),6.0)</f>
        <v>6</v>
      </c>
      <c r="G207" s="4">
        <f>IFERROR(__xludf.DUMMYFUNCTION("""COMPUTED_VALUE"""),1129.0)</f>
        <v>1129</v>
      </c>
      <c r="H207" s="5">
        <f>IFERROR(__xludf.DUMMYFUNCTION("""COMPUTED_VALUE"""),4845.04)</f>
        <v>4845.04</v>
      </c>
      <c r="I207" s="5">
        <f>IFERROR(__xludf.DUMMYFUNCTION("""COMPUTED_VALUE"""),8178.92)</f>
        <v>8178.92</v>
      </c>
      <c r="J207" s="5">
        <f>IFERROR(__xludf.DUMMYFUNCTION("""COMPUTED_VALUE"""),7413.78)</f>
        <v>7413.78</v>
      </c>
      <c r="K207" s="5">
        <f>IFERROR(__xludf.DUMMYFUNCTION("""COMPUTED_VALUE"""),9189.08)</f>
        <v>9189.08</v>
      </c>
      <c r="L207" s="4">
        <f>IFERROR(__xludf.DUMMYFUNCTION("""COMPUTED_VALUE"""),1.0)</f>
        <v>1</v>
      </c>
      <c r="M207" s="4">
        <f>IFERROR(__xludf.DUMMYFUNCTION("""COMPUTED_VALUE"""),28.0)</f>
        <v>28</v>
      </c>
      <c r="N207" s="2" t="str">
        <f>IFERROR(__xludf.DUMMYFUNCTION("""COMPUTED_VALUE"""),"VERDADERO")</f>
        <v>VERDADERO</v>
      </c>
    </row>
    <row r="208">
      <c r="A208" s="2">
        <f>IFERROR(__xludf.DUMMYFUNCTION("""COMPUTED_VALUE"""),207.0)</f>
        <v>207</v>
      </c>
      <c r="B208" s="2" t="str">
        <f>IFERROR(__xludf.DUMMYFUNCTION("""COMPUTED_VALUE"""),"Fritz Bartusek")</f>
        <v>Fritz Bartusek</v>
      </c>
      <c r="C208" s="2" t="str">
        <f>IFERROR(__xludf.DUMMYFUNCTION("""COMPUTED_VALUE"""),"fbartusek5r@4shared.com")</f>
        <v>fbartusek5r@4shared.com</v>
      </c>
      <c r="D208" s="4">
        <f>IFERROR(__xludf.DUMMYFUNCTION("""COMPUTED_VALUE"""),124.0)</f>
        <v>124</v>
      </c>
      <c r="E208" s="4">
        <f>IFERROR(__xludf.DUMMYFUNCTION("""COMPUTED_VALUE"""),23.0)</f>
        <v>23</v>
      </c>
      <c r="F208" s="4">
        <f>IFERROR(__xludf.DUMMYFUNCTION("""COMPUTED_VALUE"""),5.0)</f>
        <v>5</v>
      </c>
      <c r="G208" s="4">
        <f>IFERROR(__xludf.DUMMYFUNCTION("""COMPUTED_VALUE"""),1391.0)</f>
        <v>1391</v>
      </c>
      <c r="H208" s="5">
        <f>IFERROR(__xludf.DUMMYFUNCTION("""COMPUTED_VALUE"""),9876.27)</f>
        <v>9876.27</v>
      </c>
      <c r="I208" s="5">
        <f>IFERROR(__xludf.DUMMYFUNCTION("""COMPUTED_VALUE"""),5432.91)</f>
        <v>5432.91</v>
      </c>
      <c r="J208" s="5">
        <f>IFERROR(__xludf.DUMMYFUNCTION("""COMPUTED_VALUE"""),9492.59)</f>
        <v>9492.59</v>
      </c>
      <c r="K208" s="5">
        <f>IFERROR(__xludf.DUMMYFUNCTION("""COMPUTED_VALUE"""),410.73)</f>
        <v>410.73</v>
      </c>
      <c r="L208" s="4">
        <f>IFERROR(__xludf.DUMMYFUNCTION("""COMPUTED_VALUE"""),14.0)</f>
        <v>14</v>
      </c>
      <c r="M208" s="4">
        <f>IFERROR(__xludf.DUMMYFUNCTION("""COMPUTED_VALUE"""),34.0)</f>
        <v>34</v>
      </c>
      <c r="N208" s="2" t="str">
        <f>IFERROR(__xludf.DUMMYFUNCTION("""COMPUTED_VALUE"""),"VERDADERO")</f>
        <v>VERDADERO</v>
      </c>
    </row>
    <row r="209">
      <c r="A209" s="2">
        <f>IFERROR(__xludf.DUMMYFUNCTION("""COMPUTED_VALUE"""),208.0)</f>
        <v>208</v>
      </c>
      <c r="B209" s="2" t="str">
        <f>IFERROR(__xludf.DUMMYFUNCTION("""COMPUTED_VALUE"""),"Britt Blinerman")</f>
        <v>Britt Blinerman</v>
      </c>
      <c r="C209" s="2" t="str">
        <f>IFERROR(__xludf.DUMMYFUNCTION("""COMPUTED_VALUE"""),"bblinerman5s@psu.edu")</f>
        <v>bblinerman5s@psu.edu</v>
      </c>
      <c r="D209" s="4">
        <f>IFERROR(__xludf.DUMMYFUNCTION("""COMPUTED_VALUE"""),120.0)</f>
        <v>120</v>
      </c>
      <c r="E209" s="4">
        <f>IFERROR(__xludf.DUMMYFUNCTION("""COMPUTED_VALUE"""),81.0)</f>
        <v>81</v>
      </c>
      <c r="F209" s="4">
        <f>IFERROR(__xludf.DUMMYFUNCTION("""COMPUTED_VALUE"""),2.0)</f>
        <v>2</v>
      </c>
      <c r="G209" s="4">
        <f>IFERROR(__xludf.DUMMYFUNCTION("""COMPUTED_VALUE"""),575.0)</f>
        <v>575</v>
      </c>
      <c r="H209" s="5">
        <f>IFERROR(__xludf.DUMMYFUNCTION("""COMPUTED_VALUE"""),554.48)</f>
        <v>554.48</v>
      </c>
      <c r="I209" s="5">
        <f>IFERROR(__xludf.DUMMYFUNCTION("""COMPUTED_VALUE"""),3659.63)</f>
        <v>3659.63</v>
      </c>
      <c r="J209" s="5">
        <f>IFERROR(__xludf.DUMMYFUNCTION("""COMPUTED_VALUE"""),1227.63)</f>
        <v>1227.63</v>
      </c>
      <c r="K209" s="5">
        <f>IFERROR(__xludf.DUMMYFUNCTION("""COMPUTED_VALUE"""),3966.41)</f>
        <v>3966.41</v>
      </c>
      <c r="L209" s="4">
        <f>IFERROR(__xludf.DUMMYFUNCTION("""COMPUTED_VALUE"""),13.0)</f>
        <v>13</v>
      </c>
      <c r="M209" s="4">
        <f>IFERROR(__xludf.DUMMYFUNCTION("""COMPUTED_VALUE"""),77.0)</f>
        <v>77</v>
      </c>
      <c r="N209" s="2" t="str">
        <f>IFERROR(__xludf.DUMMYFUNCTION("""COMPUTED_VALUE"""),"FALSO")</f>
        <v>FALSO</v>
      </c>
    </row>
    <row r="210">
      <c r="A210" s="2">
        <f>IFERROR(__xludf.DUMMYFUNCTION("""COMPUTED_VALUE"""),209.0)</f>
        <v>209</v>
      </c>
      <c r="B210" s="2" t="str">
        <f>IFERROR(__xludf.DUMMYFUNCTION("""COMPUTED_VALUE"""),"Stan Katt")</f>
        <v>Stan Katt</v>
      </c>
      <c r="C210" s="2" t="str">
        <f>IFERROR(__xludf.DUMMYFUNCTION("""COMPUTED_VALUE"""),"skatt5t@cocolog-nifty.com")</f>
        <v>skatt5t@cocolog-nifty.com</v>
      </c>
      <c r="D210" s="4">
        <f>IFERROR(__xludf.DUMMYFUNCTION("""COMPUTED_VALUE"""),124.0)</f>
        <v>124</v>
      </c>
      <c r="E210" s="4">
        <f>IFERROR(__xludf.DUMMYFUNCTION("""COMPUTED_VALUE"""),111.0)</f>
        <v>111</v>
      </c>
      <c r="F210" s="4">
        <f>IFERROR(__xludf.DUMMYFUNCTION("""COMPUTED_VALUE"""),4.0)</f>
        <v>4</v>
      </c>
      <c r="G210" s="4">
        <f>IFERROR(__xludf.DUMMYFUNCTION("""COMPUTED_VALUE"""),349.0)</f>
        <v>349</v>
      </c>
      <c r="H210" s="5">
        <f>IFERROR(__xludf.DUMMYFUNCTION("""COMPUTED_VALUE"""),4535.17)</f>
        <v>4535.17</v>
      </c>
      <c r="I210" s="5">
        <f>IFERROR(__xludf.DUMMYFUNCTION("""COMPUTED_VALUE"""),3918.82)</f>
        <v>3918.82</v>
      </c>
      <c r="J210" s="5">
        <f>IFERROR(__xludf.DUMMYFUNCTION("""COMPUTED_VALUE"""),3722.13)</f>
        <v>3722.13</v>
      </c>
      <c r="K210" s="5">
        <f>IFERROR(__xludf.DUMMYFUNCTION("""COMPUTED_VALUE"""),3174.26)</f>
        <v>3174.26</v>
      </c>
      <c r="L210" s="4">
        <f>IFERROR(__xludf.DUMMYFUNCTION("""COMPUTED_VALUE"""),1.0)</f>
        <v>1</v>
      </c>
      <c r="M210" s="4">
        <f>IFERROR(__xludf.DUMMYFUNCTION("""COMPUTED_VALUE"""),72.0)</f>
        <v>72</v>
      </c>
      <c r="N210" s="2" t="str">
        <f>IFERROR(__xludf.DUMMYFUNCTION("""COMPUTED_VALUE"""),"FALSO")</f>
        <v>FALSO</v>
      </c>
    </row>
    <row r="211">
      <c r="A211" s="2">
        <f>IFERROR(__xludf.DUMMYFUNCTION("""COMPUTED_VALUE"""),210.0)</f>
        <v>210</v>
      </c>
      <c r="B211" s="2" t="str">
        <f>IFERROR(__xludf.DUMMYFUNCTION("""COMPUTED_VALUE"""),"Mignonne Ironside")</f>
        <v>Mignonne Ironside</v>
      </c>
      <c r="C211" s="2" t="str">
        <f>IFERROR(__xludf.DUMMYFUNCTION("""COMPUTED_VALUE"""),"mironside5u@gravatar.com")</f>
        <v>mironside5u@gravatar.com</v>
      </c>
      <c r="D211" s="4">
        <f>IFERROR(__xludf.DUMMYFUNCTION("""COMPUTED_VALUE"""),65.0)</f>
        <v>65</v>
      </c>
      <c r="E211" s="4">
        <f>IFERROR(__xludf.DUMMYFUNCTION("""COMPUTED_VALUE"""),95.0)</f>
        <v>95</v>
      </c>
      <c r="F211" s="4">
        <f>IFERROR(__xludf.DUMMYFUNCTION("""COMPUTED_VALUE"""),13.0)</f>
        <v>13</v>
      </c>
      <c r="G211" s="4">
        <f>IFERROR(__xludf.DUMMYFUNCTION("""COMPUTED_VALUE"""),1015.0)</f>
        <v>1015</v>
      </c>
      <c r="H211" s="5">
        <f>IFERROR(__xludf.DUMMYFUNCTION("""COMPUTED_VALUE"""),7494.27)</f>
        <v>7494.27</v>
      </c>
      <c r="I211" s="5">
        <f>IFERROR(__xludf.DUMMYFUNCTION("""COMPUTED_VALUE"""),5331.16)</f>
        <v>5331.16</v>
      </c>
      <c r="J211" s="5">
        <f>IFERROR(__xludf.DUMMYFUNCTION("""COMPUTED_VALUE"""),1462.17)</f>
        <v>1462.17</v>
      </c>
      <c r="K211" s="5">
        <f>IFERROR(__xludf.DUMMYFUNCTION("""COMPUTED_VALUE"""),6453.74)</f>
        <v>6453.74</v>
      </c>
      <c r="L211" s="4">
        <f>IFERROR(__xludf.DUMMYFUNCTION("""COMPUTED_VALUE"""),16.0)</f>
        <v>16</v>
      </c>
      <c r="M211" s="4">
        <f>IFERROR(__xludf.DUMMYFUNCTION("""COMPUTED_VALUE"""),18.0)</f>
        <v>18</v>
      </c>
      <c r="N211" s="2" t="str">
        <f>IFERROR(__xludf.DUMMYFUNCTION("""COMPUTED_VALUE"""),"FALSO")</f>
        <v>FALSO</v>
      </c>
    </row>
    <row r="212">
      <c r="A212" s="2">
        <f>IFERROR(__xludf.DUMMYFUNCTION("""COMPUTED_VALUE"""),211.0)</f>
        <v>211</v>
      </c>
      <c r="B212" s="2" t="str">
        <f>IFERROR(__xludf.DUMMYFUNCTION("""COMPUTED_VALUE"""),"Damita Verheyden")</f>
        <v>Damita Verheyden</v>
      </c>
      <c r="C212" s="2" t="str">
        <f>IFERROR(__xludf.DUMMYFUNCTION("""COMPUTED_VALUE"""),"dverheyden5v@studiopress.com")</f>
        <v>dverheyden5v@studiopress.com</v>
      </c>
      <c r="D212" s="4">
        <f>IFERROR(__xludf.DUMMYFUNCTION("""COMPUTED_VALUE"""),17.0)</f>
        <v>17</v>
      </c>
      <c r="E212" s="4">
        <f>IFERROR(__xludf.DUMMYFUNCTION("""COMPUTED_VALUE"""),9.0)</f>
        <v>9</v>
      </c>
      <c r="F212" s="4">
        <f>IFERROR(__xludf.DUMMYFUNCTION("""COMPUTED_VALUE"""),10.0)</f>
        <v>10</v>
      </c>
      <c r="G212" s="4">
        <f>IFERROR(__xludf.DUMMYFUNCTION("""COMPUTED_VALUE"""),1239.0)</f>
        <v>1239</v>
      </c>
      <c r="H212" s="5">
        <f>IFERROR(__xludf.DUMMYFUNCTION("""COMPUTED_VALUE"""),3945.41)</f>
        <v>3945.41</v>
      </c>
      <c r="I212" s="5">
        <f>IFERROR(__xludf.DUMMYFUNCTION("""COMPUTED_VALUE"""),2649.22)</f>
        <v>2649.22</v>
      </c>
      <c r="J212" s="5">
        <f>IFERROR(__xludf.DUMMYFUNCTION("""COMPUTED_VALUE"""),3969.58)</f>
        <v>3969.58</v>
      </c>
      <c r="K212" s="5">
        <f>IFERROR(__xludf.DUMMYFUNCTION("""COMPUTED_VALUE"""),9140.2)</f>
        <v>9140.2</v>
      </c>
      <c r="L212" s="4">
        <f>IFERROR(__xludf.DUMMYFUNCTION("""COMPUTED_VALUE"""),4.0)</f>
        <v>4</v>
      </c>
      <c r="M212" s="4">
        <f>IFERROR(__xludf.DUMMYFUNCTION("""COMPUTED_VALUE"""),71.0)</f>
        <v>71</v>
      </c>
      <c r="N212" s="2" t="str">
        <f>IFERROR(__xludf.DUMMYFUNCTION("""COMPUTED_VALUE"""),"VERDADERO")</f>
        <v>VERDADERO</v>
      </c>
    </row>
    <row r="213">
      <c r="A213" s="2">
        <f>IFERROR(__xludf.DUMMYFUNCTION("""COMPUTED_VALUE"""),212.0)</f>
        <v>212</v>
      </c>
      <c r="B213" s="2" t="str">
        <f>IFERROR(__xludf.DUMMYFUNCTION("""COMPUTED_VALUE"""),"Scot Wilden")</f>
        <v>Scot Wilden</v>
      </c>
      <c r="C213" s="2" t="str">
        <f>IFERROR(__xludf.DUMMYFUNCTION("""COMPUTED_VALUE"""),"swilden5w@qq.com")</f>
        <v>swilden5w@qq.com</v>
      </c>
      <c r="D213" s="4">
        <f>IFERROR(__xludf.DUMMYFUNCTION("""COMPUTED_VALUE"""),65.0)</f>
        <v>65</v>
      </c>
      <c r="E213" s="4">
        <f>IFERROR(__xludf.DUMMYFUNCTION("""COMPUTED_VALUE"""),81.0)</f>
        <v>81</v>
      </c>
      <c r="F213" s="4">
        <f>IFERROR(__xludf.DUMMYFUNCTION("""COMPUTED_VALUE"""),2.0)</f>
        <v>2</v>
      </c>
      <c r="G213" s="4">
        <f>IFERROR(__xludf.DUMMYFUNCTION("""COMPUTED_VALUE"""),1121.0)</f>
        <v>1121</v>
      </c>
      <c r="H213" s="5">
        <f>IFERROR(__xludf.DUMMYFUNCTION("""COMPUTED_VALUE"""),7195.78)</f>
        <v>7195.78</v>
      </c>
      <c r="I213" s="5">
        <f>IFERROR(__xludf.DUMMYFUNCTION("""COMPUTED_VALUE"""),5825.25)</f>
        <v>5825.25</v>
      </c>
      <c r="J213" s="5">
        <f>IFERROR(__xludf.DUMMYFUNCTION("""COMPUTED_VALUE"""),6156.31)</f>
        <v>6156.31</v>
      </c>
      <c r="K213" s="5">
        <f>IFERROR(__xludf.DUMMYFUNCTION("""COMPUTED_VALUE"""),7695.45)</f>
        <v>7695.45</v>
      </c>
      <c r="L213" s="4">
        <f>IFERROR(__xludf.DUMMYFUNCTION("""COMPUTED_VALUE"""),6.0)</f>
        <v>6</v>
      </c>
      <c r="M213" s="4">
        <f>IFERROR(__xludf.DUMMYFUNCTION("""COMPUTED_VALUE"""),45.0)</f>
        <v>45</v>
      </c>
      <c r="N213" s="2" t="str">
        <f>IFERROR(__xludf.DUMMYFUNCTION("""COMPUTED_VALUE"""),"FALSO")</f>
        <v>FALSO</v>
      </c>
    </row>
    <row r="214">
      <c r="A214" s="2">
        <f>IFERROR(__xludf.DUMMYFUNCTION("""COMPUTED_VALUE"""),213.0)</f>
        <v>213</v>
      </c>
      <c r="B214" s="2" t="str">
        <f>IFERROR(__xludf.DUMMYFUNCTION("""COMPUTED_VALUE"""),"Enrique Beverstock")</f>
        <v>Enrique Beverstock</v>
      </c>
      <c r="C214" s="2" t="str">
        <f>IFERROR(__xludf.DUMMYFUNCTION("""COMPUTED_VALUE"""),"ebeverstock5x@spotify.com")</f>
        <v>ebeverstock5x@spotify.com</v>
      </c>
      <c r="D214" s="4">
        <f>IFERROR(__xludf.DUMMYFUNCTION("""COMPUTED_VALUE"""),49.0)</f>
        <v>49</v>
      </c>
      <c r="E214" s="4">
        <f>IFERROR(__xludf.DUMMYFUNCTION("""COMPUTED_VALUE"""),81.0)</f>
        <v>81</v>
      </c>
      <c r="F214" s="4">
        <f>IFERROR(__xludf.DUMMYFUNCTION("""COMPUTED_VALUE"""),2.0)</f>
        <v>2</v>
      </c>
      <c r="G214" s="4">
        <f>IFERROR(__xludf.DUMMYFUNCTION("""COMPUTED_VALUE"""),1505.0)</f>
        <v>1505</v>
      </c>
      <c r="H214" s="5">
        <f>IFERROR(__xludf.DUMMYFUNCTION("""COMPUTED_VALUE"""),4226.37)</f>
        <v>4226.37</v>
      </c>
      <c r="I214" s="5">
        <f>IFERROR(__xludf.DUMMYFUNCTION("""COMPUTED_VALUE"""),1421.39)</f>
        <v>1421.39</v>
      </c>
      <c r="J214" s="5">
        <f>IFERROR(__xludf.DUMMYFUNCTION("""COMPUTED_VALUE"""),6211.18)</f>
        <v>6211.18</v>
      </c>
      <c r="K214" s="5">
        <f>IFERROR(__xludf.DUMMYFUNCTION("""COMPUTED_VALUE"""),4539.63)</f>
        <v>4539.63</v>
      </c>
      <c r="L214" s="4">
        <f>IFERROR(__xludf.DUMMYFUNCTION("""COMPUTED_VALUE"""),9.0)</f>
        <v>9</v>
      </c>
      <c r="M214" s="4">
        <f>IFERROR(__xludf.DUMMYFUNCTION("""COMPUTED_VALUE"""),3.0)</f>
        <v>3</v>
      </c>
      <c r="N214" s="2" t="str">
        <f>IFERROR(__xludf.DUMMYFUNCTION("""COMPUTED_VALUE"""),"FALSO")</f>
        <v>FALSO</v>
      </c>
    </row>
    <row r="215">
      <c r="A215" s="2">
        <f>IFERROR(__xludf.DUMMYFUNCTION("""COMPUTED_VALUE"""),214.0)</f>
        <v>214</v>
      </c>
      <c r="B215" s="2" t="str">
        <f>IFERROR(__xludf.DUMMYFUNCTION("""COMPUTED_VALUE"""),"Agatha Arling")</f>
        <v>Agatha Arling</v>
      </c>
      <c r="C215" s="2" t="str">
        <f>IFERROR(__xludf.DUMMYFUNCTION("""COMPUTED_VALUE"""),"aarling5y@google.nl")</f>
        <v>aarling5y@google.nl</v>
      </c>
      <c r="D215" s="4">
        <f>IFERROR(__xludf.DUMMYFUNCTION("""COMPUTED_VALUE"""),48.0)</f>
        <v>48</v>
      </c>
      <c r="E215" s="4">
        <f>IFERROR(__xludf.DUMMYFUNCTION("""COMPUTED_VALUE"""),64.0)</f>
        <v>64</v>
      </c>
      <c r="F215" s="4">
        <f>IFERROR(__xludf.DUMMYFUNCTION("""COMPUTED_VALUE"""),4.0)</f>
        <v>4</v>
      </c>
      <c r="G215" s="4">
        <f>IFERROR(__xludf.DUMMYFUNCTION("""COMPUTED_VALUE"""),82.0)</f>
        <v>82</v>
      </c>
      <c r="H215" s="5">
        <f>IFERROR(__xludf.DUMMYFUNCTION("""COMPUTED_VALUE"""),4767.46)</f>
        <v>4767.46</v>
      </c>
      <c r="I215" s="5">
        <f>IFERROR(__xludf.DUMMYFUNCTION("""COMPUTED_VALUE"""),7652.89)</f>
        <v>7652.89</v>
      </c>
      <c r="J215" s="5">
        <f>IFERROR(__xludf.DUMMYFUNCTION("""COMPUTED_VALUE"""),5345.54)</f>
        <v>5345.54</v>
      </c>
      <c r="K215" s="5">
        <f>IFERROR(__xludf.DUMMYFUNCTION("""COMPUTED_VALUE"""),346.28)</f>
        <v>346.28</v>
      </c>
      <c r="L215" s="4">
        <f>IFERROR(__xludf.DUMMYFUNCTION("""COMPUTED_VALUE"""),14.0)</f>
        <v>14</v>
      </c>
      <c r="M215" s="4">
        <f>IFERROR(__xludf.DUMMYFUNCTION("""COMPUTED_VALUE"""),3.0)</f>
        <v>3</v>
      </c>
      <c r="N215" s="2" t="str">
        <f>IFERROR(__xludf.DUMMYFUNCTION("""COMPUTED_VALUE"""),"FALSO")</f>
        <v>FALSO</v>
      </c>
    </row>
    <row r="216">
      <c r="A216" s="2">
        <f>IFERROR(__xludf.DUMMYFUNCTION("""COMPUTED_VALUE"""),215.0)</f>
        <v>215</v>
      </c>
      <c r="B216" s="2" t="str">
        <f>IFERROR(__xludf.DUMMYFUNCTION("""COMPUTED_VALUE"""),"Rebeca MacLise")</f>
        <v>Rebeca MacLise</v>
      </c>
      <c r="C216" s="2" t="str">
        <f>IFERROR(__xludf.DUMMYFUNCTION("""COMPUTED_VALUE"""),"rmaclise5z@illinois.edu")</f>
        <v>rmaclise5z@illinois.edu</v>
      </c>
      <c r="D216" s="4">
        <f>IFERROR(__xludf.DUMMYFUNCTION("""COMPUTED_VALUE"""),137.0)</f>
        <v>137</v>
      </c>
      <c r="E216" s="4">
        <f>IFERROR(__xludf.DUMMYFUNCTION("""COMPUTED_VALUE"""),81.0)</f>
        <v>81</v>
      </c>
      <c r="F216" s="4">
        <f>IFERROR(__xludf.DUMMYFUNCTION("""COMPUTED_VALUE"""),2.0)</f>
        <v>2</v>
      </c>
      <c r="G216" s="4">
        <f>IFERROR(__xludf.DUMMYFUNCTION("""COMPUTED_VALUE"""),1343.0)</f>
        <v>1343</v>
      </c>
      <c r="H216" s="5">
        <f>IFERROR(__xludf.DUMMYFUNCTION("""COMPUTED_VALUE"""),3298.03)</f>
        <v>3298.03</v>
      </c>
      <c r="I216" s="5">
        <f>IFERROR(__xludf.DUMMYFUNCTION("""COMPUTED_VALUE"""),9129.69)</f>
        <v>9129.69</v>
      </c>
      <c r="J216" s="5">
        <f>IFERROR(__xludf.DUMMYFUNCTION("""COMPUTED_VALUE"""),5018.53)</f>
        <v>5018.53</v>
      </c>
      <c r="K216" s="5">
        <f>IFERROR(__xludf.DUMMYFUNCTION("""COMPUTED_VALUE"""),6390.48)</f>
        <v>6390.48</v>
      </c>
      <c r="L216" s="4">
        <f>IFERROR(__xludf.DUMMYFUNCTION("""COMPUTED_VALUE"""),17.0)</f>
        <v>17</v>
      </c>
      <c r="M216" s="4">
        <f>IFERROR(__xludf.DUMMYFUNCTION("""COMPUTED_VALUE"""),90.0)</f>
        <v>90</v>
      </c>
      <c r="N216" s="2" t="str">
        <f>IFERROR(__xludf.DUMMYFUNCTION("""COMPUTED_VALUE"""),"VERDADERO")</f>
        <v>VERDADERO</v>
      </c>
    </row>
    <row r="217">
      <c r="A217" s="2">
        <f>IFERROR(__xludf.DUMMYFUNCTION("""COMPUTED_VALUE"""),216.0)</f>
        <v>216</v>
      </c>
      <c r="B217" s="2" t="str">
        <f>IFERROR(__xludf.DUMMYFUNCTION("""COMPUTED_VALUE"""),"Johannes Scahill")</f>
        <v>Johannes Scahill</v>
      </c>
      <c r="C217" s="2" t="str">
        <f>IFERROR(__xludf.DUMMYFUNCTION("""COMPUTED_VALUE"""),"jscahill60@sohu.com")</f>
        <v>jscahill60@sohu.com</v>
      </c>
      <c r="D217" s="4">
        <f>IFERROR(__xludf.DUMMYFUNCTION("""COMPUTED_VALUE"""),29.0)</f>
        <v>29</v>
      </c>
      <c r="E217" s="4">
        <f>IFERROR(__xludf.DUMMYFUNCTION("""COMPUTED_VALUE"""),61.0)</f>
        <v>61</v>
      </c>
      <c r="F217" s="4">
        <f>IFERROR(__xludf.DUMMYFUNCTION("""COMPUTED_VALUE"""),4.0)</f>
        <v>4</v>
      </c>
      <c r="G217" s="4">
        <f>IFERROR(__xludf.DUMMYFUNCTION("""COMPUTED_VALUE"""),1514.0)</f>
        <v>1514</v>
      </c>
      <c r="H217" s="5">
        <f>IFERROR(__xludf.DUMMYFUNCTION("""COMPUTED_VALUE"""),2565.4)</f>
        <v>2565.4</v>
      </c>
      <c r="I217" s="5">
        <f>IFERROR(__xludf.DUMMYFUNCTION("""COMPUTED_VALUE"""),7712.3)</f>
        <v>7712.3</v>
      </c>
      <c r="J217" s="5">
        <f>IFERROR(__xludf.DUMMYFUNCTION("""COMPUTED_VALUE"""),8497.39)</f>
        <v>8497.39</v>
      </c>
      <c r="K217" s="5">
        <f>IFERROR(__xludf.DUMMYFUNCTION("""COMPUTED_VALUE"""),7380.51)</f>
        <v>7380.51</v>
      </c>
      <c r="L217" s="4">
        <f>IFERROR(__xludf.DUMMYFUNCTION("""COMPUTED_VALUE"""),12.0)</f>
        <v>12</v>
      </c>
      <c r="M217" s="4">
        <f>IFERROR(__xludf.DUMMYFUNCTION("""COMPUTED_VALUE"""),34.0)</f>
        <v>34</v>
      </c>
      <c r="N217" s="2" t="str">
        <f>IFERROR(__xludf.DUMMYFUNCTION("""COMPUTED_VALUE"""),"VERDADERO")</f>
        <v>VERDADERO</v>
      </c>
    </row>
    <row r="218">
      <c r="A218" s="2">
        <f>IFERROR(__xludf.DUMMYFUNCTION("""COMPUTED_VALUE"""),217.0)</f>
        <v>217</v>
      </c>
      <c r="B218" s="2" t="str">
        <f>IFERROR(__xludf.DUMMYFUNCTION("""COMPUTED_VALUE"""),"Morry Muschette")</f>
        <v>Morry Muschette</v>
      </c>
      <c r="C218" s="2" t="str">
        <f>IFERROR(__xludf.DUMMYFUNCTION("""COMPUTED_VALUE"""),"mmuschette61@un.org")</f>
        <v>mmuschette61@un.org</v>
      </c>
      <c r="D218" s="4">
        <f>IFERROR(__xludf.DUMMYFUNCTION("""COMPUTED_VALUE"""),49.0)</f>
        <v>49</v>
      </c>
      <c r="E218" s="4">
        <f>IFERROR(__xludf.DUMMYFUNCTION("""COMPUTED_VALUE"""),92.0)</f>
        <v>92</v>
      </c>
      <c r="F218" s="4">
        <f>IFERROR(__xludf.DUMMYFUNCTION("""COMPUTED_VALUE"""),5.0)</f>
        <v>5</v>
      </c>
      <c r="G218" s="4">
        <f>IFERROR(__xludf.DUMMYFUNCTION("""COMPUTED_VALUE"""),1460.0)</f>
        <v>1460</v>
      </c>
      <c r="H218" s="5">
        <f>IFERROR(__xludf.DUMMYFUNCTION("""COMPUTED_VALUE"""),8828.27)</f>
        <v>8828.27</v>
      </c>
      <c r="I218" s="5">
        <f>IFERROR(__xludf.DUMMYFUNCTION("""COMPUTED_VALUE"""),2648.63)</f>
        <v>2648.63</v>
      </c>
      <c r="J218" s="5">
        <f>IFERROR(__xludf.DUMMYFUNCTION("""COMPUTED_VALUE"""),5594.95)</f>
        <v>5594.95</v>
      </c>
      <c r="K218" s="5">
        <f>IFERROR(__xludf.DUMMYFUNCTION("""COMPUTED_VALUE"""),6566.82)</f>
        <v>6566.82</v>
      </c>
      <c r="L218" s="4">
        <f>IFERROR(__xludf.DUMMYFUNCTION("""COMPUTED_VALUE"""),11.0)</f>
        <v>11</v>
      </c>
      <c r="M218" s="4">
        <f>IFERROR(__xludf.DUMMYFUNCTION("""COMPUTED_VALUE"""),77.0)</f>
        <v>77</v>
      </c>
      <c r="N218" s="2" t="str">
        <f>IFERROR(__xludf.DUMMYFUNCTION("""COMPUTED_VALUE"""),"VERDADERO")</f>
        <v>VERDADERO</v>
      </c>
    </row>
    <row r="219">
      <c r="A219" s="2">
        <f>IFERROR(__xludf.DUMMYFUNCTION("""COMPUTED_VALUE"""),218.0)</f>
        <v>218</v>
      </c>
      <c r="B219" s="2" t="str">
        <f>IFERROR(__xludf.DUMMYFUNCTION("""COMPUTED_VALUE"""),"Pammi Mathison")</f>
        <v>Pammi Mathison</v>
      </c>
      <c r="C219" s="2" t="str">
        <f>IFERROR(__xludf.DUMMYFUNCTION("""COMPUTED_VALUE"""),"pmathison62@google.com.br")</f>
        <v>pmathison62@google.com.br</v>
      </c>
      <c r="D219" s="4">
        <f>IFERROR(__xludf.DUMMYFUNCTION("""COMPUTED_VALUE"""),49.0)</f>
        <v>49</v>
      </c>
      <c r="E219" s="4">
        <f>IFERROR(__xludf.DUMMYFUNCTION("""COMPUTED_VALUE"""),81.0)</f>
        <v>81</v>
      </c>
      <c r="F219" s="4">
        <f>IFERROR(__xludf.DUMMYFUNCTION("""COMPUTED_VALUE"""),2.0)</f>
        <v>2</v>
      </c>
      <c r="G219" s="4">
        <f>IFERROR(__xludf.DUMMYFUNCTION("""COMPUTED_VALUE"""),1394.0)</f>
        <v>1394</v>
      </c>
      <c r="H219" s="5">
        <f>IFERROR(__xludf.DUMMYFUNCTION("""COMPUTED_VALUE"""),2560.32)</f>
        <v>2560.32</v>
      </c>
      <c r="I219" s="5">
        <f>IFERROR(__xludf.DUMMYFUNCTION("""COMPUTED_VALUE"""),8800.98)</f>
        <v>8800.98</v>
      </c>
      <c r="J219" s="5">
        <f>IFERROR(__xludf.DUMMYFUNCTION("""COMPUTED_VALUE"""),3424.42)</f>
        <v>3424.42</v>
      </c>
      <c r="K219" s="5">
        <f>IFERROR(__xludf.DUMMYFUNCTION("""COMPUTED_VALUE"""),3219.75)</f>
        <v>3219.75</v>
      </c>
      <c r="L219" s="4">
        <f>IFERROR(__xludf.DUMMYFUNCTION("""COMPUTED_VALUE"""),19.0)</f>
        <v>19</v>
      </c>
      <c r="M219" s="4">
        <f>IFERROR(__xludf.DUMMYFUNCTION("""COMPUTED_VALUE"""),60.0)</f>
        <v>60</v>
      </c>
      <c r="N219" s="2" t="str">
        <f>IFERROR(__xludf.DUMMYFUNCTION("""COMPUTED_VALUE"""),"FALSO")</f>
        <v>FALSO</v>
      </c>
    </row>
    <row r="220">
      <c r="A220" s="2">
        <f>IFERROR(__xludf.DUMMYFUNCTION("""COMPUTED_VALUE"""),219.0)</f>
        <v>219</v>
      </c>
      <c r="B220" s="2" t="str">
        <f>IFERROR(__xludf.DUMMYFUNCTION("""COMPUTED_VALUE"""),"Sheela Paulat")</f>
        <v>Sheela Paulat</v>
      </c>
      <c r="C220" s="2" t="str">
        <f>IFERROR(__xludf.DUMMYFUNCTION("""COMPUTED_VALUE"""),"spaulat63@ebay.co.uk")</f>
        <v>spaulat63@ebay.co.uk</v>
      </c>
      <c r="D220" s="4">
        <f>IFERROR(__xludf.DUMMYFUNCTION("""COMPUTED_VALUE"""),29.0)</f>
        <v>29</v>
      </c>
      <c r="E220" s="4">
        <f>IFERROR(__xludf.DUMMYFUNCTION("""COMPUTED_VALUE"""),58.0)</f>
        <v>58</v>
      </c>
      <c r="F220" s="4">
        <f>IFERROR(__xludf.DUMMYFUNCTION("""COMPUTED_VALUE"""),8.0)</f>
        <v>8</v>
      </c>
      <c r="G220" s="4">
        <f>IFERROR(__xludf.DUMMYFUNCTION("""COMPUTED_VALUE"""),340.0)</f>
        <v>340</v>
      </c>
      <c r="H220" s="5">
        <f>IFERROR(__xludf.DUMMYFUNCTION("""COMPUTED_VALUE"""),9315.29)</f>
        <v>9315.29</v>
      </c>
      <c r="I220" s="5">
        <f>IFERROR(__xludf.DUMMYFUNCTION("""COMPUTED_VALUE"""),6370.43)</f>
        <v>6370.43</v>
      </c>
      <c r="J220" s="5">
        <f>IFERROR(__xludf.DUMMYFUNCTION("""COMPUTED_VALUE"""),751.99)</f>
        <v>751.99</v>
      </c>
      <c r="K220" s="5">
        <f>IFERROR(__xludf.DUMMYFUNCTION("""COMPUTED_VALUE"""),1090.12)</f>
        <v>1090.12</v>
      </c>
      <c r="L220" s="4">
        <f>IFERROR(__xludf.DUMMYFUNCTION("""COMPUTED_VALUE"""),20.0)</f>
        <v>20</v>
      </c>
      <c r="M220" s="4">
        <f>IFERROR(__xludf.DUMMYFUNCTION("""COMPUTED_VALUE"""),18.0)</f>
        <v>18</v>
      </c>
      <c r="N220" s="2" t="str">
        <f>IFERROR(__xludf.DUMMYFUNCTION("""COMPUTED_VALUE"""),"VERDADERO")</f>
        <v>VERDADERO</v>
      </c>
    </row>
    <row r="221">
      <c r="A221" s="2">
        <f>IFERROR(__xludf.DUMMYFUNCTION("""COMPUTED_VALUE"""),220.0)</f>
        <v>220</v>
      </c>
      <c r="B221" s="2" t="str">
        <f>IFERROR(__xludf.DUMMYFUNCTION("""COMPUTED_VALUE"""),"Caryl De Brett")</f>
        <v>Caryl De Brett</v>
      </c>
      <c r="C221" s="2" t="str">
        <f>IFERROR(__xludf.DUMMYFUNCTION("""COMPUTED_VALUE"""),"cde64@shop-pro.jp")</f>
        <v>cde64@shop-pro.jp</v>
      </c>
      <c r="D221" s="4">
        <f>IFERROR(__xludf.DUMMYFUNCTION("""COMPUTED_VALUE"""),29.0)</f>
        <v>29</v>
      </c>
      <c r="E221" s="4">
        <f>IFERROR(__xludf.DUMMYFUNCTION("""COMPUTED_VALUE"""),81.0)</f>
        <v>81</v>
      </c>
      <c r="F221" s="4">
        <f>IFERROR(__xludf.DUMMYFUNCTION("""COMPUTED_VALUE"""),2.0)</f>
        <v>2</v>
      </c>
      <c r="G221" s="4">
        <f>IFERROR(__xludf.DUMMYFUNCTION("""COMPUTED_VALUE"""),482.0)</f>
        <v>482</v>
      </c>
      <c r="H221" s="5">
        <f>IFERROR(__xludf.DUMMYFUNCTION("""COMPUTED_VALUE"""),326.23)</f>
        <v>326.23</v>
      </c>
      <c r="I221" s="5">
        <f>IFERROR(__xludf.DUMMYFUNCTION("""COMPUTED_VALUE"""),3799.57)</f>
        <v>3799.57</v>
      </c>
      <c r="J221" s="5">
        <f>IFERROR(__xludf.DUMMYFUNCTION("""COMPUTED_VALUE"""),4282.97)</f>
        <v>4282.97</v>
      </c>
      <c r="K221" s="5">
        <f>IFERROR(__xludf.DUMMYFUNCTION("""COMPUTED_VALUE"""),8568.58)</f>
        <v>8568.58</v>
      </c>
      <c r="L221" s="4">
        <f>IFERROR(__xludf.DUMMYFUNCTION("""COMPUTED_VALUE"""),14.0)</f>
        <v>14</v>
      </c>
      <c r="M221" s="4">
        <f>IFERROR(__xludf.DUMMYFUNCTION("""COMPUTED_VALUE"""),12.0)</f>
        <v>12</v>
      </c>
      <c r="N221" s="2" t="str">
        <f>IFERROR(__xludf.DUMMYFUNCTION("""COMPUTED_VALUE"""),"VERDADERO")</f>
        <v>VERDADERO</v>
      </c>
    </row>
    <row r="222">
      <c r="A222" s="2">
        <f>IFERROR(__xludf.DUMMYFUNCTION("""COMPUTED_VALUE"""),221.0)</f>
        <v>221</v>
      </c>
      <c r="B222" s="2" t="str">
        <f>IFERROR(__xludf.DUMMYFUNCTION("""COMPUTED_VALUE"""),"Ric Matyushkin")</f>
        <v>Ric Matyushkin</v>
      </c>
      <c r="C222" s="2" t="str">
        <f>IFERROR(__xludf.DUMMYFUNCTION("""COMPUTED_VALUE"""),"rmatyushkin65@ed.gov")</f>
        <v>rmatyushkin65@ed.gov</v>
      </c>
      <c r="D222" s="4">
        <f>IFERROR(__xludf.DUMMYFUNCTION("""COMPUTED_VALUE"""),120.0)</f>
        <v>120</v>
      </c>
      <c r="E222" s="4">
        <f>IFERROR(__xludf.DUMMYFUNCTION("""COMPUTED_VALUE"""),86.0)</f>
        <v>86</v>
      </c>
      <c r="F222" s="4">
        <f>IFERROR(__xludf.DUMMYFUNCTION("""COMPUTED_VALUE"""),7.0)</f>
        <v>7</v>
      </c>
      <c r="G222" s="4">
        <f>IFERROR(__xludf.DUMMYFUNCTION("""COMPUTED_VALUE"""),604.0)</f>
        <v>604</v>
      </c>
      <c r="H222" s="5">
        <f>IFERROR(__xludf.DUMMYFUNCTION("""COMPUTED_VALUE"""),6168.77)</f>
        <v>6168.77</v>
      </c>
      <c r="I222" s="5">
        <f>IFERROR(__xludf.DUMMYFUNCTION("""COMPUTED_VALUE"""),6394.32)</f>
        <v>6394.32</v>
      </c>
      <c r="J222" s="5">
        <f>IFERROR(__xludf.DUMMYFUNCTION("""COMPUTED_VALUE"""),2991.73)</f>
        <v>2991.73</v>
      </c>
      <c r="K222" s="5">
        <f>IFERROR(__xludf.DUMMYFUNCTION("""COMPUTED_VALUE"""),1850.13)</f>
        <v>1850.13</v>
      </c>
      <c r="L222" s="4">
        <f>IFERROR(__xludf.DUMMYFUNCTION("""COMPUTED_VALUE"""),5.0)</f>
        <v>5</v>
      </c>
      <c r="M222" s="4">
        <f>IFERROR(__xludf.DUMMYFUNCTION("""COMPUTED_VALUE"""),10.0)</f>
        <v>10</v>
      </c>
      <c r="N222" s="2" t="str">
        <f>IFERROR(__xludf.DUMMYFUNCTION("""COMPUTED_VALUE"""),"VERDADERO")</f>
        <v>VERDADERO</v>
      </c>
    </row>
    <row r="223">
      <c r="A223" s="2">
        <f>IFERROR(__xludf.DUMMYFUNCTION("""COMPUTED_VALUE"""),222.0)</f>
        <v>222</v>
      </c>
      <c r="B223" s="2" t="str">
        <f>IFERROR(__xludf.DUMMYFUNCTION("""COMPUTED_VALUE"""),"Tish Dubbin")</f>
        <v>Tish Dubbin</v>
      </c>
      <c r="C223" s="2" t="str">
        <f>IFERROR(__xludf.DUMMYFUNCTION("""COMPUTED_VALUE"""),"tdubbin66@newyorker.com")</f>
        <v>tdubbin66@newyorker.com</v>
      </c>
      <c r="D223" s="4">
        <f>IFERROR(__xludf.DUMMYFUNCTION("""COMPUTED_VALUE"""),158.0)</f>
        <v>158</v>
      </c>
      <c r="E223" s="4">
        <f>IFERROR(__xludf.DUMMYFUNCTION("""COMPUTED_VALUE"""),81.0)</f>
        <v>81</v>
      </c>
      <c r="F223" s="4">
        <f>IFERROR(__xludf.DUMMYFUNCTION("""COMPUTED_VALUE"""),2.0)</f>
        <v>2</v>
      </c>
      <c r="G223" s="4">
        <f>IFERROR(__xludf.DUMMYFUNCTION("""COMPUTED_VALUE"""),222.0)</f>
        <v>222</v>
      </c>
      <c r="H223" s="5">
        <f>IFERROR(__xludf.DUMMYFUNCTION("""COMPUTED_VALUE"""),9813.15)</f>
        <v>9813.15</v>
      </c>
      <c r="I223" s="5">
        <f>IFERROR(__xludf.DUMMYFUNCTION("""COMPUTED_VALUE"""),8943.75)</f>
        <v>8943.75</v>
      </c>
      <c r="J223" s="5">
        <f>IFERROR(__xludf.DUMMYFUNCTION("""COMPUTED_VALUE"""),8891.31)</f>
        <v>8891.31</v>
      </c>
      <c r="K223" s="5">
        <f>IFERROR(__xludf.DUMMYFUNCTION("""COMPUTED_VALUE"""),956.26)</f>
        <v>956.26</v>
      </c>
      <c r="L223" s="4">
        <f>IFERROR(__xludf.DUMMYFUNCTION("""COMPUTED_VALUE"""),14.0)</f>
        <v>14</v>
      </c>
      <c r="M223" s="4">
        <f>IFERROR(__xludf.DUMMYFUNCTION("""COMPUTED_VALUE"""),35.0)</f>
        <v>35</v>
      </c>
      <c r="N223" s="2" t="str">
        <f>IFERROR(__xludf.DUMMYFUNCTION("""COMPUTED_VALUE"""),"VERDADERO")</f>
        <v>VERDADERO</v>
      </c>
    </row>
    <row r="224">
      <c r="A224" s="2">
        <f>IFERROR(__xludf.DUMMYFUNCTION("""COMPUTED_VALUE"""),223.0)</f>
        <v>223</v>
      </c>
      <c r="B224" s="2" t="str">
        <f>IFERROR(__xludf.DUMMYFUNCTION("""COMPUTED_VALUE"""),"Salomi Iddy")</f>
        <v>Salomi Iddy</v>
      </c>
      <c r="C224" s="2" t="str">
        <f>IFERROR(__xludf.DUMMYFUNCTION("""COMPUTED_VALUE"""),"siddy67@symantec.com")</f>
        <v>siddy67@symantec.com</v>
      </c>
      <c r="D224" s="4">
        <f>IFERROR(__xludf.DUMMYFUNCTION("""COMPUTED_VALUE"""),82.0)</f>
        <v>82</v>
      </c>
      <c r="E224" s="4">
        <f>IFERROR(__xludf.DUMMYFUNCTION("""COMPUTED_VALUE"""),81.0)</f>
        <v>81</v>
      </c>
      <c r="F224" s="4">
        <f>IFERROR(__xludf.DUMMYFUNCTION("""COMPUTED_VALUE"""),2.0)</f>
        <v>2</v>
      </c>
      <c r="G224" s="4">
        <f>IFERROR(__xludf.DUMMYFUNCTION("""COMPUTED_VALUE"""),482.0)</f>
        <v>482</v>
      </c>
      <c r="H224" s="5">
        <f>IFERROR(__xludf.DUMMYFUNCTION("""COMPUTED_VALUE"""),5990.2)</f>
        <v>5990.2</v>
      </c>
      <c r="I224" s="5">
        <f>IFERROR(__xludf.DUMMYFUNCTION("""COMPUTED_VALUE"""),3014.13)</f>
        <v>3014.13</v>
      </c>
      <c r="J224" s="5">
        <f>IFERROR(__xludf.DUMMYFUNCTION("""COMPUTED_VALUE"""),3259.35)</f>
        <v>3259.35</v>
      </c>
      <c r="K224" s="5">
        <f>IFERROR(__xludf.DUMMYFUNCTION("""COMPUTED_VALUE"""),8622.97)</f>
        <v>8622.97</v>
      </c>
      <c r="L224" s="4">
        <f>IFERROR(__xludf.DUMMYFUNCTION("""COMPUTED_VALUE"""),19.0)</f>
        <v>19</v>
      </c>
      <c r="M224" s="4">
        <f>IFERROR(__xludf.DUMMYFUNCTION("""COMPUTED_VALUE"""),64.0)</f>
        <v>64</v>
      </c>
      <c r="N224" s="2" t="str">
        <f>IFERROR(__xludf.DUMMYFUNCTION("""COMPUTED_VALUE"""),"VERDADERO")</f>
        <v>VERDADERO</v>
      </c>
    </row>
    <row r="225">
      <c r="A225" s="2">
        <f>IFERROR(__xludf.DUMMYFUNCTION("""COMPUTED_VALUE"""),224.0)</f>
        <v>224</v>
      </c>
      <c r="B225" s="2" t="str">
        <f>IFERROR(__xludf.DUMMYFUNCTION("""COMPUTED_VALUE"""),"Pepe Rarity")</f>
        <v>Pepe Rarity</v>
      </c>
      <c r="C225" s="2" t="str">
        <f>IFERROR(__xludf.DUMMYFUNCTION("""COMPUTED_VALUE"""),"prarity68@parallels.com")</f>
        <v>prarity68@parallels.com</v>
      </c>
      <c r="D225" s="4">
        <f>IFERROR(__xludf.DUMMYFUNCTION("""COMPUTED_VALUE"""),34.0)</f>
        <v>34</v>
      </c>
      <c r="E225" s="4">
        <f>IFERROR(__xludf.DUMMYFUNCTION("""COMPUTED_VALUE"""),81.0)</f>
        <v>81</v>
      </c>
      <c r="F225" s="4">
        <f>IFERROR(__xludf.DUMMYFUNCTION("""COMPUTED_VALUE"""),2.0)</f>
        <v>2</v>
      </c>
      <c r="G225" s="4">
        <f>IFERROR(__xludf.DUMMYFUNCTION("""COMPUTED_VALUE"""),93.0)</f>
        <v>93</v>
      </c>
      <c r="H225" s="5">
        <f>IFERROR(__xludf.DUMMYFUNCTION("""COMPUTED_VALUE"""),160.73)</f>
        <v>160.73</v>
      </c>
      <c r="I225" s="5">
        <f>IFERROR(__xludf.DUMMYFUNCTION("""COMPUTED_VALUE"""),3237.1)</f>
        <v>3237.1</v>
      </c>
      <c r="J225" s="5">
        <f>IFERROR(__xludf.DUMMYFUNCTION("""COMPUTED_VALUE"""),3849.68)</f>
        <v>3849.68</v>
      </c>
      <c r="K225" s="5">
        <f>IFERROR(__xludf.DUMMYFUNCTION("""COMPUTED_VALUE"""),1872.22)</f>
        <v>1872.22</v>
      </c>
      <c r="L225" s="4">
        <f>IFERROR(__xludf.DUMMYFUNCTION("""COMPUTED_VALUE"""),14.0)</f>
        <v>14</v>
      </c>
      <c r="M225" s="4">
        <f>IFERROR(__xludf.DUMMYFUNCTION("""COMPUTED_VALUE"""),53.0)</f>
        <v>53</v>
      </c>
      <c r="N225" s="2" t="str">
        <f>IFERROR(__xludf.DUMMYFUNCTION("""COMPUTED_VALUE"""),"VERDADERO")</f>
        <v>VERDADERO</v>
      </c>
    </row>
    <row r="226">
      <c r="A226" s="2">
        <f>IFERROR(__xludf.DUMMYFUNCTION("""COMPUTED_VALUE"""),225.0)</f>
        <v>225</v>
      </c>
      <c r="B226" s="2" t="str">
        <f>IFERROR(__xludf.DUMMYFUNCTION("""COMPUTED_VALUE"""),"Sonny Keogh")</f>
        <v>Sonny Keogh</v>
      </c>
      <c r="C226" s="2" t="str">
        <f>IFERROR(__xludf.DUMMYFUNCTION("""COMPUTED_VALUE"""),"skeogh69@zimbio.com")</f>
        <v>skeogh69@zimbio.com</v>
      </c>
      <c r="D226" s="4">
        <f>IFERROR(__xludf.DUMMYFUNCTION("""COMPUTED_VALUE"""),153.0)</f>
        <v>153</v>
      </c>
      <c r="E226" s="4">
        <f>IFERROR(__xludf.DUMMYFUNCTION("""COMPUTED_VALUE"""),99.0)</f>
        <v>99</v>
      </c>
      <c r="F226" s="4">
        <f>IFERROR(__xludf.DUMMYFUNCTION("""COMPUTED_VALUE"""),1.0)</f>
        <v>1</v>
      </c>
      <c r="G226" s="4">
        <f>IFERROR(__xludf.DUMMYFUNCTION("""COMPUTED_VALUE"""),1585.0)</f>
        <v>1585</v>
      </c>
      <c r="H226" s="5">
        <f>IFERROR(__xludf.DUMMYFUNCTION("""COMPUTED_VALUE"""),8649.65)</f>
        <v>8649.65</v>
      </c>
      <c r="I226" s="5">
        <f>IFERROR(__xludf.DUMMYFUNCTION("""COMPUTED_VALUE"""),4384.52)</f>
        <v>4384.52</v>
      </c>
      <c r="J226" s="5">
        <f>IFERROR(__xludf.DUMMYFUNCTION("""COMPUTED_VALUE"""),7791.67)</f>
        <v>7791.67</v>
      </c>
      <c r="K226" s="5">
        <f>IFERROR(__xludf.DUMMYFUNCTION("""COMPUTED_VALUE"""),2714.77)</f>
        <v>2714.77</v>
      </c>
      <c r="L226" s="4">
        <f>IFERROR(__xludf.DUMMYFUNCTION("""COMPUTED_VALUE"""),18.0)</f>
        <v>18</v>
      </c>
      <c r="M226" s="4">
        <f>IFERROR(__xludf.DUMMYFUNCTION("""COMPUTED_VALUE"""),52.0)</f>
        <v>52</v>
      </c>
      <c r="N226" s="2" t="str">
        <f>IFERROR(__xludf.DUMMYFUNCTION("""COMPUTED_VALUE"""),"VERDADERO")</f>
        <v>VERDADERO</v>
      </c>
    </row>
    <row r="227">
      <c r="A227" s="2">
        <f>IFERROR(__xludf.DUMMYFUNCTION("""COMPUTED_VALUE"""),226.0)</f>
        <v>226</v>
      </c>
      <c r="B227" s="2" t="str">
        <f>IFERROR(__xludf.DUMMYFUNCTION("""COMPUTED_VALUE"""),"Alexei Maier")</f>
        <v>Alexei Maier</v>
      </c>
      <c r="C227" s="2" t="str">
        <f>IFERROR(__xludf.DUMMYFUNCTION("""COMPUTED_VALUE"""),"amaier6a@washington.edu")</f>
        <v>amaier6a@washington.edu</v>
      </c>
      <c r="D227" s="4">
        <f>IFERROR(__xludf.DUMMYFUNCTION("""COMPUTED_VALUE"""),149.0)</f>
        <v>149</v>
      </c>
      <c r="E227" s="4">
        <f>IFERROR(__xludf.DUMMYFUNCTION("""COMPUTED_VALUE"""),85.0)</f>
        <v>85</v>
      </c>
      <c r="F227" s="4">
        <f>IFERROR(__xludf.DUMMYFUNCTION("""COMPUTED_VALUE"""),3.0)</f>
        <v>3</v>
      </c>
      <c r="G227" s="4">
        <f>IFERROR(__xludf.DUMMYFUNCTION("""COMPUTED_VALUE"""),1101.0)</f>
        <v>1101</v>
      </c>
      <c r="H227" s="5">
        <f>IFERROR(__xludf.DUMMYFUNCTION("""COMPUTED_VALUE"""),8520.9)</f>
        <v>8520.9</v>
      </c>
      <c r="I227" s="5">
        <f>IFERROR(__xludf.DUMMYFUNCTION("""COMPUTED_VALUE"""),204.23)</f>
        <v>204.23</v>
      </c>
      <c r="J227" s="5">
        <f>IFERROR(__xludf.DUMMYFUNCTION("""COMPUTED_VALUE"""),9005.22)</f>
        <v>9005.22</v>
      </c>
      <c r="K227" s="5">
        <f>IFERROR(__xludf.DUMMYFUNCTION("""COMPUTED_VALUE"""),2883.96)</f>
        <v>2883.96</v>
      </c>
      <c r="L227" s="4">
        <f>IFERROR(__xludf.DUMMYFUNCTION("""COMPUTED_VALUE"""),3.0)</f>
        <v>3</v>
      </c>
      <c r="M227" s="4">
        <f>IFERROR(__xludf.DUMMYFUNCTION("""COMPUTED_VALUE"""),6.0)</f>
        <v>6</v>
      </c>
      <c r="N227" s="2" t="str">
        <f>IFERROR(__xludf.DUMMYFUNCTION("""COMPUTED_VALUE"""),"VERDADERO")</f>
        <v>VERDADERO</v>
      </c>
    </row>
    <row r="228">
      <c r="A228" s="2">
        <f>IFERROR(__xludf.DUMMYFUNCTION("""COMPUTED_VALUE"""),227.0)</f>
        <v>227</v>
      </c>
      <c r="B228" s="2" t="str">
        <f>IFERROR(__xludf.DUMMYFUNCTION("""COMPUTED_VALUE"""),"Tailor MacKinnon")</f>
        <v>Tailor MacKinnon</v>
      </c>
      <c r="C228" s="2" t="str">
        <f>IFERROR(__xludf.DUMMYFUNCTION("""COMPUTED_VALUE"""),"tmackinnon6b@free.fr")</f>
        <v>tmackinnon6b@free.fr</v>
      </c>
      <c r="D228" s="4">
        <f>IFERROR(__xludf.DUMMYFUNCTION("""COMPUTED_VALUE"""),65.0)</f>
        <v>65</v>
      </c>
      <c r="E228" s="4">
        <f>IFERROR(__xludf.DUMMYFUNCTION("""COMPUTED_VALUE"""),30.0)</f>
        <v>30</v>
      </c>
      <c r="F228" s="4">
        <f>IFERROR(__xludf.DUMMYFUNCTION("""COMPUTED_VALUE"""),11.0)</f>
        <v>11</v>
      </c>
      <c r="G228" s="4">
        <f>IFERROR(__xludf.DUMMYFUNCTION("""COMPUTED_VALUE"""),1401.0)</f>
        <v>1401</v>
      </c>
      <c r="H228" s="5">
        <f>IFERROR(__xludf.DUMMYFUNCTION("""COMPUTED_VALUE"""),3484.22)</f>
        <v>3484.22</v>
      </c>
      <c r="I228" s="5">
        <f>IFERROR(__xludf.DUMMYFUNCTION("""COMPUTED_VALUE"""),7299.1)</f>
        <v>7299.1</v>
      </c>
      <c r="J228" s="5">
        <f>IFERROR(__xludf.DUMMYFUNCTION("""COMPUTED_VALUE"""),2977.57)</f>
        <v>2977.57</v>
      </c>
      <c r="K228" s="5">
        <f>IFERROR(__xludf.DUMMYFUNCTION("""COMPUTED_VALUE"""),2785.1)</f>
        <v>2785.1</v>
      </c>
      <c r="L228" s="4">
        <f>IFERROR(__xludf.DUMMYFUNCTION("""COMPUTED_VALUE"""),7.0)</f>
        <v>7</v>
      </c>
      <c r="M228" s="4">
        <f>IFERROR(__xludf.DUMMYFUNCTION("""COMPUTED_VALUE"""),52.0)</f>
        <v>52</v>
      </c>
      <c r="N228" s="2" t="str">
        <f>IFERROR(__xludf.DUMMYFUNCTION("""COMPUTED_VALUE"""),"VERDADERO")</f>
        <v>VERDADERO</v>
      </c>
    </row>
    <row r="229">
      <c r="A229" s="2">
        <f>IFERROR(__xludf.DUMMYFUNCTION("""COMPUTED_VALUE"""),228.0)</f>
        <v>228</v>
      </c>
      <c r="B229" s="2" t="str">
        <f>IFERROR(__xludf.DUMMYFUNCTION("""COMPUTED_VALUE"""),"Bourke Mc Elory")</f>
        <v>Bourke Mc Elory</v>
      </c>
      <c r="C229" s="2" t="str">
        <f>IFERROR(__xludf.DUMMYFUNCTION("""COMPUTED_VALUE"""),"bmc6c@ox.ac.uk")</f>
        <v>bmc6c@ox.ac.uk</v>
      </c>
      <c r="D229" s="4">
        <f>IFERROR(__xludf.DUMMYFUNCTION("""COMPUTED_VALUE"""),55.0)</f>
        <v>55</v>
      </c>
      <c r="E229" s="4">
        <f>IFERROR(__xludf.DUMMYFUNCTION("""COMPUTED_VALUE"""),81.0)</f>
        <v>81</v>
      </c>
      <c r="F229" s="4">
        <f>IFERROR(__xludf.DUMMYFUNCTION("""COMPUTED_VALUE"""),2.0)</f>
        <v>2</v>
      </c>
      <c r="G229" s="4">
        <f>IFERROR(__xludf.DUMMYFUNCTION("""COMPUTED_VALUE"""),1036.0)</f>
        <v>1036</v>
      </c>
      <c r="H229" s="5">
        <f>IFERROR(__xludf.DUMMYFUNCTION("""COMPUTED_VALUE"""),6565.77)</f>
        <v>6565.77</v>
      </c>
      <c r="I229" s="5">
        <f>IFERROR(__xludf.DUMMYFUNCTION("""COMPUTED_VALUE"""),7099.51)</f>
        <v>7099.51</v>
      </c>
      <c r="J229" s="5">
        <f>IFERROR(__xludf.DUMMYFUNCTION("""COMPUTED_VALUE"""),5781.03)</f>
        <v>5781.03</v>
      </c>
      <c r="K229" s="5">
        <f>IFERROR(__xludf.DUMMYFUNCTION("""COMPUTED_VALUE"""),328.43)</f>
        <v>328.43</v>
      </c>
      <c r="L229" s="4">
        <f>IFERROR(__xludf.DUMMYFUNCTION("""COMPUTED_VALUE"""),20.0)</f>
        <v>20</v>
      </c>
      <c r="M229" s="4">
        <f>IFERROR(__xludf.DUMMYFUNCTION("""COMPUTED_VALUE"""),83.0)</f>
        <v>83</v>
      </c>
      <c r="N229" s="2" t="str">
        <f>IFERROR(__xludf.DUMMYFUNCTION("""COMPUTED_VALUE"""),"FALSO")</f>
        <v>FALSO</v>
      </c>
    </row>
    <row r="230">
      <c r="A230" s="2">
        <f>IFERROR(__xludf.DUMMYFUNCTION("""COMPUTED_VALUE"""),229.0)</f>
        <v>229</v>
      </c>
      <c r="B230" s="2" t="str">
        <f>IFERROR(__xludf.DUMMYFUNCTION("""COMPUTED_VALUE"""),"Almeria Mc Harg")</f>
        <v>Almeria Mc Harg</v>
      </c>
      <c r="C230" s="2" t="str">
        <f>IFERROR(__xludf.DUMMYFUNCTION("""COMPUTED_VALUE"""),"amc6d@stanford.edu")</f>
        <v>amc6d@stanford.edu</v>
      </c>
      <c r="D230" s="4">
        <f>IFERROR(__xludf.DUMMYFUNCTION("""COMPUTED_VALUE"""),65.0)</f>
        <v>65</v>
      </c>
      <c r="E230" s="4">
        <f>IFERROR(__xludf.DUMMYFUNCTION("""COMPUTED_VALUE"""),122.0)</f>
        <v>122</v>
      </c>
      <c r="F230" s="4">
        <f>IFERROR(__xludf.DUMMYFUNCTION("""COMPUTED_VALUE"""),7.0)</f>
        <v>7</v>
      </c>
      <c r="G230" s="4">
        <f>IFERROR(__xludf.DUMMYFUNCTION("""COMPUTED_VALUE"""),144.0)</f>
        <v>144</v>
      </c>
      <c r="H230" s="5">
        <f>IFERROR(__xludf.DUMMYFUNCTION("""COMPUTED_VALUE"""),7790.2)</f>
        <v>7790.2</v>
      </c>
      <c r="I230" s="5">
        <f>IFERROR(__xludf.DUMMYFUNCTION("""COMPUTED_VALUE"""),3550.44)</f>
        <v>3550.44</v>
      </c>
      <c r="J230" s="5">
        <f>IFERROR(__xludf.DUMMYFUNCTION("""COMPUTED_VALUE"""),1576.67)</f>
        <v>1576.67</v>
      </c>
      <c r="K230" s="5">
        <f>IFERROR(__xludf.DUMMYFUNCTION("""COMPUTED_VALUE"""),7956.27)</f>
        <v>7956.27</v>
      </c>
      <c r="L230" s="4">
        <f>IFERROR(__xludf.DUMMYFUNCTION("""COMPUTED_VALUE"""),1.0)</f>
        <v>1</v>
      </c>
      <c r="M230" s="4">
        <f>IFERROR(__xludf.DUMMYFUNCTION("""COMPUTED_VALUE"""),89.0)</f>
        <v>89</v>
      </c>
      <c r="N230" s="2" t="str">
        <f>IFERROR(__xludf.DUMMYFUNCTION("""COMPUTED_VALUE"""),"FALSO")</f>
        <v>FALSO</v>
      </c>
    </row>
    <row r="231">
      <c r="A231" s="2">
        <f>IFERROR(__xludf.DUMMYFUNCTION("""COMPUTED_VALUE"""),230.0)</f>
        <v>230</v>
      </c>
      <c r="B231" s="2" t="str">
        <f>IFERROR(__xludf.DUMMYFUNCTION("""COMPUTED_VALUE"""),"Talya Santo")</f>
        <v>Talya Santo</v>
      </c>
      <c r="C231" s="2" t="str">
        <f>IFERROR(__xludf.DUMMYFUNCTION("""COMPUTED_VALUE"""),"tsanto6e@sphinn.com")</f>
        <v>tsanto6e@sphinn.com</v>
      </c>
      <c r="D231" s="4">
        <f>IFERROR(__xludf.DUMMYFUNCTION("""COMPUTED_VALUE"""),46.0)</f>
        <v>46</v>
      </c>
      <c r="E231" s="4">
        <f>IFERROR(__xludf.DUMMYFUNCTION("""COMPUTED_VALUE"""),66.0)</f>
        <v>66</v>
      </c>
      <c r="F231" s="4">
        <f>IFERROR(__xludf.DUMMYFUNCTION("""COMPUTED_VALUE"""),6.0)</f>
        <v>6</v>
      </c>
      <c r="G231" s="4">
        <f>IFERROR(__xludf.DUMMYFUNCTION("""COMPUTED_VALUE"""),505.0)</f>
        <v>505</v>
      </c>
      <c r="H231" s="5">
        <f>IFERROR(__xludf.DUMMYFUNCTION("""COMPUTED_VALUE"""),2101.09)</f>
        <v>2101.09</v>
      </c>
      <c r="I231" s="5">
        <f>IFERROR(__xludf.DUMMYFUNCTION("""COMPUTED_VALUE"""),4081.89)</f>
        <v>4081.89</v>
      </c>
      <c r="J231" s="5">
        <f>IFERROR(__xludf.DUMMYFUNCTION("""COMPUTED_VALUE"""),2767.33)</f>
        <v>2767.33</v>
      </c>
      <c r="K231" s="5">
        <f>IFERROR(__xludf.DUMMYFUNCTION("""COMPUTED_VALUE"""),7490.6)</f>
        <v>7490.6</v>
      </c>
      <c r="L231" s="4">
        <f>IFERROR(__xludf.DUMMYFUNCTION("""COMPUTED_VALUE"""),18.0)</f>
        <v>18</v>
      </c>
      <c r="M231" s="4">
        <f>IFERROR(__xludf.DUMMYFUNCTION("""COMPUTED_VALUE"""),68.0)</f>
        <v>68</v>
      </c>
      <c r="N231" s="2" t="str">
        <f>IFERROR(__xludf.DUMMYFUNCTION("""COMPUTED_VALUE"""),"VERDADERO")</f>
        <v>VERDADERO</v>
      </c>
    </row>
    <row r="232">
      <c r="A232" s="2">
        <f>IFERROR(__xludf.DUMMYFUNCTION("""COMPUTED_VALUE"""),231.0)</f>
        <v>231</v>
      </c>
      <c r="B232" s="2" t="str">
        <f>IFERROR(__xludf.DUMMYFUNCTION("""COMPUTED_VALUE"""),"Barbaraanne Hammerstone")</f>
        <v>Barbaraanne Hammerstone</v>
      </c>
      <c r="C232" s="2" t="str">
        <f>IFERROR(__xludf.DUMMYFUNCTION("""COMPUTED_VALUE"""),"bhammerstone6f@bigcartel.com")</f>
        <v>bhammerstone6f@bigcartel.com</v>
      </c>
      <c r="D232" s="4">
        <f>IFERROR(__xludf.DUMMYFUNCTION("""COMPUTED_VALUE"""),124.0)</f>
        <v>124</v>
      </c>
      <c r="E232" s="4">
        <f>IFERROR(__xludf.DUMMYFUNCTION("""COMPUTED_VALUE"""),81.0)</f>
        <v>81</v>
      </c>
      <c r="F232" s="4">
        <f>IFERROR(__xludf.DUMMYFUNCTION("""COMPUTED_VALUE"""),2.0)</f>
        <v>2</v>
      </c>
      <c r="G232" s="4">
        <f>IFERROR(__xludf.DUMMYFUNCTION("""COMPUTED_VALUE"""),28.0)</f>
        <v>28</v>
      </c>
      <c r="H232" s="5">
        <f>IFERROR(__xludf.DUMMYFUNCTION("""COMPUTED_VALUE"""),763.74)</f>
        <v>763.74</v>
      </c>
      <c r="I232" s="5">
        <f>IFERROR(__xludf.DUMMYFUNCTION("""COMPUTED_VALUE"""),3568.81)</f>
        <v>3568.81</v>
      </c>
      <c r="J232" s="5">
        <f>IFERROR(__xludf.DUMMYFUNCTION("""COMPUTED_VALUE"""),7124.81)</f>
        <v>7124.81</v>
      </c>
      <c r="K232" s="5">
        <f>IFERROR(__xludf.DUMMYFUNCTION("""COMPUTED_VALUE"""),74.98)</f>
        <v>74.98</v>
      </c>
      <c r="L232" s="4">
        <f>IFERROR(__xludf.DUMMYFUNCTION("""COMPUTED_VALUE"""),3.0)</f>
        <v>3</v>
      </c>
      <c r="M232" s="4">
        <f>IFERROR(__xludf.DUMMYFUNCTION("""COMPUTED_VALUE"""),6.0)</f>
        <v>6</v>
      </c>
      <c r="N232" s="2" t="str">
        <f>IFERROR(__xludf.DUMMYFUNCTION("""COMPUTED_VALUE"""),"VERDADERO")</f>
        <v>VERDADERO</v>
      </c>
    </row>
    <row r="233">
      <c r="A233" s="2">
        <f>IFERROR(__xludf.DUMMYFUNCTION("""COMPUTED_VALUE"""),232.0)</f>
        <v>232</v>
      </c>
      <c r="B233" s="2" t="str">
        <f>IFERROR(__xludf.DUMMYFUNCTION("""COMPUTED_VALUE"""),"Virgilio Sizland")</f>
        <v>Virgilio Sizland</v>
      </c>
      <c r="C233" s="2" t="str">
        <f>IFERROR(__xludf.DUMMYFUNCTION("""COMPUTED_VALUE"""),"vsizland6g@blogs.com")</f>
        <v>vsizland6g@blogs.com</v>
      </c>
      <c r="D233" s="4">
        <f>IFERROR(__xludf.DUMMYFUNCTION("""COMPUTED_VALUE"""),121.0)</f>
        <v>121</v>
      </c>
      <c r="E233" s="4">
        <f>IFERROR(__xludf.DUMMYFUNCTION("""COMPUTED_VALUE"""),39.0)</f>
        <v>39</v>
      </c>
      <c r="F233" s="4">
        <f>IFERROR(__xludf.DUMMYFUNCTION("""COMPUTED_VALUE"""),11.0)</f>
        <v>11</v>
      </c>
      <c r="G233" s="4">
        <f>IFERROR(__xludf.DUMMYFUNCTION("""COMPUTED_VALUE"""),282.0)</f>
        <v>282</v>
      </c>
      <c r="H233" s="5">
        <f>IFERROR(__xludf.DUMMYFUNCTION("""COMPUTED_VALUE"""),2996.57)</f>
        <v>2996.57</v>
      </c>
      <c r="I233" s="5">
        <f>IFERROR(__xludf.DUMMYFUNCTION("""COMPUTED_VALUE"""),7660.82)</f>
        <v>7660.82</v>
      </c>
      <c r="J233" s="5">
        <f>IFERROR(__xludf.DUMMYFUNCTION("""COMPUTED_VALUE"""),5429.98)</f>
        <v>5429.98</v>
      </c>
      <c r="K233" s="5">
        <f>IFERROR(__xludf.DUMMYFUNCTION("""COMPUTED_VALUE"""),5037.9)</f>
        <v>5037.9</v>
      </c>
      <c r="L233" s="4">
        <f>IFERROR(__xludf.DUMMYFUNCTION("""COMPUTED_VALUE"""),15.0)</f>
        <v>15</v>
      </c>
      <c r="M233" s="4">
        <f>IFERROR(__xludf.DUMMYFUNCTION("""COMPUTED_VALUE"""),79.0)</f>
        <v>79</v>
      </c>
      <c r="N233" s="2" t="str">
        <f>IFERROR(__xludf.DUMMYFUNCTION("""COMPUTED_VALUE"""),"FALSO")</f>
        <v>FALSO</v>
      </c>
    </row>
    <row r="234">
      <c r="A234" s="2">
        <f>IFERROR(__xludf.DUMMYFUNCTION("""COMPUTED_VALUE"""),233.0)</f>
        <v>233</v>
      </c>
      <c r="B234" s="2" t="str">
        <f>IFERROR(__xludf.DUMMYFUNCTION("""COMPUTED_VALUE"""),"Mireielle Kinkaid")</f>
        <v>Mireielle Kinkaid</v>
      </c>
      <c r="C234" s="2" t="str">
        <f>IFERROR(__xludf.DUMMYFUNCTION("""COMPUTED_VALUE"""),"mkinkaid6h@seattletimes.com")</f>
        <v>mkinkaid6h@seattletimes.com</v>
      </c>
      <c r="D234" s="4">
        <f>IFERROR(__xludf.DUMMYFUNCTION("""COMPUTED_VALUE"""),101.0)</f>
        <v>101</v>
      </c>
      <c r="E234" s="4">
        <f>IFERROR(__xludf.DUMMYFUNCTION("""COMPUTED_VALUE"""),55.0)</f>
        <v>55</v>
      </c>
      <c r="F234" s="4">
        <f>IFERROR(__xludf.DUMMYFUNCTION("""COMPUTED_VALUE"""),9.0)</f>
        <v>9</v>
      </c>
      <c r="G234" s="4">
        <f>IFERROR(__xludf.DUMMYFUNCTION("""COMPUTED_VALUE"""),756.0)</f>
        <v>756</v>
      </c>
      <c r="H234" s="5">
        <f>IFERROR(__xludf.DUMMYFUNCTION("""COMPUTED_VALUE"""),9403.29)</f>
        <v>9403.29</v>
      </c>
      <c r="I234" s="5">
        <f>IFERROR(__xludf.DUMMYFUNCTION("""COMPUTED_VALUE"""),3957.04)</f>
        <v>3957.04</v>
      </c>
      <c r="J234" s="5">
        <f>IFERROR(__xludf.DUMMYFUNCTION("""COMPUTED_VALUE"""),8728.13)</f>
        <v>8728.13</v>
      </c>
      <c r="K234" s="5">
        <f>IFERROR(__xludf.DUMMYFUNCTION("""COMPUTED_VALUE"""),2757.73)</f>
        <v>2757.73</v>
      </c>
      <c r="L234" s="4">
        <f>IFERROR(__xludf.DUMMYFUNCTION("""COMPUTED_VALUE"""),14.0)</f>
        <v>14</v>
      </c>
      <c r="M234" s="4">
        <f>IFERROR(__xludf.DUMMYFUNCTION("""COMPUTED_VALUE"""),20.0)</f>
        <v>20</v>
      </c>
      <c r="N234" s="2" t="str">
        <f>IFERROR(__xludf.DUMMYFUNCTION("""COMPUTED_VALUE"""),"FALSO")</f>
        <v>FALSO</v>
      </c>
    </row>
    <row r="235">
      <c r="A235" s="2">
        <f>IFERROR(__xludf.DUMMYFUNCTION("""COMPUTED_VALUE"""),234.0)</f>
        <v>234</v>
      </c>
      <c r="B235" s="2" t="str">
        <f>IFERROR(__xludf.DUMMYFUNCTION("""COMPUTED_VALUE"""),"Elfrida Bickle")</f>
        <v>Elfrida Bickle</v>
      </c>
      <c r="C235" s="2" t="str">
        <f>IFERROR(__xludf.DUMMYFUNCTION("""COMPUTED_VALUE"""),"ebickle6i@washingtonpost.com")</f>
        <v>ebickle6i@washingtonpost.com</v>
      </c>
      <c r="D235" s="4">
        <f>IFERROR(__xludf.DUMMYFUNCTION("""COMPUTED_VALUE"""),37.0)</f>
        <v>37</v>
      </c>
      <c r="E235" s="4">
        <f>IFERROR(__xludf.DUMMYFUNCTION("""COMPUTED_VALUE"""),81.0)</f>
        <v>81</v>
      </c>
      <c r="F235" s="4">
        <f>IFERROR(__xludf.DUMMYFUNCTION("""COMPUTED_VALUE"""),2.0)</f>
        <v>2</v>
      </c>
      <c r="G235" s="4">
        <f>IFERROR(__xludf.DUMMYFUNCTION("""COMPUTED_VALUE"""),569.0)</f>
        <v>569</v>
      </c>
      <c r="H235" s="5">
        <f>IFERROR(__xludf.DUMMYFUNCTION("""COMPUTED_VALUE"""),3218.66)</f>
        <v>3218.66</v>
      </c>
      <c r="I235" s="5">
        <f>IFERROR(__xludf.DUMMYFUNCTION("""COMPUTED_VALUE"""),2930.82)</f>
        <v>2930.82</v>
      </c>
      <c r="J235" s="5">
        <f>IFERROR(__xludf.DUMMYFUNCTION("""COMPUTED_VALUE"""),8753.62)</f>
        <v>8753.62</v>
      </c>
      <c r="K235" s="5">
        <f>IFERROR(__xludf.DUMMYFUNCTION("""COMPUTED_VALUE"""),8863.06)</f>
        <v>8863.06</v>
      </c>
      <c r="L235" s="4">
        <f>IFERROR(__xludf.DUMMYFUNCTION("""COMPUTED_VALUE"""),7.0)</f>
        <v>7</v>
      </c>
      <c r="M235" s="4">
        <f>IFERROR(__xludf.DUMMYFUNCTION("""COMPUTED_VALUE"""),91.0)</f>
        <v>91</v>
      </c>
      <c r="N235" s="2" t="str">
        <f>IFERROR(__xludf.DUMMYFUNCTION("""COMPUTED_VALUE"""),"FALSO")</f>
        <v>FALSO</v>
      </c>
    </row>
    <row r="236">
      <c r="A236" s="2">
        <f>IFERROR(__xludf.DUMMYFUNCTION("""COMPUTED_VALUE"""),235.0)</f>
        <v>235</v>
      </c>
      <c r="B236" s="2" t="str">
        <f>IFERROR(__xludf.DUMMYFUNCTION("""COMPUTED_VALUE"""),"Mari Banham")</f>
        <v>Mari Banham</v>
      </c>
      <c r="C236" s="2" t="str">
        <f>IFERROR(__xludf.DUMMYFUNCTION("""COMPUTED_VALUE"""),"mbanham6j@hp.com")</f>
        <v>mbanham6j@hp.com</v>
      </c>
      <c r="D236" s="4">
        <f>IFERROR(__xludf.DUMMYFUNCTION("""COMPUTED_VALUE"""),121.0)</f>
        <v>121</v>
      </c>
      <c r="E236" s="4">
        <f>IFERROR(__xludf.DUMMYFUNCTION("""COMPUTED_VALUE"""),64.0)</f>
        <v>64</v>
      </c>
      <c r="F236" s="4">
        <f>IFERROR(__xludf.DUMMYFUNCTION("""COMPUTED_VALUE"""),4.0)</f>
        <v>4</v>
      </c>
      <c r="G236" s="4">
        <f>IFERROR(__xludf.DUMMYFUNCTION("""COMPUTED_VALUE"""),1315.0)</f>
        <v>1315</v>
      </c>
      <c r="H236" s="5">
        <f>IFERROR(__xludf.DUMMYFUNCTION("""COMPUTED_VALUE"""),5252.53)</f>
        <v>5252.53</v>
      </c>
      <c r="I236" s="5">
        <f>IFERROR(__xludf.DUMMYFUNCTION("""COMPUTED_VALUE"""),4899.14)</f>
        <v>4899.14</v>
      </c>
      <c r="J236" s="5">
        <f>IFERROR(__xludf.DUMMYFUNCTION("""COMPUTED_VALUE"""),3080.01)</f>
        <v>3080.01</v>
      </c>
      <c r="K236" s="5">
        <f>IFERROR(__xludf.DUMMYFUNCTION("""COMPUTED_VALUE"""),9432.76)</f>
        <v>9432.76</v>
      </c>
      <c r="L236" s="4">
        <f>IFERROR(__xludf.DUMMYFUNCTION("""COMPUTED_VALUE"""),8.0)</f>
        <v>8</v>
      </c>
      <c r="M236" s="4">
        <f>IFERROR(__xludf.DUMMYFUNCTION("""COMPUTED_VALUE"""),42.0)</f>
        <v>42</v>
      </c>
      <c r="N236" s="2" t="str">
        <f>IFERROR(__xludf.DUMMYFUNCTION("""COMPUTED_VALUE"""),"FALSO")</f>
        <v>FALSO</v>
      </c>
    </row>
    <row r="237">
      <c r="A237" s="2">
        <f>IFERROR(__xludf.DUMMYFUNCTION("""COMPUTED_VALUE"""),236.0)</f>
        <v>236</v>
      </c>
      <c r="B237" s="2" t="str">
        <f>IFERROR(__xludf.DUMMYFUNCTION("""COMPUTED_VALUE"""),"Oralla Fache")</f>
        <v>Oralla Fache</v>
      </c>
      <c r="C237" s="2" t="str">
        <f>IFERROR(__xludf.DUMMYFUNCTION("""COMPUTED_VALUE"""),"ofache6k@gnu.org")</f>
        <v>ofache6k@gnu.org</v>
      </c>
      <c r="D237" s="4">
        <f>IFERROR(__xludf.DUMMYFUNCTION("""COMPUTED_VALUE"""),122.0)</f>
        <v>122</v>
      </c>
      <c r="E237" s="4">
        <f>IFERROR(__xludf.DUMMYFUNCTION("""COMPUTED_VALUE"""),56.0)</f>
        <v>56</v>
      </c>
      <c r="F237" s="4">
        <f>IFERROR(__xludf.DUMMYFUNCTION("""COMPUTED_VALUE"""),6.0)</f>
        <v>6</v>
      </c>
      <c r="G237" s="4">
        <f>IFERROR(__xludf.DUMMYFUNCTION("""COMPUTED_VALUE"""),892.0)</f>
        <v>892</v>
      </c>
      <c r="H237" s="5">
        <f>IFERROR(__xludf.DUMMYFUNCTION("""COMPUTED_VALUE"""),7385.55)</f>
        <v>7385.55</v>
      </c>
      <c r="I237" s="5">
        <f>IFERROR(__xludf.DUMMYFUNCTION("""COMPUTED_VALUE"""),935.62)</f>
        <v>935.62</v>
      </c>
      <c r="J237" s="5">
        <f>IFERROR(__xludf.DUMMYFUNCTION("""COMPUTED_VALUE"""),4460.43)</f>
        <v>4460.43</v>
      </c>
      <c r="K237" s="5">
        <f>IFERROR(__xludf.DUMMYFUNCTION("""COMPUTED_VALUE"""),8679.22)</f>
        <v>8679.22</v>
      </c>
      <c r="L237" s="4">
        <f>IFERROR(__xludf.DUMMYFUNCTION("""COMPUTED_VALUE"""),19.0)</f>
        <v>19</v>
      </c>
      <c r="M237" s="4">
        <f>IFERROR(__xludf.DUMMYFUNCTION("""COMPUTED_VALUE"""),13.0)</f>
        <v>13</v>
      </c>
      <c r="N237" s="2" t="str">
        <f>IFERROR(__xludf.DUMMYFUNCTION("""COMPUTED_VALUE"""),"VERDADERO")</f>
        <v>VERDADERO</v>
      </c>
    </row>
    <row r="238">
      <c r="A238" s="2">
        <f>IFERROR(__xludf.DUMMYFUNCTION("""COMPUTED_VALUE"""),237.0)</f>
        <v>237</v>
      </c>
      <c r="B238" s="2" t="str">
        <f>IFERROR(__xludf.DUMMYFUNCTION("""COMPUTED_VALUE"""),"Leeanne Reilingen")</f>
        <v>Leeanne Reilingen</v>
      </c>
      <c r="C238" s="2" t="str">
        <f>IFERROR(__xludf.DUMMYFUNCTION("""COMPUTED_VALUE"""),"lreilingen6l@slideshare.net")</f>
        <v>lreilingen6l@slideshare.net</v>
      </c>
      <c r="D238" s="4">
        <f>IFERROR(__xludf.DUMMYFUNCTION("""COMPUTED_VALUE"""),124.0)</f>
        <v>124</v>
      </c>
      <c r="E238" s="4">
        <f>IFERROR(__xludf.DUMMYFUNCTION("""COMPUTED_VALUE"""),4.0)</f>
        <v>4</v>
      </c>
      <c r="F238" s="4">
        <f>IFERROR(__xludf.DUMMYFUNCTION("""COMPUTED_VALUE"""),9.0)</f>
        <v>9</v>
      </c>
      <c r="G238" s="4">
        <f>IFERROR(__xludf.DUMMYFUNCTION("""COMPUTED_VALUE"""),413.0)</f>
        <v>413</v>
      </c>
      <c r="H238" s="5">
        <f>IFERROR(__xludf.DUMMYFUNCTION("""COMPUTED_VALUE"""),2042.21)</f>
        <v>2042.21</v>
      </c>
      <c r="I238" s="5">
        <f>IFERROR(__xludf.DUMMYFUNCTION("""COMPUTED_VALUE"""),2323.84)</f>
        <v>2323.84</v>
      </c>
      <c r="J238" s="5">
        <f>IFERROR(__xludf.DUMMYFUNCTION("""COMPUTED_VALUE"""),982.77)</f>
        <v>982.77</v>
      </c>
      <c r="K238" s="5">
        <f>IFERROR(__xludf.DUMMYFUNCTION("""COMPUTED_VALUE"""),4948.02)</f>
        <v>4948.02</v>
      </c>
      <c r="L238" s="4">
        <f>IFERROR(__xludf.DUMMYFUNCTION("""COMPUTED_VALUE"""),13.0)</f>
        <v>13</v>
      </c>
      <c r="M238" s="4">
        <f>IFERROR(__xludf.DUMMYFUNCTION("""COMPUTED_VALUE"""),10.0)</f>
        <v>10</v>
      </c>
      <c r="N238" s="2" t="str">
        <f>IFERROR(__xludf.DUMMYFUNCTION("""COMPUTED_VALUE"""),"VERDADERO")</f>
        <v>VERDADERO</v>
      </c>
    </row>
    <row r="239">
      <c r="A239" s="2">
        <f>IFERROR(__xludf.DUMMYFUNCTION("""COMPUTED_VALUE"""),238.0)</f>
        <v>238</v>
      </c>
      <c r="B239" s="2" t="str">
        <f>IFERROR(__xludf.DUMMYFUNCTION("""COMPUTED_VALUE"""),"Lynnet Riggey")</f>
        <v>Lynnet Riggey</v>
      </c>
      <c r="C239" s="2" t="str">
        <f>IFERROR(__xludf.DUMMYFUNCTION("""COMPUTED_VALUE"""),"lriggey6m@baidu.com")</f>
        <v>lriggey6m@baidu.com</v>
      </c>
      <c r="D239" s="4">
        <f>IFERROR(__xludf.DUMMYFUNCTION("""COMPUTED_VALUE"""),24.0)</f>
        <v>24</v>
      </c>
      <c r="E239" s="4">
        <f>IFERROR(__xludf.DUMMYFUNCTION("""COMPUTED_VALUE"""),71.0)</f>
        <v>71</v>
      </c>
      <c r="F239" s="4">
        <f>IFERROR(__xludf.DUMMYFUNCTION("""COMPUTED_VALUE"""),6.0)</f>
        <v>6</v>
      </c>
      <c r="G239" s="4">
        <f>IFERROR(__xludf.DUMMYFUNCTION("""COMPUTED_VALUE"""),1027.0)</f>
        <v>1027</v>
      </c>
      <c r="H239" s="5">
        <f>IFERROR(__xludf.DUMMYFUNCTION("""COMPUTED_VALUE"""),8170.89)</f>
        <v>8170.89</v>
      </c>
      <c r="I239" s="5">
        <f>IFERROR(__xludf.DUMMYFUNCTION("""COMPUTED_VALUE"""),768.29)</f>
        <v>768.29</v>
      </c>
      <c r="J239" s="5">
        <f>IFERROR(__xludf.DUMMYFUNCTION("""COMPUTED_VALUE"""),4825.86)</f>
        <v>4825.86</v>
      </c>
      <c r="K239" s="5">
        <f>IFERROR(__xludf.DUMMYFUNCTION("""COMPUTED_VALUE"""),2278.91)</f>
        <v>2278.91</v>
      </c>
      <c r="L239" s="4">
        <f>IFERROR(__xludf.DUMMYFUNCTION("""COMPUTED_VALUE"""),11.0)</f>
        <v>11</v>
      </c>
      <c r="M239" s="4">
        <f>IFERROR(__xludf.DUMMYFUNCTION("""COMPUTED_VALUE"""),29.0)</f>
        <v>29</v>
      </c>
      <c r="N239" s="2" t="str">
        <f>IFERROR(__xludf.DUMMYFUNCTION("""COMPUTED_VALUE"""),"VERDADERO")</f>
        <v>VERDADERO</v>
      </c>
    </row>
    <row r="240">
      <c r="A240" s="2">
        <f>IFERROR(__xludf.DUMMYFUNCTION("""COMPUTED_VALUE"""),239.0)</f>
        <v>239</v>
      </c>
      <c r="B240" s="2" t="str">
        <f>IFERROR(__xludf.DUMMYFUNCTION("""COMPUTED_VALUE"""),"Samuel Bushby")</f>
        <v>Samuel Bushby</v>
      </c>
      <c r="C240" s="2" t="str">
        <f>IFERROR(__xludf.DUMMYFUNCTION("""COMPUTED_VALUE"""),"sbushby6n@reference.com")</f>
        <v>sbushby6n@reference.com</v>
      </c>
      <c r="D240" s="4">
        <f>IFERROR(__xludf.DUMMYFUNCTION("""COMPUTED_VALUE"""),49.0)</f>
        <v>49</v>
      </c>
      <c r="E240" s="4">
        <f>IFERROR(__xludf.DUMMYFUNCTION("""COMPUTED_VALUE"""),6.0)</f>
        <v>6</v>
      </c>
      <c r="F240" s="4">
        <f>IFERROR(__xludf.DUMMYFUNCTION("""COMPUTED_VALUE"""),13.0)</f>
        <v>13</v>
      </c>
      <c r="G240" s="4">
        <f>IFERROR(__xludf.DUMMYFUNCTION("""COMPUTED_VALUE"""),444.0)</f>
        <v>444</v>
      </c>
      <c r="H240" s="5">
        <f>IFERROR(__xludf.DUMMYFUNCTION("""COMPUTED_VALUE"""),4190.52)</f>
        <v>4190.52</v>
      </c>
      <c r="I240" s="5">
        <f>IFERROR(__xludf.DUMMYFUNCTION("""COMPUTED_VALUE"""),6059.26)</f>
        <v>6059.26</v>
      </c>
      <c r="J240" s="5">
        <f>IFERROR(__xludf.DUMMYFUNCTION("""COMPUTED_VALUE"""),6671.84)</f>
        <v>6671.84</v>
      </c>
      <c r="K240" s="5">
        <f>IFERROR(__xludf.DUMMYFUNCTION("""COMPUTED_VALUE"""),7754.93)</f>
        <v>7754.93</v>
      </c>
      <c r="L240" s="4">
        <f>IFERROR(__xludf.DUMMYFUNCTION("""COMPUTED_VALUE"""),15.0)</f>
        <v>15</v>
      </c>
      <c r="M240" s="4">
        <f>IFERROR(__xludf.DUMMYFUNCTION("""COMPUTED_VALUE"""),77.0)</f>
        <v>77</v>
      </c>
      <c r="N240" s="2" t="str">
        <f>IFERROR(__xludf.DUMMYFUNCTION("""COMPUTED_VALUE"""),"VERDADERO")</f>
        <v>VERDADERO</v>
      </c>
    </row>
    <row r="241">
      <c r="A241" s="2">
        <f>IFERROR(__xludf.DUMMYFUNCTION("""COMPUTED_VALUE"""),240.0)</f>
        <v>240</v>
      </c>
      <c r="B241" s="2" t="str">
        <f>IFERROR(__xludf.DUMMYFUNCTION("""COMPUTED_VALUE"""),"Adey Poulsom")</f>
        <v>Adey Poulsom</v>
      </c>
      <c r="C241" s="2" t="str">
        <f>IFERROR(__xludf.DUMMYFUNCTION("""COMPUTED_VALUE"""),"apoulsom6o@wordpress.org")</f>
        <v>apoulsom6o@wordpress.org</v>
      </c>
      <c r="D241" s="4">
        <f>IFERROR(__xludf.DUMMYFUNCTION("""COMPUTED_VALUE"""),65.0)</f>
        <v>65</v>
      </c>
      <c r="E241" s="4">
        <f>IFERROR(__xludf.DUMMYFUNCTION("""COMPUTED_VALUE"""),8.0)</f>
        <v>8</v>
      </c>
      <c r="F241" s="4">
        <f>IFERROR(__xludf.DUMMYFUNCTION("""COMPUTED_VALUE"""),8.0)</f>
        <v>8</v>
      </c>
      <c r="G241" s="4">
        <f>IFERROR(__xludf.DUMMYFUNCTION("""COMPUTED_VALUE"""),21.0)</f>
        <v>21</v>
      </c>
      <c r="H241" s="5">
        <f>IFERROR(__xludf.DUMMYFUNCTION("""COMPUTED_VALUE"""),6107.38)</f>
        <v>6107.38</v>
      </c>
      <c r="I241" s="5">
        <f>IFERROR(__xludf.DUMMYFUNCTION("""COMPUTED_VALUE"""),4364.89)</f>
        <v>4364.89</v>
      </c>
      <c r="J241" s="5">
        <f>IFERROR(__xludf.DUMMYFUNCTION("""COMPUTED_VALUE"""),2034.85)</f>
        <v>2034.85</v>
      </c>
      <c r="K241" s="5">
        <f>IFERROR(__xludf.DUMMYFUNCTION("""COMPUTED_VALUE"""),5978.48)</f>
        <v>5978.48</v>
      </c>
      <c r="L241" s="4">
        <f>IFERROR(__xludf.DUMMYFUNCTION("""COMPUTED_VALUE"""),17.0)</f>
        <v>17</v>
      </c>
      <c r="M241" s="4">
        <f>IFERROR(__xludf.DUMMYFUNCTION("""COMPUTED_VALUE"""),50.0)</f>
        <v>50</v>
      </c>
      <c r="N241" s="2" t="str">
        <f>IFERROR(__xludf.DUMMYFUNCTION("""COMPUTED_VALUE"""),"FALSO")</f>
        <v>FALSO</v>
      </c>
    </row>
    <row r="242">
      <c r="A242" s="2">
        <f>IFERROR(__xludf.DUMMYFUNCTION("""COMPUTED_VALUE"""),241.0)</f>
        <v>241</v>
      </c>
      <c r="B242" s="2" t="str">
        <f>IFERROR(__xludf.DUMMYFUNCTION("""COMPUTED_VALUE"""),"Derrick Woolfitt")</f>
        <v>Derrick Woolfitt</v>
      </c>
      <c r="C242" s="2" t="str">
        <f>IFERROR(__xludf.DUMMYFUNCTION("""COMPUTED_VALUE"""),"dwoolfitt6p@hexun.com")</f>
        <v>dwoolfitt6p@hexun.com</v>
      </c>
      <c r="D242" s="4">
        <f>IFERROR(__xludf.DUMMYFUNCTION("""COMPUTED_VALUE"""),23.0)</f>
        <v>23</v>
      </c>
      <c r="E242" s="4">
        <f>IFERROR(__xludf.DUMMYFUNCTION("""COMPUTED_VALUE"""),81.0)</f>
        <v>81</v>
      </c>
      <c r="F242" s="4">
        <f>IFERROR(__xludf.DUMMYFUNCTION("""COMPUTED_VALUE"""),2.0)</f>
        <v>2</v>
      </c>
      <c r="G242" s="4">
        <f>IFERROR(__xludf.DUMMYFUNCTION("""COMPUTED_VALUE"""),954.0)</f>
        <v>954</v>
      </c>
      <c r="H242" s="5">
        <f>IFERROR(__xludf.DUMMYFUNCTION("""COMPUTED_VALUE"""),2462.76)</f>
        <v>2462.76</v>
      </c>
      <c r="I242" s="5">
        <f>IFERROR(__xludf.DUMMYFUNCTION("""COMPUTED_VALUE"""),8942.86)</f>
        <v>8942.86</v>
      </c>
      <c r="J242" s="5">
        <f>IFERROR(__xludf.DUMMYFUNCTION("""COMPUTED_VALUE"""),8280.33)</f>
        <v>8280.33</v>
      </c>
      <c r="K242" s="5">
        <f>IFERROR(__xludf.DUMMYFUNCTION("""COMPUTED_VALUE"""),1995.13)</f>
        <v>1995.13</v>
      </c>
      <c r="L242" s="4">
        <f>IFERROR(__xludf.DUMMYFUNCTION("""COMPUTED_VALUE"""),2.0)</f>
        <v>2</v>
      </c>
      <c r="M242" s="4">
        <f>IFERROR(__xludf.DUMMYFUNCTION("""COMPUTED_VALUE"""),37.0)</f>
        <v>37</v>
      </c>
      <c r="N242" s="2" t="str">
        <f>IFERROR(__xludf.DUMMYFUNCTION("""COMPUTED_VALUE"""),"FALSO")</f>
        <v>FALSO</v>
      </c>
    </row>
    <row r="243">
      <c r="A243" s="2">
        <f>IFERROR(__xludf.DUMMYFUNCTION("""COMPUTED_VALUE"""),242.0)</f>
        <v>242</v>
      </c>
      <c r="B243" s="2" t="str">
        <f>IFERROR(__xludf.DUMMYFUNCTION("""COMPUTED_VALUE"""),"Rowan Yegorkov")</f>
        <v>Rowan Yegorkov</v>
      </c>
      <c r="C243" s="2" t="str">
        <f>IFERROR(__xludf.DUMMYFUNCTION("""COMPUTED_VALUE"""),"ryegorkov6q@ox.ac.uk")</f>
        <v>ryegorkov6q@ox.ac.uk</v>
      </c>
      <c r="D243" s="4">
        <f>IFERROR(__xludf.DUMMYFUNCTION("""COMPUTED_VALUE"""),65.0)</f>
        <v>65</v>
      </c>
      <c r="E243" s="4">
        <f>IFERROR(__xludf.DUMMYFUNCTION("""COMPUTED_VALUE"""),81.0)</f>
        <v>81</v>
      </c>
      <c r="F243" s="4">
        <f>IFERROR(__xludf.DUMMYFUNCTION("""COMPUTED_VALUE"""),2.0)</f>
        <v>2</v>
      </c>
      <c r="G243" s="4">
        <f>IFERROR(__xludf.DUMMYFUNCTION("""COMPUTED_VALUE"""),1119.0)</f>
        <v>1119</v>
      </c>
      <c r="H243" s="5">
        <f>IFERROR(__xludf.DUMMYFUNCTION("""COMPUTED_VALUE"""),4688.85)</f>
        <v>4688.85</v>
      </c>
      <c r="I243" s="5">
        <f>IFERROR(__xludf.DUMMYFUNCTION("""COMPUTED_VALUE"""),9365.72)</f>
        <v>9365.72</v>
      </c>
      <c r="J243" s="5">
        <f>IFERROR(__xludf.DUMMYFUNCTION("""COMPUTED_VALUE"""),832.48)</f>
        <v>832.48</v>
      </c>
      <c r="K243" s="5">
        <f>IFERROR(__xludf.DUMMYFUNCTION("""COMPUTED_VALUE"""),8279.58)</f>
        <v>8279.58</v>
      </c>
      <c r="L243" s="4">
        <f>IFERROR(__xludf.DUMMYFUNCTION("""COMPUTED_VALUE"""),5.0)</f>
        <v>5</v>
      </c>
      <c r="M243" s="4">
        <f>IFERROR(__xludf.DUMMYFUNCTION("""COMPUTED_VALUE"""),40.0)</f>
        <v>40</v>
      </c>
      <c r="N243" s="2" t="str">
        <f>IFERROR(__xludf.DUMMYFUNCTION("""COMPUTED_VALUE"""),"VERDADERO")</f>
        <v>VERDADERO</v>
      </c>
    </row>
    <row r="244">
      <c r="A244" s="2">
        <f>IFERROR(__xludf.DUMMYFUNCTION("""COMPUTED_VALUE"""),243.0)</f>
        <v>243</v>
      </c>
      <c r="B244" s="2" t="str">
        <f>IFERROR(__xludf.DUMMYFUNCTION("""COMPUTED_VALUE"""),"Jeramie Gething")</f>
        <v>Jeramie Gething</v>
      </c>
      <c r="C244" s="2" t="str">
        <f>IFERROR(__xludf.DUMMYFUNCTION("""COMPUTED_VALUE"""),"jgething6r@diigo.com")</f>
        <v>jgething6r@diigo.com</v>
      </c>
      <c r="D244" s="4">
        <f>IFERROR(__xludf.DUMMYFUNCTION("""COMPUTED_VALUE"""),157.0)</f>
        <v>157</v>
      </c>
      <c r="E244" s="4">
        <f>IFERROR(__xludf.DUMMYFUNCTION("""COMPUTED_VALUE"""),122.0)</f>
        <v>122</v>
      </c>
      <c r="F244" s="4">
        <f>IFERROR(__xludf.DUMMYFUNCTION("""COMPUTED_VALUE"""),7.0)</f>
        <v>7</v>
      </c>
      <c r="G244" s="4">
        <f>IFERROR(__xludf.DUMMYFUNCTION("""COMPUTED_VALUE"""),240.0)</f>
        <v>240</v>
      </c>
      <c r="H244" s="5">
        <f>IFERROR(__xludf.DUMMYFUNCTION("""COMPUTED_VALUE"""),1174.62)</f>
        <v>1174.62</v>
      </c>
      <c r="I244" s="5">
        <f>IFERROR(__xludf.DUMMYFUNCTION("""COMPUTED_VALUE"""),7068.08)</f>
        <v>7068.08</v>
      </c>
      <c r="J244" s="5">
        <f>IFERROR(__xludf.DUMMYFUNCTION("""COMPUTED_VALUE"""),6994.51)</f>
        <v>6994.51</v>
      </c>
      <c r="K244" s="5">
        <f>IFERROR(__xludf.DUMMYFUNCTION("""COMPUTED_VALUE"""),83.57)</f>
        <v>83.57</v>
      </c>
      <c r="L244" s="4">
        <f>IFERROR(__xludf.DUMMYFUNCTION("""COMPUTED_VALUE"""),5.0)</f>
        <v>5</v>
      </c>
      <c r="M244" s="4">
        <f>IFERROR(__xludf.DUMMYFUNCTION("""COMPUTED_VALUE"""),49.0)</f>
        <v>49</v>
      </c>
      <c r="N244" s="2" t="str">
        <f>IFERROR(__xludf.DUMMYFUNCTION("""COMPUTED_VALUE"""),"VERDADERO")</f>
        <v>VERDADERO</v>
      </c>
    </row>
    <row r="245">
      <c r="A245" s="2">
        <f>IFERROR(__xludf.DUMMYFUNCTION("""COMPUTED_VALUE"""),244.0)</f>
        <v>244</v>
      </c>
      <c r="B245" s="2" t="str">
        <f>IFERROR(__xludf.DUMMYFUNCTION("""COMPUTED_VALUE"""),"Andre Dagworthy")</f>
        <v>Andre Dagworthy</v>
      </c>
      <c r="C245" s="2" t="str">
        <f>IFERROR(__xludf.DUMMYFUNCTION("""COMPUTED_VALUE"""),"adagworthy6s@bing.com")</f>
        <v>adagworthy6s@bing.com</v>
      </c>
      <c r="D245" s="4">
        <f>IFERROR(__xludf.DUMMYFUNCTION("""COMPUTED_VALUE"""),121.0)</f>
        <v>121</v>
      </c>
      <c r="E245" s="4">
        <f>IFERROR(__xludf.DUMMYFUNCTION("""COMPUTED_VALUE"""),60.0)</f>
        <v>60</v>
      </c>
      <c r="F245" s="4">
        <f>IFERROR(__xludf.DUMMYFUNCTION("""COMPUTED_VALUE"""),3.0)</f>
        <v>3</v>
      </c>
      <c r="G245" s="4">
        <f>IFERROR(__xludf.DUMMYFUNCTION("""COMPUTED_VALUE"""),414.0)</f>
        <v>414</v>
      </c>
      <c r="H245" s="5">
        <f>IFERROR(__xludf.DUMMYFUNCTION("""COMPUTED_VALUE"""),2227.35)</f>
        <v>2227.35</v>
      </c>
      <c r="I245" s="5">
        <f>IFERROR(__xludf.DUMMYFUNCTION("""COMPUTED_VALUE"""),9414.95)</f>
        <v>9414.95</v>
      </c>
      <c r="J245" s="5">
        <f>IFERROR(__xludf.DUMMYFUNCTION("""COMPUTED_VALUE"""),6355.95)</f>
        <v>6355.95</v>
      </c>
      <c r="K245" s="5">
        <f>IFERROR(__xludf.DUMMYFUNCTION("""COMPUTED_VALUE"""),99.07)</f>
        <v>99.07</v>
      </c>
      <c r="L245" s="4">
        <f>IFERROR(__xludf.DUMMYFUNCTION("""COMPUTED_VALUE"""),1.0)</f>
        <v>1</v>
      </c>
      <c r="M245" s="4">
        <f>IFERROR(__xludf.DUMMYFUNCTION("""COMPUTED_VALUE"""),82.0)</f>
        <v>82</v>
      </c>
      <c r="N245" s="2" t="str">
        <f>IFERROR(__xludf.DUMMYFUNCTION("""COMPUTED_VALUE"""),"FALSO")</f>
        <v>FALSO</v>
      </c>
    </row>
    <row r="246">
      <c r="A246" s="2">
        <f>IFERROR(__xludf.DUMMYFUNCTION("""COMPUTED_VALUE"""),245.0)</f>
        <v>245</v>
      </c>
      <c r="B246" s="2" t="str">
        <f>IFERROR(__xludf.DUMMYFUNCTION("""COMPUTED_VALUE"""),"Thurston Arling")</f>
        <v>Thurston Arling</v>
      </c>
      <c r="C246" s="2" t="str">
        <f>IFERROR(__xludf.DUMMYFUNCTION("""COMPUTED_VALUE"""),"tarling6t@nymag.com")</f>
        <v>tarling6t@nymag.com</v>
      </c>
      <c r="D246" s="4">
        <f>IFERROR(__xludf.DUMMYFUNCTION("""COMPUTED_VALUE"""),99.0)</f>
        <v>99</v>
      </c>
      <c r="E246" s="4">
        <f>IFERROR(__xludf.DUMMYFUNCTION("""COMPUTED_VALUE"""),81.0)</f>
        <v>81</v>
      </c>
      <c r="F246" s="4">
        <f>IFERROR(__xludf.DUMMYFUNCTION("""COMPUTED_VALUE"""),2.0)</f>
        <v>2</v>
      </c>
      <c r="G246" s="4">
        <f>IFERROR(__xludf.DUMMYFUNCTION("""COMPUTED_VALUE"""),130.0)</f>
        <v>130</v>
      </c>
      <c r="H246" s="5">
        <f>IFERROR(__xludf.DUMMYFUNCTION("""COMPUTED_VALUE"""),877.27)</f>
        <v>877.27</v>
      </c>
      <c r="I246" s="5">
        <f>IFERROR(__xludf.DUMMYFUNCTION("""COMPUTED_VALUE"""),607.25)</f>
        <v>607.25</v>
      </c>
      <c r="J246" s="5">
        <f>IFERROR(__xludf.DUMMYFUNCTION("""COMPUTED_VALUE"""),5578.98)</f>
        <v>5578.98</v>
      </c>
      <c r="K246" s="5">
        <f>IFERROR(__xludf.DUMMYFUNCTION("""COMPUTED_VALUE"""),9740.76)</f>
        <v>9740.76</v>
      </c>
      <c r="L246" s="4">
        <f>IFERROR(__xludf.DUMMYFUNCTION("""COMPUTED_VALUE"""),7.0)</f>
        <v>7</v>
      </c>
      <c r="M246" s="4">
        <f>IFERROR(__xludf.DUMMYFUNCTION("""COMPUTED_VALUE"""),88.0)</f>
        <v>88</v>
      </c>
      <c r="N246" s="2" t="str">
        <f>IFERROR(__xludf.DUMMYFUNCTION("""COMPUTED_VALUE"""),"VERDADERO")</f>
        <v>VERDADERO</v>
      </c>
    </row>
    <row r="247">
      <c r="A247" s="2">
        <f>IFERROR(__xludf.DUMMYFUNCTION("""COMPUTED_VALUE"""),246.0)</f>
        <v>246</v>
      </c>
      <c r="B247" s="2" t="str">
        <f>IFERROR(__xludf.DUMMYFUNCTION("""COMPUTED_VALUE"""),"Cristina Piola")</f>
        <v>Cristina Piola</v>
      </c>
      <c r="C247" s="2" t="str">
        <f>IFERROR(__xludf.DUMMYFUNCTION("""COMPUTED_VALUE"""),"cpiola6u@dailymotion.com")</f>
        <v>cpiola6u@dailymotion.com</v>
      </c>
      <c r="D247" s="4">
        <f>IFERROR(__xludf.DUMMYFUNCTION("""COMPUTED_VALUE"""),29.0)</f>
        <v>29</v>
      </c>
      <c r="E247" s="4">
        <f>IFERROR(__xludf.DUMMYFUNCTION("""COMPUTED_VALUE"""),32.0)</f>
        <v>32</v>
      </c>
      <c r="F247" s="4">
        <f>IFERROR(__xludf.DUMMYFUNCTION("""COMPUTED_VALUE"""),13.0)</f>
        <v>13</v>
      </c>
      <c r="G247" s="4">
        <f>IFERROR(__xludf.DUMMYFUNCTION("""COMPUTED_VALUE"""),878.0)</f>
        <v>878</v>
      </c>
      <c r="H247" s="5">
        <f>IFERROR(__xludf.DUMMYFUNCTION("""COMPUTED_VALUE"""),1355.84)</f>
        <v>1355.84</v>
      </c>
      <c r="I247" s="5">
        <f>IFERROR(__xludf.DUMMYFUNCTION("""COMPUTED_VALUE"""),4073.01)</f>
        <v>4073.01</v>
      </c>
      <c r="J247" s="5">
        <f>IFERROR(__xludf.DUMMYFUNCTION("""COMPUTED_VALUE"""),194.34)</f>
        <v>194.34</v>
      </c>
      <c r="K247" s="5">
        <f>IFERROR(__xludf.DUMMYFUNCTION("""COMPUTED_VALUE"""),2923.78)</f>
        <v>2923.78</v>
      </c>
      <c r="L247" s="4">
        <f>IFERROR(__xludf.DUMMYFUNCTION("""COMPUTED_VALUE"""),15.0)</f>
        <v>15</v>
      </c>
      <c r="M247" s="4">
        <f>IFERROR(__xludf.DUMMYFUNCTION("""COMPUTED_VALUE"""),55.0)</f>
        <v>55</v>
      </c>
      <c r="N247" s="2" t="str">
        <f>IFERROR(__xludf.DUMMYFUNCTION("""COMPUTED_VALUE"""),"FALSO")</f>
        <v>FALSO</v>
      </c>
    </row>
    <row r="248">
      <c r="A248" s="2">
        <f>IFERROR(__xludf.DUMMYFUNCTION("""COMPUTED_VALUE"""),247.0)</f>
        <v>247</v>
      </c>
      <c r="B248" s="2" t="str">
        <f>IFERROR(__xludf.DUMMYFUNCTION("""COMPUTED_VALUE"""),"Josepha Danes")</f>
        <v>Josepha Danes</v>
      </c>
      <c r="C248" s="2" t="str">
        <f>IFERROR(__xludf.DUMMYFUNCTION("""COMPUTED_VALUE"""),"jdanes6v@cloudflare.com")</f>
        <v>jdanes6v@cloudflare.com</v>
      </c>
      <c r="D248" s="4">
        <f>IFERROR(__xludf.DUMMYFUNCTION("""COMPUTED_VALUE"""),29.0)</f>
        <v>29</v>
      </c>
      <c r="E248" s="4">
        <f>IFERROR(__xludf.DUMMYFUNCTION("""COMPUTED_VALUE"""),58.0)</f>
        <v>58</v>
      </c>
      <c r="F248" s="4">
        <f>IFERROR(__xludf.DUMMYFUNCTION("""COMPUTED_VALUE"""),8.0)</f>
        <v>8</v>
      </c>
      <c r="G248" s="4">
        <f>IFERROR(__xludf.DUMMYFUNCTION("""COMPUTED_VALUE"""),945.0)</f>
        <v>945</v>
      </c>
      <c r="H248" s="5">
        <f>IFERROR(__xludf.DUMMYFUNCTION("""COMPUTED_VALUE"""),4490.34)</f>
        <v>4490.34</v>
      </c>
      <c r="I248" s="5">
        <f>IFERROR(__xludf.DUMMYFUNCTION("""COMPUTED_VALUE"""),3834.71)</f>
        <v>3834.71</v>
      </c>
      <c r="J248" s="5">
        <f>IFERROR(__xludf.DUMMYFUNCTION("""COMPUTED_VALUE"""),4881.9)</f>
        <v>4881.9</v>
      </c>
      <c r="K248" s="5">
        <f>IFERROR(__xludf.DUMMYFUNCTION("""COMPUTED_VALUE"""),9492.44)</f>
        <v>9492.44</v>
      </c>
      <c r="L248" s="4">
        <f>IFERROR(__xludf.DUMMYFUNCTION("""COMPUTED_VALUE"""),1.0)</f>
        <v>1</v>
      </c>
      <c r="M248" s="4">
        <f>IFERROR(__xludf.DUMMYFUNCTION("""COMPUTED_VALUE"""),77.0)</f>
        <v>77</v>
      </c>
      <c r="N248" s="2" t="str">
        <f>IFERROR(__xludf.DUMMYFUNCTION("""COMPUTED_VALUE"""),"VERDADERO")</f>
        <v>VERDADERO</v>
      </c>
    </row>
    <row r="249">
      <c r="A249" s="2">
        <f>IFERROR(__xludf.DUMMYFUNCTION("""COMPUTED_VALUE"""),248.0)</f>
        <v>248</v>
      </c>
      <c r="B249" s="2" t="str">
        <f>IFERROR(__xludf.DUMMYFUNCTION("""COMPUTED_VALUE"""),"Aloise Baulk")</f>
        <v>Aloise Baulk</v>
      </c>
      <c r="C249" s="2" t="str">
        <f>IFERROR(__xludf.DUMMYFUNCTION("""COMPUTED_VALUE"""),"abaulk6w@icq.com")</f>
        <v>abaulk6w@icq.com</v>
      </c>
      <c r="D249" s="4">
        <f>IFERROR(__xludf.DUMMYFUNCTION("""COMPUTED_VALUE"""),23.0)</f>
        <v>23</v>
      </c>
      <c r="E249" s="4">
        <f>IFERROR(__xludf.DUMMYFUNCTION("""COMPUTED_VALUE"""),81.0)</f>
        <v>81</v>
      </c>
      <c r="F249" s="4">
        <f>IFERROR(__xludf.DUMMYFUNCTION("""COMPUTED_VALUE"""),2.0)</f>
        <v>2</v>
      </c>
      <c r="G249" s="4">
        <f>IFERROR(__xludf.DUMMYFUNCTION("""COMPUTED_VALUE"""),659.0)</f>
        <v>659</v>
      </c>
      <c r="H249" s="5">
        <f>IFERROR(__xludf.DUMMYFUNCTION("""COMPUTED_VALUE"""),8661.46)</f>
        <v>8661.46</v>
      </c>
      <c r="I249" s="5">
        <f>IFERROR(__xludf.DUMMYFUNCTION("""COMPUTED_VALUE"""),3750.26)</f>
        <v>3750.26</v>
      </c>
      <c r="J249" s="5">
        <f>IFERROR(__xludf.DUMMYFUNCTION("""COMPUTED_VALUE"""),4317.68)</f>
        <v>4317.68</v>
      </c>
      <c r="K249" s="5">
        <f>IFERROR(__xludf.DUMMYFUNCTION("""COMPUTED_VALUE"""),1192.52)</f>
        <v>1192.52</v>
      </c>
      <c r="L249" s="4">
        <f>IFERROR(__xludf.DUMMYFUNCTION("""COMPUTED_VALUE"""),3.0)</f>
        <v>3</v>
      </c>
      <c r="M249" s="4">
        <f>IFERROR(__xludf.DUMMYFUNCTION("""COMPUTED_VALUE"""),53.0)</f>
        <v>53</v>
      </c>
      <c r="N249" s="2" t="str">
        <f>IFERROR(__xludf.DUMMYFUNCTION("""COMPUTED_VALUE"""),"FALSO")</f>
        <v>FALSO</v>
      </c>
    </row>
    <row r="250">
      <c r="A250" s="2">
        <f>IFERROR(__xludf.DUMMYFUNCTION("""COMPUTED_VALUE"""),249.0)</f>
        <v>249</v>
      </c>
      <c r="B250" s="2" t="str">
        <f>IFERROR(__xludf.DUMMYFUNCTION("""COMPUTED_VALUE"""),"Herb Stockau")</f>
        <v>Herb Stockau</v>
      </c>
      <c r="C250" s="2" t="str">
        <f>IFERROR(__xludf.DUMMYFUNCTION("""COMPUTED_VALUE"""),"hstockau6x@tamu.edu")</f>
        <v>hstockau6x@tamu.edu</v>
      </c>
      <c r="D250" s="4">
        <f>IFERROR(__xludf.DUMMYFUNCTION("""COMPUTED_VALUE"""),143.0)</f>
        <v>143</v>
      </c>
      <c r="E250" s="4">
        <f>IFERROR(__xludf.DUMMYFUNCTION("""COMPUTED_VALUE"""),32.0)</f>
        <v>32</v>
      </c>
      <c r="F250" s="4">
        <f>IFERROR(__xludf.DUMMYFUNCTION("""COMPUTED_VALUE"""),10.0)</f>
        <v>10</v>
      </c>
      <c r="G250" s="4">
        <f>IFERROR(__xludf.DUMMYFUNCTION("""COMPUTED_VALUE"""),1302.0)</f>
        <v>1302</v>
      </c>
      <c r="H250" s="5">
        <f>IFERROR(__xludf.DUMMYFUNCTION("""COMPUTED_VALUE"""),6212.63)</f>
        <v>6212.63</v>
      </c>
      <c r="I250" s="5">
        <f>IFERROR(__xludf.DUMMYFUNCTION("""COMPUTED_VALUE"""),4899.92)</f>
        <v>4899.92</v>
      </c>
      <c r="J250" s="5">
        <f>IFERROR(__xludf.DUMMYFUNCTION("""COMPUTED_VALUE"""),5666.03)</f>
        <v>5666.03</v>
      </c>
      <c r="K250" s="5">
        <f>IFERROR(__xludf.DUMMYFUNCTION("""COMPUTED_VALUE"""),6253.53)</f>
        <v>6253.53</v>
      </c>
      <c r="L250" s="4">
        <f>IFERROR(__xludf.DUMMYFUNCTION("""COMPUTED_VALUE"""),2.0)</f>
        <v>2</v>
      </c>
      <c r="M250" s="4">
        <f>IFERROR(__xludf.DUMMYFUNCTION("""COMPUTED_VALUE"""),52.0)</f>
        <v>52</v>
      </c>
      <c r="N250" s="2" t="str">
        <f>IFERROR(__xludf.DUMMYFUNCTION("""COMPUTED_VALUE"""),"VERDADERO")</f>
        <v>VERDADERO</v>
      </c>
    </row>
    <row r="251">
      <c r="A251" s="2">
        <f>IFERROR(__xludf.DUMMYFUNCTION("""COMPUTED_VALUE"""),250.0)</f>
        <v>250</v>
      </c>
      <c r="B251" s="2" t="str">
        <f>IFERROR(__xludf.DUMMYFUNCTION("""COMPUTED_VALUE"""),"Ham Steddall")</f>
        <v>Ham Steddall</v>
      </c>
      <c r="C251" s="2" t="str">
        <f>IFERROR(__xludf.DUMMYFUNCTION("""COMPUTED_VALUE"""),"hsteddall6y@cnet.com")</f>
        <v>hsteddall6y@cnet.com</v>
      </c>
      <c r="D251" s="4">
        <f>IFERROR(__xludf.DUMMYFUNCTION("""COMPUTED_VALUE"""),124.0)</f>
        <v>124</v>
      </c>
      <c r="E251" s="4">
        <f>IFERROR(__xludf.DUMMYFUNCTION("""COMPUTED_VALUE"""),15.0)</f>
        <v>15</v>
      </c>
      <c r="F251" s="4">
        <f>IFERROR(__xludf.DUMMYFUNCTION("""COMPUTED_VALUE"""),6.0)</f>
        <v>6</v>
      </c>
      <c r="G251" s="4">
        <f>IFERROR(__xludf.DUMMYFUNCTION("""COMPUTED_VALUE"""),733.0)</f>
        <v>733</v>
      </c>
      <c r="H251" s="5">
        <f>IFERROR(__xludf.DUMMYFUNCTION("""COMPUTED_VALUE"""),6574.44)</f>
        <v>6574.44</v>
      </c>
      <c r="I251" s="5">
        <f>IFERROR(__xludf.DUMMYFUNCTION("""COMPUTED_VALUE"""),4029.57)</f>
        <v>4029.57</v>
      </c>
      <c r="J251" s="5">
        <f>IFERROR(__xludf.DUMMYFUNCTION("""COMPUTED_VALUE"""),5892.38)</f>
        <v>5892.38</v>
      </c>
      <c r="K251" s="5">
        <f>IFERROR(__xludf.DUMMYFUNCTION("""COMPUTED_VALUE"""),2880.94)</f>
        <v>2880.94</v>
      </c>
      <c r="L251" s="4">
        <f>IFERROR(__xludf.DUMMYFUNCTION("""COMPUTED_VALUE"""),7.0)</f>
        <v>7</v>
      </c>
      <c r="M251" s="4">
        <f>IFERROR(__xludf.DUMMYFUNCTION("""COMPUTED_VALUE"""),100.0)</f>
        <v>100</v>
      </c>
      <c r="N251" s="2" t="str">
        <f>IFERROR(__xludf.DUMMYFUNCTION("""COMPUTED_VALUE"""),"VERDADERO")</f>
        <v>VERDADERO</v>
      </c>
    </row>
    <row r="252">
      <c r="A252" s="2">
        <f>IFERROR(__xludf.DUMMYFUNCTION("""COMPUTED_VALUE"""),251.0)</f>
        <v>251</v>
      </c>
      <c r="B252" s="2" t="str">
        <f>IFERROR(__xludf.DUMMYFUNCTION("""COMPUTED_VALUE"""),"Merwin Ingman")</f>
        <v>Merwin Ingman</v>
      </c>
      <c r="C252" s="2" t="str">
        <f>IFERROR(__xludf.DUMMYFUNCTION("""COMPUTED_VALUE"""),"mingman6z@squidoo.com")</f>
        <v>mingman6z@squidoo.com</v>
      </c>
      <c r="D252" s="4">
        <f>IFERROR(__xludf.DUMMYFUNCTION("""COMPUTED_VALUE"""),49.0)</f>
        <v>49</v>
      </c>
      <c r="E252" s="4">
        <f>IFERROR(__xludf.DUMMYFUNCTION("""COMPUTED_VALUE"""),40.0)</f>
        <v>40</v>
      </c>
      <c r="F252" s="4">
        <f>IFERROR(__xludf.DUMMYFUNCTION("""COMPUTED_VALUE"""),1.0)</f>
        <v>1</v>
      </c>
      <c r="G252" s="4">
        <f>IFERROR(__xludf.DUMMYFUNCTION("""COMPUTED_VALUE"""),1374.0)</f>
        <v>1374</v>
      </c>
      <c r="H252" s="5">
        <f>IFERROR(__xludf.DUMMYFUNCTION("""COMPUTED_VALUE"""),1008.8)</f>
        <v>1008.8</v>
      </c>
      <c r="I252" s="5">
        <f>IFERROR(__xludf.DUMMYFUNCTION("""COMPUTED_VALUE"""),9161.62)</f>
        <v>9161.62</v>
      </c>
      <c r="J252" s="5">
        <f>IFERROR(__xludf.DUMMYFUNCTION("""COMPUTED_VALUE"""),2844.71)</f>
        <v>2844.71</v>
      </c>
      <c r="K252" s="5">
        <f>IFERROR(__xludf.DUMMYFUNCTION("""COMPUTED_VALUE"""),6259.34)</f>
        <v>6259.34</v>
      </c>
      <c r="L252" s="4">
        <f>IFERROR(__xludf.DUMMYFUNCTION("""COMPUTED_VALUE"""),13.0)</f>
        <v>13</v>
      </c>
      <c r="M252" s="4">
        <f>IFERROR(__xludf.DUMMYFUNCTION("""COMPUTED_VALUE"""),87.0)</f>
        <v>87</v>
      </c>
      <c r="N252" s="2" t="str">
        <f>IFERROR(__xludf.DUMMYFUNCTION("""COMPUTED_VALUE"""),"VERDADERO")</f>
        <v>VERDADERO</v>
      </c>
    </row>
    <row r="253">
      <c r="A253" s="2">
        <f>IFERROR(__xludf.DUMMYFUNCTION("""COMPUTED_VALUE"""),252.0)</f>
        <v>252</v>
      </c>
      <c r="B253" s="2" t="str">
        <f>IFERROR(__xludf.DUMMYFUNCTION("""COMPUTED_VALUE"""),"Moe Stagge")</f>
        <v>Moe Stagge</v>
      </c>
      <c r="C253" s="2" t="str">
        <f>IFERROR(__xludf.DUMMYFUNCTION("""COMPUTED_VALUE"""),"mstagge70@wikimedia.org")</f>
        <v>mstagge70@wikimedia.org</v>
      </c>
      <c r="D253" s="4">
        <f>IFERROR(__xludf.DUMMYFUNCTION("""COMPUTED_VALUE"""),73.0)</f>
        <v>73</v>
      </c>
      <c r="E253" s="4">
        <f>IFERROR(__xludf.DUMMYFUNCTION("""COMPUTED_VALUE"""),64.0)</f>
        <v>64</v>
      </c>
      <c r="F253" s="4">
        <f>IFERROR(__xludf.DUMMYFUNCTION("""COMPUTED_VALUE"""),4.0)</f>
        <v>4</v>
      </c>
      <c r="G253" s="4">
        <f>IFERROR(__xludf.DUMMYFUNCTION("""COMPUTED_VALUE"""),1290.0)</f>
        <v>1290</v>
      </c>
      <c r="H253" s="5">
        <f>IFERROR(__xludf.DUMMYFUNCTION("""COMPUTED_VALUE"""),7400.09)</f>
        <v>7400.09</v>
      </c>
      <c r="I253" s="5">
        <f>IFERROR(__xludf.DUMMYFUNCTION("""COMPUTED_VALUE"""),4614.95)</f>
        <v>4614.95</v>
      </c>
      <c r="J253" s="5">
        <f>IFERROR(__xludf.DUMMYFUNCTION("""COMPUTED_VALUE"""),8347.39)</f>
        <v>8347.39</v>
      </c>
      <c r="K253" s="5">
        <f>IFERROR(__xludf.DUMMYFUNCTION("""COMPUTED_VALUE"""),8343.77)</f>
        <v>8343.77</v>
      </c>
      <c r="L253" s="4">
        <f>IFERROR(__xludf.DUMMYFUNCTION("""COMPUTED_VALUE"""),15.0)</f>
        <v>15</v>
      </c>
      <c r="M253" s="4">
        <f>IFERROR(__xludf.DUMMYFUNCTION("""COMPUTED_VALUE"""),26.0)</f>
        <v>26</v>
      </c>
      <c r="N253" s="2" t="str">
        <f>IFERROR(__xludf.DUMMYFUNCTION("""COMPUTED_VALUE"""),"FALSO")</f>
        <v>FALSO</v>
      </c>
    </row>
    <row r="254">
      <c r="A254" s="2">
        <f>IFERROR(__xludf.DUMMYFUNCTION("""COMPUTED_VALUE"""),253.0)</f>
        <v>253</v>
      </c>
      <c r="B254" s="2" t="str">
        <f>IFERROR(__xludf.DUMMYFUNCTION("""COMPUTED_VALUE"""),"Deeann Billing")</f>
        <v>Deeann Billing</v>
      </c>
      <c r="C254" s="2" t="str">
        <f>IFERROR(__xludf.DUMMYFUNCTION("""COMPUTED_VALUE"""),"dbilling71@flavors.me")</f>
        <v>dbilling71@flavors.me</v>
      </c>
      <c r="D254" s="4">
        <f>IFERROR(__xludf.DUMMYFUNCTION("""COMPUTED_VALUE"""),17.0)</f>
        <v>17</v>
      </c>
      <c r="E254" s="4">
        <f>IFERROR(__xludf.DUMMYFUNCTION("""COMPUTED_VALUE"""),58.0)</f>
        <v>58</v>
      </c>
      <c r="F254" s="4">
        <f>IFERROR(__xludf.DUMMYFUNCTION("""COMPUTED_VALUE"""),8.0)</f>
        <v>8</v>
      </c>
      <c r="G254" s="4">
        <f>IFERROR(__xludf.DUMMYFUNCTION("""COMPUTED_VALUE"""),1296.0)</f>
        <v>1296</v>
      </c>
      <c r="H254" s="5">
        <f>IFERROR(__xludf.DUMMYFUNCTION("""COMPUTED_VALUE"""),3277.64)</f>
        <v>3277.64</v>
      </c>
      <c r="I254" s="5">
        <f>IFERROR(__xludf.DUMMYFUNCTION("""COMPUTED_VALUE"""),1809.22)</f>
        <v>1809.22</v>
      </c>
      <c r="J254" s="5">
        <f>IFERROR(__xludf.DUMMYFUNCTION("""COMPUTED_VALUE"""),8867.49)</f>
        <v>8867.49</v>
      </c>
      <c r="K254" s="5">
        <f>IFERROR(__xludf.DUMMYFUNCTION("""COMPUTED_VALUE"""),799.29)</f>
        <v>799.29</v>
      </c>
      <c r="L254" s="4">
        <f>IFERROR(__xludf.DUMMYFUNCTION("""COMPUTED_VALUE"""),15.0)</f>
        <v>15</v>
      </c>
      <c r="M254" s="4">
        <f>IFERROR(__xludf.DUMMYFUNCTION("""COMPUTED_VALUE"""),45.0)</f>
        <v>45</v>
      </c>
      <c r="N254" s="2" t="str">
        <f>IFERROR(__xludf.DUMMYFUNCTION("""COMPUTED_VALUE"""),"FALSO")</f>
        <v>FALSO</v>
      </c>
    </row>
    <row r="255">
      <c r="A255" s="2">
        <f>IFERROR(__xludf.DUMMYFUNCTION("""COMPUTED_VALUE"""),254.0)</f>
        <v>254</v>
      </c>
      <c r="B255" s="2" t="str">
        <f>IFERROR(__xludf.DUMMYFUNCTION("""COMPUTED_VALUE"""),"Giulia Parman")</f>
        <v>Giulia Parman</v>
      </c>
      <c r="C255" s="2" t="str">
        <f>IFERROR(__xludf.DUMMYFUNCTION("""COMPUTED_VALUE"""),"gparman72@yahoo.co.jp")</f>
        <v>gparman72@yahoo.co.jp</v>
      </c>
      <c r="D255" s="4">
        <f>IFERROR(__xludf.DUMMYFUNCTION("""COMPUTED_VALUE"""),124.0)</f>
        <v>124</v>
      </c>
      <c r="E255" s="4">
        <f>IFERROR(__xludf.DUMMYFUNCTION("""COMPUTED_VALUE"""),53.0)</f>
        <v>53</v>
      </c>
      <c r="F255" s="4">
        <f>IFERROR(__xludf.DUMMYFUNCTION("""COMPUTED_VALUE"""),9.0)</f>
        <v>9</v>
      </c>
      <c r="G255" s="4">
        <f>IFERROR(__xludf.DUMMYFUNCTION("""COMPUTED_VALUE"""),1432.0)</f>
        <v>1432</v>
      </c>
      <c r="H255" s="5">
        <f>IFERROR(__xludf.DUMMYFUNCTION("""COMPUTED_VALUE"""),1400.86)</f>
        <v>1400.86</v>
      </c>
      <c r="I255" s="5">
        <f>IFERROR(__xludf.DUMMYFUNCTION("""COMPUTED_VALUE"""),4381.7)</f>
        <v>4381.7</v>
      </c>
      <c r="J255" s="5">
        <f>IFERROR(__xludf.DUMMYFUNCTION("""COMPUTED_VALUE"""),1510.99)</f>
        <v>1510.99</v>
      </c>
      <c r="K255" s="5">
        <f>IFERROR(__xludf.DUMMYFUNCTION("""COMPUTED_VALUE"""),3786.81)</f>
        <v>3786.81</v>
      </c>
      <c r="L255" s="4">
        <f>IFERROR(__xludf.DUMMYFUNCTION("""COMPUTED_VALUE"""),20.0)</f>
        <v>20</v>
      </c>
      <c r="M255" s="4">
        <f>IFERROR(__xludf.DUMMYFUNCTION("""COMPUTED_VALUE"""),43.0)</f>
        <v>43</v>
      </c>
      <c r="N255" s="2" t="str">
        <f>IFERROR(__xludf.DUMMYFUNCTION("""COMPUTED_VALUE"""),"VERDADERO")</f>
        <v>VERDADERO</v>
      </c>
    </row>
    <row r="256">
      <c r="A256" s="2">
        <f>IFERROR(__xludf.DUMMYFUNCTION("""COMPUTED_VALUE"""),255.0)</f>
        <v>255</v>
      </c>
      <c r="B256" s="2" t="str">
        <f>IFERROR(__xludf.DUMMYFUNCTION("""COMPUTED_VALUE"""),"Inglis Paxton")</f>
        <v>Inglis Paxton</v>
      </c>
      <c r="C256" s="2" t="str">
        <f>IFERROR(__xludf.DUMMYFUNCTION("""COMPUTED_VALUE"""),"ipaxton73@facebook.com")</f>
        <v>ipaxton73@facebook.com</v>
      </c>
      <c r="D256" s="4">
        <f>IFERROR(__xludf.DUMMYFUNCTION("""COMPUTED_VALUE"""),29.0)</f>
        <v>29</v>
      </c>
      <c r="E256" s="4">
        <f>IFERROR(__xludf.DUMMYFUNCTION("""COMPUTED_VALUE"""),71.0)</f>
        <v>71</v>
      </c>
      <c r="F256" s="4">
        <f>IFERROR(__xludf.DUMMYFUNCTION("""COMPUTED_VALUE"""),6.0)</f>
        <v>6</v>
      </c>
      <c r="G256" s="4">
        <f>IFERROR(__xludf.DUMMYFUNCTION("""COMPUTED_VALUE"""),1361.0)</f>
        <v>1361</v>
      </c>
      <c r="H256" s="5">
        <f>IFERROR(__xludf.DUMMYFUNCTION("""COMPUTED_VALUE"""),7995.88)</f>
        <v>7995.88</v>
      </c>
      <c r="I256" s="5">
        <f>IFERROR(__xludf.DUMMYFUNCTION("""COMPUTED_VALUE"""),3432.49)</f>
        <v>3432.49</v>
      </c>
      <c r="J256" s="5">
        <f>IFERROR(__xludf.DUMMYFUNCTION("""COMPUTED_VALUE"""),6543.4)</f>
        <v>6543.4</v>
      </c>
      <c r="K256" s="5">
        <f>IFERROR(__xludf.DUMMYFUNCTION("""COMPUTED_VALUE"""),3717.2)</f>
        <v>3717.2</v>
      </c>
      <c r="L256" s="4">
        <f>IFERROR(__xludf.DUMMYFUNCTION("""COMPUTED_VALUE"""),2.0)</f>
        <v>2</v>
      </c>
      <c r="M256" s="4">
        <f>IFERROR(__xludf.DUMMYFUNCTION("""COMPUTED_VALUE"""),90.0)</f>
        <v>90</v>
      </c>
      <c r="N256" s="2" t="str">
        <f>IFERROR(__xludf.DUMMYFUNCTION("""COMPUTED_VALUE"""),"FALSO")</f>
        <v>FALSO</v>
      </c>
    </row>
    <row r="257">
      <c r="A257" s="2">
        <f>IFERROR(__xludf.DUMMYFUNCTION("""COMPUTED_VALUE"""),256.0)</f>
        <v>256</v>
      </c>
      <c r="B257" s="2" t="str">
        <f>IFERROR(__xludf.DUMMYFUNCTION("""COMPUTED_VALUE"""),"Kipp Twist")</f>
        <v>Kipp Twist</v>
      </c>
      <c r="C257" s="2" t="str">
        <f>IFERROR(__xludf.DUMMYFUNCTION("""COMPUTED_VALUE"""),"ktwist74@discovery.com")</f>
        <v>ktwist74@discovery.com</v>
      </c>
      <c r="D257" s="4">
        <f>IFERROR(__xludf.DUMMYFUNCTION("""COMPUTED_VALUE"""),65.0)</f>
        <v>65</v>
      </c>
      <c r="E257" s="4">
        <f>IFERROR(__xludf.DUMMYFUNCTION("""COMPUTED_VALUE"""),81.0)</f>
        <v>81</v>
      </c>
      <c r="F257" s="4">
        <f>IFERROR(__xludf.DUMMYFUNCTION("""COMPUTED_VALUE"""),2.0)</f>
        <v>2</v>
      </c>
      <c r="G257" s="4">
        <f>IFERROR(__xludf.DUMMYFUNCTION("""COMPUTED_VALUE"""),1387.0)</f>
        <v>1387</v>
      </c>
      <c r="H257" s="5">
        <f>IFERROR(__xludf.DUMMYFUNCTION("""COMPUTED_VALUE"""),7720.85)</f>
        <v>7720.85</v>
      </c>
      <c r="I257" s="5">
        <f>IFERROR(__xludf.DUMMYFUNCTION("""COMPUTED_VALUE"""),3832.15)</f>
        <v>3832.15</v>
      </c>
      <c r="J257" s="5">
        <f>IFERROR(__xludf.DUMMYFUNCTION("""COMPUTED_VALUE"""),4430.11)</f>
        <v>4430.11</v>
      </c>
      <c r="K257" s="5">
        <f>IFERROR(__xludf.DUMMYFUNCTION("""COMPUTED_VALUE"""),5483.47)</f>
        <v>5483.47</v>
      </c>
      <c r="L257" s="4">
        <f>IFERROR(__xludf.DUMMYFUNCTION("""COMPUTED_VALUE"""),2.0)</f>
        <v>2</v>
      </c>
      <c r="M257" s="4">
        <f>IFERROR(__xludf.DUMMYFUNCTION("""COMPUTED_VALUE"""),96.0)</f>
        <v>96</v>
      </c>
      <c r="N257" s="2" t="str">
        <f>IFERROR(__xludf.DUMMYFUNCTION("""COMPUTED_VALUE"""),"FALSO")</f>
        <v>FALSO</v>
      </c>
    </row>
    <row r="258">
      <c r="A258" s="2">
        <f>IFERROR(__xludf.DUMMYFUNCTION("""COMPUTED_VALUE"""),257.0)</f>
        <v>257</v>
      </c>
      <c r="B258" s="2" t="str">
        <f>IFERROR(__xludf.DUMMYFUNCTION("""COMPUTED_VALUE"""),"Heidi Tydd")</f>
        <v>Heidi Tydd</v>
      </c>
      <c r="C258" s="2" t="str">
        <f>IFERROR(__xludf.DUMMYFUNCTION("""COMPUTED_VALUE"""),"htydd75@shareasale.com")</f>
        <v>htydd75@shareasale.com</v>
      </c>
      <c r="D258" s="4">
        <f>IFERROR(__xludf.DUMMYFUNCTION("""COMPUTED_VALUE"""),29.0)</f>
        <v>29</v>
      </c>
      <c r="E258" s="4">
        <f>IFERROR(__xludf.DUMMYFUNCTION("""COMPUTED_VALUE"""),65.0)</f>
        <v>65</v>
      </c>
      <c r="F258" s="4">
        <f>IFERROR(__xludf.DUMMYFUNCTION("""COMPUTED_VALUE"""),9.0)</f>
        <v>9</v>
      </c>
      <c r="G258" s="4">
        <f>IFERROR(__xludf.DUMMYFUNCTION("""COMPUTED_VALUE"""),474.0)</f>
        <v>474</v>
      </c>
      <c r="H258" s="5">
        <f>IFERROR(__xludf.DUMMYFUNCTION("""COMPUTED_VALUE"""),5209.68)</f>
        <v>5209.68</v>
      </c>
      <c r="I258" s="5">
        <f>IFERROR(__xludf.DUMMYFUNCTION("""COMPUTED_VALUE"""),3744.95)</f>
        <v>3744.95</v>
      </c>
      <c r="J258" s="5">
        <f>IFERROR(__xludf.DUMMYFUNCTION("""COMPUTED_VALUE"""),8516.2)</f>
        <v>8516.2</v>
      </c>
      <c r="K258" s="5">
        <f>IFERROR(__xludf.DUMMYFUNCTION("""COMPUTED_VALUE"""),6846.58)</f>
        <v>6846.58</v>
      </c>
      <c r="L258" s="4">
        <f>IFERROR(__xludf.DUMMYFUNCTION("""COMPUTED_VALUE"""),12.0)</f>
        <v>12</v>
      </c>
      <c r="M258" s="4">
        <f>IFERROR(__xludf.DUMMYFUNCTION("""COMPUTED_VALUE"""),98.0)</f>
        <v>98</v>
      </c>
      <c r="N258" s="2" t="str">
        <f>IFERROR(__xludf.DUMMYFUNCTION("""COMPUTED_VALUE"""),"VERDADERO")</f>
        <v>VERDADERO</v>
      </c>
    </row>
    <row r="259">
      <c r="A259" s="2">
        <f>IFERROR(__xludf.DUMMYFUNCTION("""COMPUTED_VALUE"""),258.0)</f>
        <v>258</v>
      </c>
      <c r="B259" s="2" t="str">
        <f>IFERROR(__xludf.DUMMYFUNCTION("""COMPUTED_VALUE"""),"Thacher Gomery")</f>
        <v>Thacher Gomery</v>
      </c>
      <c r="C259" s="2" t="str">
        <f>IFERROR(__xludf.DUMMYFUNCTION("""COMPUTED_VALUE"""),"tgomery76@wordpress.com")</f>
        <v>tgomery76@wordpress.com</v>
      </c>
      <c r="D259" s="4">
        <f>IFERROR(__xludf.DUMMYFUNCTION("""COMPUTED_VALUE"""),137.0)</f>
        <v>137</v>
      </c>
      <c r="E259" s="4">
        <f>IFERROR(__xludf.DUMMYFUNCTION("""COMPUTED_VALUE"""),12.0)</f>
        <v>12</v>
      </c>
      <c r="F259" s="4">
        <f>IFERROR(__xludf.DUMMYFUNCTION("""COMPUTED_VALUE"""),6.0)</f>
        <v>6</v>
      </c>
      <c r="G259" s="4">
        <f>IFERROR(__xludf.DUMMYFUNCTION("""COMPUTED_VALUE"""),1268.0)</f>
        <v>1268</v>
      </c>
      <c r="H259" s="5">
        <f>IFERROR(__xludf.DUMMYFUNCTION("""COMPUTED_VALUE"""),9048.72)</f>
        <v>9048.72</v>
      </c>
      <c r="I259" s="5">
        <f>IFERROR(__xludf.DUMMYFUNCTION("""COMPUTED_VALUE"""),2580.13)</f>
        <v>2580.13</v>
      </c>
      <c r="J259" s="5">
        <f>IFERROR(__xludf.DUMMYFUNCTION("""COMPUTED_VALUE"""),8516.6)</f>
        <v>8516.6</v>
      </c>
      <c r="K259" s="5">
        <f>IFERROR(__xludf.DUMMYFUNCTION("""COMPUTED_VALUE"""),2670.67)</f>
        <v>2670.67</v>
      </c>
      <c r="L259" s="4">
        <f>IFERROR(__xludf.DUMMYFUNCTION("""COMPUTED_VALUE"""),19.0)</f>
        <v>19</v>
      </c>
      <c r="M259" s="4">
        <f>IFERROR(__xludf.DUMMYFUNCTION("""COMPUTED_VALUE"""),35.0)</f>
        <v>35</v>
      </c>
      <c r="N259" s="2" t="str">
        <f>IFERROR(__xludf.DUMMYFUNCTION("""COMPUTED_VALUE"""),"FALSO")</f>
        <v>FALSO</v>
      </c>
    </row>
    <row r="260">
      <c r="A260" s="2">
        <f>IFERROR(__xludf.DUMMYFUNCTION("""COMPUTED_VALUE"""),259.0)</f>
        <v>259</v>
      </c>
      <c r="B260" s="2" t="str">
        <f>IFERROR(__xludf.DUMMYFUNCTION("""COMPUTED_VALUE"""),"Hyacinth Lotte")</f>
        <v>Hyacinth Lotte</v>
      </c>
      <c r="C260" s="2" t="str">
        <f>IFERROR(__xludf.DUMMYFUNCTION("""COMPUTED_VALUE"""),"hlotte77@independent.co.uk")</f>
        <v>hlotte77@independent.co.uk</v>
      </c>
      <c r="D260" s="4">
        <f>IFERROR(__xludf.DUMMYFUNCTION("""COMPUTED_VALUE"""),143.0)</f>
        <v>143</v>
      </c>
      <c r="E260" s="4">
        <f>IFERROR(__xludf.DUMMYFUNCTION("""COMPUTED_VALUE"""),66.0)</f>
        <v>66</v>
      </c>
      <c r="F260" s="4">
        <f>IFERROR(__xludf.DUMMYFUNCTION("""COMPUTED_VALUE"""),6.0)</f>
        <v>6</v>
      </c>
      <c r="G260" s="4">
        <f>IFERROR(__xludf.DUMMYFUNCTION("""COMPUTED_VALUE"""),1399.0)</f>
        <v>1399</v>
      </c>
      <c r="H260" s="5">
        <f>IFERROR(__xludf.DUMMYFUNCTION("""COMPUTED_VALUE"""),4821.43)</f>
        <v>4821.43</v>
      </c>
      <c r="I260" s="5">
        <f>IFERROR(__xludf.DUMMYFUNCTION("""COMPUTED_VALUE"""),1090.94)</f>
        <v>1090.94</v>
      </c>
      <c r="J260" s="5">
        <f>IFERROR(__xludf.DUMMYFUNCTION("""COMPUTED_VALUE"""),1327.52)</f>
        <v>1327.52</v>
      </c>
      <c r="K260" s="5">
        <f>IFERROR(__xludf.DUMMYFUNCTION("""COMPUTED_VALUE"""),1303.54)</f>
        <v>1303.54</v>
      </c>
      <c r="L260" s="4">
        <f>IFERROR(__xludf.DUMMYFUNCTION("""COMPUTED_VALUE"""),14.0)</f>
        <v>14</v>
      </c>
      <c r="M260" s="4">
        <f>IFERROR(__xludf.DUMMYFUNCTION("""COMPUTED_VALUE"""),43.0)</f>
        <v>43</v>
      </c>
      <c r="N260" s="2" t="str">
        <f>IFERROR(__xludf.DUMMYFUNCTION("""COMPUTED_VALUE"""),"FALSO")</f>
        <v>FALSO</v>
      </c>
    </row>
    <row r="261">
      <c r="A261" s="2">
        <f>IFERROR(__xludf.DUMMYFUNCTION("""COMPUTED_VALUE"""),260.0)</f>
        <v>260</v>
      </c>
      <c r="B261" s="2" t="str">
        <f>IFERROR(__xludf.DUMMYFUNCTION("""COMPUTED_VALUE"""),"Clyve Corkan")</f>
        <v>Clyve Corkan</v>
      </c>
      <c r="C261" s="2" t="str">
        <f>IFERROR(__xludf.DUMMYFUNCTION("""COMPUTED_VALUE"""),"ccorkan78@yahoo.com")</f>
        <v>ccorkan78@yahoo.com</v>
      </c>
      <c r="D261" s="4">
        <f>IFERROR(__xludf.DUMMYFUNCTION("""COMPUTED_VALUE"""),124.0)</f>
        <v>124</v>
      </c>
      <c r="E261" s="4">
        <f>IFERROR(__xludf.DUMMYFUNCTION("""COMPUTED_VALUE"""),59.0)</f>
        <v>59</v>
      </c>
      <c r="F261" s="4">
        <f>IFERROR(__xludf.DUMMYFUNCTION("""COMPUTED_VALUE"""),8.0)</f>
        <v>8</v>
      </c>
      <c r="G261" s="4">
        <f>IFERROR(__xludf.DUMMYFUNCTION("""COMPUTED_VALUE"""),1285.0)</f>
        <v>1285</v>
      </c>
      <c r="H261" s="5">
        <f>IFERROR(__xludf.DUMMYFUNCTION("""COMPUTED_VALUE"""),5921.52)</f>
        <v>5921.52</v>
      </c>
      <c r="I261" s="5">
        <f>IFERROR(__xludf.DUMMYFUNCTION("""COMPUTED_VALUE"""),4051.42)</f>
        <v>4051.42</v>
      </c>
      <c r="J261" s="5">
        <f>IFERROR(__xludf.DUMMYFUNCTION("""COMPUTED_VALUE"""),9099.58)</f>
        <v>9099.58</v>
      </c>
      <c r="K261" s="5">
        <f>IFERROR(__xludf.DUMMYFUNCTION("""COMPUTED_VALUE"""),3463.54)</f>
        <v>3463.54</v>
      </c>
      <c r="L261" s="4">
        <f>IFERROR(__xludf.DUMMYFUNCTION("""COMPUTED_VALUE"""),4.0)</f>
        <v>4</v>
      </c>
      <c r="M261" s="4">
        <f>IFERROR(__xludf.DUMMYFUNCTION("""COMPUTED_VALUE"""),11.0)</f>
        <v>11</v>
      </c>
      <c r="N261" s="2" t="str">
        <f>IFERROR(__xludf.DUMMYFUNCTION("""COMPUTED_VALUE"""),"FALSO")</f>
        <v>FALSO</v>
      </c>
    </row>
    <row r="262">
      <c r="A262" s="2">
        <f>IFERROR(__xludf.DUMMYFUNCTION("""COMPUTED_VALUE"""),261.0)</f>
        <v>261</v>
      </c>
      <c r="B262" s="2" t="str">
        <f>IFERROR(__xludf.DUMMYFUNCTION("""COMPUTED_VALUE"""),"Nye Rhodus")</f>
        <v>Nye Rhodus</v>
      </c>
      <c r="C262" s="2" t="str">
        <f>IFERROR(__xludf.DUMMYFUNCTION("""COMPUTED_VALUE"""),"nrhodus79@loc.gov")</f>
        <v>nrhodus79@loc.gov</v>
      </c>
      <c r="D262" s="4">
        <f>IFERROR(__xludf.DUMMYFUNCTION("""COMPUTED_VALUE"""),122.0)</f>
        <v>122</v>
      </c>
      <c r="E262" s="4">
        <f>IFERROR(__xludf.DUMMYFUNCTION("""COMPUTED_VALUE"""),81.0)</f>
        <v>81</v>
      </c>
      <c r="F262" s="4">
        <f>IFERROR(__xludf.DUMMYFUNCTION("""COMPUTED_VALUE"""),2.0)</f>
        <v>2</v>
      </c>
      <c r="G262" s="4">
        <f>IFERROR(__xludf.DUMMYFUNCTION("""COMPUTED_VALUE"""),1223.0)</f>
        <v>1223</v>
      </c>
      <c r="H262" s="5">
        <f>IFERROR(__xludf.DUMMYFUNCTION("""COMPUTED_VALUE"""),6728.08)</f>
        <v>6728.08</v>
      </c>
      <c r="I262" s="5">
        <f>IFERROR(__xludf.DUMMYFUNCTION("""COMPUTED_VALUE"""),5775.69)</f>
        <v>5775.69</v>
      </c>
      <c r="J262" s="5">
        <f>IFERROR(__xludf.DUMMYFUNCTION("""COMPUTED_VALUE"""),7133.3)</f>
        <v>7133.3</v>
      </c>
      <c r="K262" s="5">
        <f>IFERROR(__xludf.DUMMYFUNCTION("""COMPUTED_VALUE"""),9976.07)</f>
        <v>9976.07</v>
      </c>
      <c r="L262" s="4">
        <f>IFERROR(__xludf.DUMMYFUNCTION("""COMPUTED_VALUE"""),6.0)</f>
        <v>6</v>
      </c>
      <c r="M262" s="4">
        <f>IFERROR(__xludf.DUMMYFUNCTION("""COMPUTED_VALUE"""),7.0)</f>
        <v>7</v>
      </c>
      <c r="N262" s="2" t="str">
        <f>IFERROR(__xludf.DUMMYFUNCTION("""COMPUTED_VALUE"""),"VERDADERO")</f>
        <v>VERDADERO</v>
      </c>
    </row>
    <row r="263">
      <c r="A263" s="2">
        <f>IFERROR(__xludf.DUMMYFUNCTION("""COMPUTED_VALUE"""),262.0)</f>
        <v>262</v>
      </c>
      <c r="B263" s="2" t="str">
        <f>IFERROR(__xludf.DUMMYFUNCTION("""COMPUTED_VALUE"""),"Melitta Kitchingham")</f>
        <v>Melitta Kitchingham</v>
      </c>
      <c r="C263" s="2" t="str">
        <f>IFERROR(__xludf.DUMMYFUNCTION("""COMPUTED_VALUE"""),"mkitchingham7a@jalbum.net")</f>
        <v>mkitchingham7a@jalbum.net</v>
      </c>
      <c r="D263" s="4">
        <f>IFERROR(__xludf.DUMMYFUNCTION("""COMPUTED_VALUE"""),29.0)</f>
        <v>29</v>
      </c>
      <c r="E263" s="4">
        <f>IFERROR(__xludf.DUMMYFUNCTION("""COMPUTED_VALUE"""),58.0)</f>
        <v>58</v>
      </c>
      <c r="F263" s="4">
        <f>IFERROR(__xludf.DUMMYFUNCTION("""COMPUTED_VALUE"""),3.0)</f>
        <v>3</v>
      </c>
      <c r="G263" s="4">
        <f>IFERROR(__xludf.DUMMYFUNCTION("""COMPUTED_VALUE"""),731.0)</f>
        <v>731</v>
      </c>
      <c r="H263" s="5">
        <f>IFERROR(__xludf.DUMMYFUNCTION("""COMPUTED_VALUE"""),3859.4)</f>
        <v>3859.4</v>
      </c>
      <c r="I263" s="5">
        <f>IFERROR(__xludf.DUMMYFUNCTION("""COMPUTED_VALUE"""),4062.18)</f>
        <v>4062.18</v>
      </c>
      <c r="J263" s="5">
        <f>IFERROR(__xludf.DUMMYFUNCTION("""COMPUTED_VALUE"""),8772.62)</f>
        <v>8772.62</v>
      </c>
      <c r="K263" s="5">
        <f>IFERROR(__xludf.DUMMYFUNCTION("""COMPUTED_VALUE"""),7312.04)</f>
        <v>7312.04</v>
      </c>
      <c r="L263" s="4">
        <f>IFERROR(__xludf.DUMMYFUNCTION("""COMPUTED_VALUE"""),7.0)</f>
        <v>7</v>
      </c>
      <c r="M263" s="4">
        <f>IFERROR(__xludf.DUMMYFUNCTION("""COMPUTED_VALUE"""),55.0)</f>
        <v>55</v>
      </c>
      <c r="N263" s="2" t="str">
        <f>IFERROR(__xludf.DUMMYFUNCTION("""COMPUTED_VALUE"""),"VERDADERO")</f>
        <v>VERDADERO</v>
      </c>
    </row>
    <row r="264">
      <c r="A264" s="2">
        <f>IFERROR(__xludf.DUMMYFUNCTION("""COMPUTED_VALUE"""),263.0)</f>
        <v>263</v>
      </c>
      <c r="B264" s="2" t="str">
        <f>IFERROR(__xludf.DUMMYFUNCTION("""COMPUTED_VALUE"""),"Denny How")</f>
        <v>Denny How</v>
      </c>
      <c r="C264" s="2" t="str">
        <f>IFERROR(__xludf.DUMMYFUNCTION("""COMPUTED_VALUE"""),"dhow7b@bing.com")</f>
        <v>dhow7b@bing.com</v>
      </c>
      <c r="D264" s="4">
        <f>IFERROR(__xludf.DUMMYFUNCTION("""COMPUTED_VALUE"""),57.0)</f>
        <v>57</v>
      </c>
      <c r="E264" s="4">
        <f>IFERROR(__xludf.DUMMYFUNCTION("""COMPUTED_VALUE"""),118.0)</f>
        <v>118</v>
      </c>
      <c r="F264" s="4">
        <f>IFERROR(__xludf.DUMMYFUNCTION("""COMPUTED_VALUE"""),8.0)</f>
        <v>8</v>
      </c>
      <c r="G264" s="4">
        <f>IFERROR(__xludf.DUMMYFUNCTION("""COMPUTED_VALUE"""),757.0)</f>
        <v>757</v>
      </c>
      <c r="H264" s="5">
        <f>IFERROR(__xludf.DUMMYFUNCTION("""COMPUTED_VALUE"""),4319.19)</f>
        <v>4319.19</v>
      </c>
      <c r="I264" s="5">
        <f>IFERROR(__xludf.DUMMYFUNCTION("""COMPUTED_VALUE"""),1737.37)</f>
        <v>1737.37</v>
      </c>
      <c r="J264" s="5">
        <f>IFERROR(__xludf.DUMMYFUNCTION("""COMPUTED_VALUE"""),6678.94)</f>
        <v>6678.94</v>
      </c>
      <c r="K264" s="5">
        <f>IFERROR(__xludf.DUMMYFUNCTION("""COMPUTED_VALUE"""),9688.32)</f>
        <v>9688.32</v>
      </c>
      <c r="L264" s="4">
        <f>IFERROR(__xludf.DUMMYFUNCTION("""COMPUTED_VALUE"""),2.0)</f>
        <v>2</v>
      </c>
      <c r="M264" s="4">
        <f>IFERROR(__xludf.DUMMYFUNCTION("""COMPUTED_VALUE"""),96.0)</f>
        <v>96</v>
      </c>
      <c r="N264" s="2" t="str">
        <f>IFERROR(__xludf.DUMMYFUNCTION("""COMPUTED_VALUE"""),"FALSO")</f>
        <v>FALSO</v>
      </c>
    </row>
    <row r="265">
      <c r="A265" s="2">
        <f>IFERROR(__xludf.DUMMYFUNCTION("""COMPUTED_VALUE"""),264.0)</f>
        <v>264</v>
      </c>
      <c r="B265" s="2" t="str">
        <f>IFERROR(__xludf.DUMMYFUNCTION("""COMPUTED_VALUE"""),"Lanae Winning")</f>
        <v>Lanae Winning</v>
      </c>
      <c r="C265" s="2" t="str">
        <f>IFERROR(__xludf.DUMMYFUNCTION("""COMPUTED_VALUE"""),"lwinning7c@rakuten.co.jp")</f>
        <v>lwinning7c@rakuten.co.jp</v>
      </c>
      <c r="D265" s="4">
        <f>IFERROR(__xludf.DUMMYFUNCTION("""COMPUTED_VALUE"""),65.0)</f>
        <v>65</v>
      </c>
      <c r="E265" s="4">
        <f>IFERROR(__xludf.DUMMYFUNCTION("""COMPUTED_VALUE"""),90.0)</f>
        <v>90</v>
      </c>
      <c r="F265" s="4">
        <f>IFERROR(__xludf.DUMMYFUNCTION("""COMPUTED_VALUE"""),5.0)</f>
        <v>5</v>
      </c>
      <c r="G265" s="4">
        <f>IFERROR(__xludf.DUMMYFUNCTION("""COMPUTED_VALUE"""),1548.0)</f>
        <v>1548</v>
      </c>
      <c r="H265" s="5">
        <f>IFERROR(__xludf.DUMMYFUNCTION("""COMPUTED_VALUE"""),7795.57)</f>
        <v>7795.57</v>
      </c>
      <c r="I265" s="5">
        <f>IFERROR(__xludf.DUMMYFUNCTION("""COMPUTED_VALUE"""),2646.15)</f>
        <v>2646.15</v>
      </c>
      <c r="J265" s="5">
        <f>IFERROR(__xludf.DUMMYFUNCTION("""COMPUTED_VALUE"""),4673.36)</f>
        <v>4673.36</v>
      </c>
      <c r="K265" s="5">
        <f>IFERROR(__xludf.DUMMYFUNCTION("""COMPUTED_VALUE"""),5182.23)</f>
        <v>5182.23</v>
      </c>
      <c r="L265" s="4">
        <f>IFERROR(__xludf.DUMMYFUNCTION("""COMPUTED_VALUE"""),4.0)</f>
        <v>4</v>
      </c>
      <c r="M265" s="4">
        <f>IFERROR(__xludf.DUMMYFUNCTION("""COMPUTED_VALUE"""),53.0)</f>
        <v>53</v>
      </c>
      <c r="N265" s="2" t="str">
        <f>IFERROR(__xludf.DUMMYFUNCTION("""COMPUTED_VALUE"""),"FALSO")</f>
        <v>FALSO</v>
      </c>
    </row>
    <row r="266">
      <c r="A266" s="2">
        <f>IFERROR(__xludf.DUMMYFUNCTION("""COMPUTED_VALUE"""),265.0)</f>
        <v>265</v>
      </c>
      <c r="B266" s="2" t="str">
        <f>IFERROR(__xludf.DUMMYFUNCTION("""COMPUTED_VALUE"""),"Brady Olenikov")</f>
        <v>Brady Olenikov</v>
      </c>
      <c r="C266" s="2" t="str">
        <f>IFERROR(__xludf.DUMMYFUNCTION("""COMPUTED_VALUE"""),"bolenikov7d@g.co")</f>
        <v>bolenikov7d@g.co</v>
      </c>
      <c r="D266" s="4">
        <f>IFERROR(__xludf.DUMMYFUNCTION("""COMPUTED_VALUE"""),65.0)</f>
        <v>65</v>
      </c>
      <c r="E266" s="4">
        <f>IFERROR(__xludf.DUMMYFUNCTION("""COMPUTED_VALUE"""),81.0)</f>
        <v>81</v>
      </c>
      <c r="F266" s="4">
        <f>IFERROR(__xludf.DUMMYFUNCTION("""COMPUTED_VALUE"""),2.0)</f>
        <v>2</v>
      </c>
      <c r="G266" s="4">
        <f>IFERROR(__xludf.DUMMYFUNCTION("""COMPUTED_VALUE"""),246.0)</f>
        <v>246</v>
      </c>
      <c r="H266" s="5">
        <f>IFERROR(__xludf.DUMMYFUNCTION("""COMPUTED_VALUE"""),4763.8)</f>
        <v>4763.8</v>
      </c>
      <c r="I266" s="5">
        <f>IFERROR(__xludf.DUMMYFUNCTION("""COMPUTED_VALUE"""),9772.3)</f>
        <v>9772.3</v>
      </c>
      <c r="J266" s="5">
        <f>IFERROR(__xludf.DUMMYFUNCTION("""COMPUTED_VALUE"""),537.48)</f>
        <v>537.48</v>
      </c>
      <c r="K266" s="5">
        <f>IFERROR(__xludf.DUMMYFUNCTION("""COMPUTED_VALUE"""),4754.5)</f>
        <v>4754.5</v>
      </c>
      <c r="L266" s="4">
        <f>IFERROR(__xludf.DUMMYFUNCTION("""COMPUTED_VALUE"""),14.0)</f>
        <v>14</v>
      </c>
      <c r="M266" s="4">
        <f>IFERROR(__xludf.DUMMYFUNCTION("""COMPUTED_VALUE"""),74.0)</f>
        <v>74</v>
      </c>
      <c r="N266" s="2" t="str">
        <f>IFERROR(__xludf.DUMMYFUNCTION("""COMPUTED_VALUE"""),"VERDADERO")</f>
        <v>VERDADERO</v>
      </c>
    </row>
    <row r="267">
      <c r="A267" s="2">
        <f>IFERROR(__xludf.DUMMYFUNCTION("""COMPUTED_VALUE"""),266.0)</f>
        <v>266</v>
      </c>
      <c r="B267" s="2" t="str">
        <f>IFERROR(__xludf.DUMMYFUNCTION("""COMPUTED_VALUE"""),"Stafford Thal")</f>
        <v>Stafford Thal</v>
      </c>
      <c r="C267" s="2" t="str">
        <f>IFERROR(__xludf.DUMMYFUNCTION("""COMPUTED_VALUE"""),"sthal7e@discovery.com")</f>
        <v>sthal7e@discovery.com</v>
      </c>
      <c r="D267" s="4">
        <f>IFERROR(__xludf.DUMMYFUNCTION("""COMPUTED_VALUE"""),131.0)</f>
        <v>131</v>
      </c>
      <c r="E267" s="4">
        <f>IFERROR(__xludf.DUMMYFUNCTION("""COMPUTED_VALUE"""),81.0)</f>
        <v>81</v>
      </c>
      <c r="F267" s="4">
        <f>IFERROR(__xludf.DUMMYFUNCTION("""COMPUTED_VALUE"""),2.0)</f>
        <v>2</v>
      </c>
      <c r="G267" s="4">
        <f>IFERROR(__xludf.DUMMYFUNCTION("""COMPUTED_VALUE"""),1199.0)</f>
        <v>1199</v>
      </c>
      <c r="H267" s="5">
        <f>IFERROR(__xludf.DUMMYFUNCTION("""COMPUTED_VALUE"""),1585.25)</f>
        <v>1585.25</v>
      </c>
      <c r="I267" s="5">
        <f>IFERROR(__xludf.DUMMYFUNCTION("""COMPUTED_VALUE"""),6863.3)</f>
        <v>6863.3</v>
      </c>
      <c r="J267" s="5">
        <f>IFERROR(__xludf.DUMMYFUNCTION("""COMPUTED_VALUE"""),8690.18)</f>
        <v>8690.18</v>
      </c>
      <c r="K267" s="5">
        <f>IFERROR(__xludf.DUMMYFUNCTION("""COMPUTED_VALUE"""),2160.39)</f>
        <v>2160.39</v>
      </c>
      <c r="L267" s="4">
        <f>IFERROR(__xludf.DUMMYFUNCTION("""COMPUTED_VALUE"""),5.0)</f>
        <v>5</v>
      </c>
      <c r="M267" s="4">
        <f>IFERROR(__xludf.DUMMYFUNCTION("""COMPUTED_VALUE"""),66.0)</f>
        <v>66</v>
      </c>
      <c r="N267" s="2" t="str">
        <f>IFERROR(__xludf.DUMMYFUNCTION("""COMPUTED_VALUE"""),"VERDADERO")</f>
        <v>VERDADERO</v>
      </c>
    </row>
    <row r="268">
      <c r="A268" s="2">
        <f>IFERROR(__xludf.DUMMYFUNCTION("""COMPUTED_VALUE"""),267.0)</f>
        <v>267</v>
      </c>
      <c r="B268" s="2" t="str">
        <f>IFERROR(__xludf.DUMMYFUNCTION("""COMPUTED_VALUE"""),"Daren Tassell")</f>
        <v>Daren Tassell</v>
      </c>
      <c r="C268" s="2" t="str">
        <f>IFERROR(__xludf.DUMMYFUNCTION("""COMPUTED_VALUE"""),"dtassell7f@qq.com")</f>
        <v>dtassell7f@qq.com</v>
      </c>
      <c r="D268" s="4">
        <f>IFERROR(__xludf.DUMMYFUNCTION("""COMPUTED_VALUE"""),74.0)</f>
        <v>74</v>
      </c>
      <c r="E268" s="4">
        <f>IFERROR(__xludf.DUMMYFUNCTION("""COMPUTED_VALUE"""),109.0)</f>
        <v>109</v>
      </c>
      <c r="F268" s="4">
        <f>IFERROR(__xludf.DUMMYFUNCTION("""COMPUTED_VALUE"""),5.0)</f>
        <v>5</v>
      </c>
      <c r="G268" s="4">
        <f>IFERROR(__xludf.DUMMYFUNCTION("""COMPUTED_VALUE"""),1240.0)</f>
        <v>1240</v>
      </c>
      <c r="H268" s="5">
        <f>IFERROR(__xludf.DUMMYFUNCTION("""COMPUTED_VALUE"""),3058.33)</f>
        <v>3058.33</v>
      </c>
      <c r="I268" s="5">
        <f>IFERROR(__xludf.DUMMYFUNCTION("""COMPUTED_VALUE"""),7204.18)</f>
        <v>7204.18</v>
      </c>
      <c r="J268" s="5">
        <f>IFERROR(__xludf.DUMMYFUNCTION("""COMPUTED_VALUE"""),9379.59)</f>
        <v>9379.59</v>
      </c>
      <c r="K268" s="5">
        <f>IFERROR(__xludf.DUMMYFUNCTION("""COMPUTED_VALUE"""),8591.37)</f>
        <v>8591.37</v>
      </c>
      <c r="L268" s="4">
        <f>IFERROR(__xludf.DUMMYFUNCTION("""COMPUTED_VALUE"""),6.0)</f>
        <v>6</v>
      </c>
      <c r="M268" s="4">
        <f>IFERROR(__xludf.DUMMYFUNCTION("""COMPUTED_VALUE"""),13.0)</f>
        <v>13</v>
      </c>
      <c r="N268" s="2" t="str">
        <f>IFERROR(__xludf.DUMMYFUNCTION("""COMPUTED_VALUE"""),"FALSO")</f>
        <v>FALSO</v>
      </c>
    </row>
    <row r="269">
      <c r="A269" s="2">
        <f>IFERROR(__xludf.DUMMYFUNCTION("""COMPUTED_VALUE"""),268.0)</f>
        <v>268</v>
      </c>
      <c r="B269" s="2" t="str">
        <f>IFERROR(__xludf.DUMMYFUNCTION("""COMPUTED_VALUE"""),"Weidar Albiston")</f>
        <v>Weidar Albiston</v>
      </c>
      <c r="C269" s="2" t="str">
        <f>IFERROR(__xludf.DUMMYFUNCTION("""COMPUTED_VALUE"""),"walbiston7g@t-online.de")</f>
        <v>walbiston7g@t-online.de</v>
      </c>
      <c r="D269" s="4">
        <f>IFERROR(__xludf.DUMMYFUNCTION("""COMPUTED_VALUE"""),73.0)</f>
        <v>73</v>
      </c>
      <c r="E269" s="4">
        <f>IFERROR(__xludf.DUMMYFUNCTION("""COMPUTED_VALUE"""),89.0)</f>
        <v>89</v>
      </c>
      <c r="F269" s="4">
        <f>IFERROR(__xludf.DUMMYFUNCTION("""COMPUTED_VALUE"""),8.0)</f>
        <v>8</v>
      </c>
      <c r="G269" s="4">
        <f>IFERROR(__xludf.DUMMYFUNCTION("""COMPUTED_VALUE"""),1334.0)</f>
        <v>1334</v>
      </c>
      <c r="H269" s="5">
        <f>IFERROR(__xludf.DUMMYFUNCTION("""COMPUTED_VALUE"""),4997.05)</f>
        <v>4997.05</v>
      </c>
      <c r="I269" s="5">
        <f>IFERROR(__xludf.DUMMYFUNCTION("""COMPUTED_VALUE"""),9068.24)</f>
        <v>9068.24</v>
      </c>
      <c r="J269" s="5">
        <f>IFERROR(__xludf.DUMMYFUNCTION("""COMPUTED_VALUE"""),2379.64)</f>
        <v>2379.64</v>
      </c>
      <c r="K269" s="5">
        <f>IFERROR(__xludf.DUMMYFUNCTION("""COMPUTED_VALUE"""),3510.06)</f>
        <v>3510.06</v>
      </c>
      <c r="L269" s="4">
        <f>IFERROR(__xludf.DUMMYFUNCTION("""COMPUTED_VALUE"""),1.0)</f>
        <v>1</v>
      </c>
      <c r="M269" s="4">
        <f>IFERROR(__xludf.DUMMYFUNCTION("""COMPUTED_VALUE"""),23.0)</f>
        <v>23</v>
      </c>
      <c r="N269" s="2" t="str">
        <f>IFERROR(__xludf.DUMMYFUNCTION("""COMPUTED_VALUE"""),"FALSO")</f>
        <v>FALSO</v>
      </c>
    </row>
    <row r="270">
      <c r="A270" s="2">
        <f>IFERROR(__xludf.DUMMYFUNCTION("""COMPUTED_VALUE"""),269.0)</f>
        <v>269</v>
      </c>
      <c r="B270" s="2" t="str">
        <f>IFERROR(__xludf.DUMMYFUNCTION("""COMPUTED_VALUE"""),"Domingo Dougher")</f>
        <v>Domingo Dougher</v>
      </c>
      <c r="C270" s="2" t="str">
        <f>IFERROR(__xludf.DUMMYFUNCTION("""COMPUTED_VALUE"""),"ddougher7h@nsw.gov.au")</f>
        <v>ddougher7h@nsw.gov.au</v>
      </c>
      <c r="D270" s="4">
        <f>IFERROR(__xludf.DUMMYFUNCTION("""COMPUTED_VALUE"""),37.0)</f>
        <v>37</v>
      </c>
      <c r="E270" s="4">
        <f>IFERROR(__xludf.DUMMYFUNCTION("""COMPUTED_VALUE"""),70.0)</f>
        <v>70</v>
      </c>
      <c r="F270" s="4">
        <f>IFERROR(__xludf.DUMMYFUNCTION("""COMPUTED_VALUE"""),6.0)</f>
        <v>6</v>
      </c>
      <c r="G270" s="4">
        <f>IFERROR(__xludf.DUMMYFUNCTION("""COMPUTED_VALUE"""),842.0)</f>
        <v>842</v>
      </c>
      <c r="H270" s="5">
        <f>IFERROR(__xludf.DUMMYFUNCTION("""COMPUTED_VALUE"""),6403.05)</f>
        <v>6403.05</v>
      </c>
      <c r="I270" s="5">
        <f>IFERROR(__xludf.DUMMYFUNCTION("""COMPUTED_VALUE"""),794.18)</f>
        <v>794.18</v>
      </c>
      <c r="J270" s="5">
        <f>IFERROR(__xludf.DUMMYFUNCTION("""COMPUTED_VALUE"""),1071.97)</f>
        <v>1071.97</v>
      </c>
      <c r="K270" s="5">
        <f>IFERROR(__xludf.DUMMYFUNCTION("""COMPUTED_VALUE"""),2927.9)</f>
        <v>2927.9</v>
      </c>
      <c r="L270" s="4">
        <f>IFERROR(__xludf.DUMMYFUNCTION("""COMPUTED_VALUE"""),11.0)</f>
        <v>11</v>
      </c>
      <c r="M270" s="4">
        <f>IFERROR(__xludf.DUMMYFUNCTION("""COMPUTED_VALUE"""),71.0)</f>
        <v>71</v>
      </c>
      <c r="N270" s="2" t="str">
        <f>IFERROR(__xludf.DUMMYFUNCTION("""COMPUTED_VALUE"""),"VERDADERO")</f>
        <v>VERDADERO</v>
      </c>
    </row>
    <row r="271">
      <c r="A271" s="2">
        <f>IFERROR(__xludf.DUMMYFUNCTION("""COMPUTED_VALUE"""),270.0)</f>
        <v>270</v>
      </c>
      <c r="B271" s="2" t="str">
        <f>IFERROR(__xludf.DUMMYFUNCTION("""COMPUTED_VALUE"""),"Muffin Klaas")</f>
        <v>Muffin Klaas</v>
      </c>
      <c r="C271" s="2" t="str">
        <f>IFERROR(__xludf.DUMMYFUNCTION("""COMPUTED_VALUE"""),"mklaas7i@wufoo.com")</f>
        <v>mklaas7i@wufoo.com</v>
      </c>
      <c r="D271" s="4">
        <f>IFERROR(__xludf.DUMMYFUNCTION("""COMPUTED_VALUE"""),30.0)</f>
        <v>30</v>
      </c>
      <c r="E271" s="4">
        <f>IFERROR(__xludf.DUMMYFUNCTION("""COMPUTED_VALUE"""),39.0)</f>
        <v>39</v>
      </c>
      <c r="F271" s="4">
        <f>IFERROR(__xludf.DUMMYFUNCTION("""COMPUTED_VALUE"""),11.0)</f>
        <v>11</v>
      </c>
      <c r="G271" s="4">
        <f>IFERROR(__xludf.DUMMYFUNCTION("""COMPUTED_VALUE"""),1517.0)</f>
        <v>1517</v>
      </c>
      <c r="H271" s="5">
        <f>IFERROR(__xludf.DUMMYFUNCTION("""COMPUTED_VALUE"""),4302.65)</f>
        <v>4302.65</v>
      </c>
      <c r="I271" s="5">
        <f>IFERROR(__xludf.DUMMYFUNCTION("""COMPUTED_VALUE"""),4210.11)</f>
        <v>4210.11</v>
      </c>
      <c r="J271" s="5">
        <f>IFERROR(__xludf.DUMMYFUNCTION("""COMPUTED_VALUE"""),2875.05)</f>
        <v>2875.05</v>
      </c>
      <c r="K271" s="5">
        <f>IFERROR(__xludf.DUMMYFUNCTION("""COMPUTED_VALUE"""),1233.51)</f>
        <v>1233.51</v>
      </c>
      <c r="L271" s="4">
        <f>IFERROR(__xludf.DUMMYFUNCTION("""COMPUTED_VALUE"""),17.0)</f>
        <v>17</v>
      </c>
      <c r="M271" s="4">
        <f>IFERROR(__xludf.DUMMYFUNCTION("""COMPUTED_VALUE"""),16.0)</f>
        <v>16</v>
      </c>
      <c r="N271" s="2" t="str">
        <f>IFERROR(__xludf.DUMMYFUNCTION("""COMPUTED_VALUE"""),"FALSO")</f>
        <v>FALSO</v>
      </c>
    </row>
    <row r="272">
      <c r="A272" s="2">
        <f>IFERROR(__xludf.DUMMYFUNCTION("""COMPUTED_VALUE"""),271.0)</f>
        <v>271</v>
      </c>
      <c r="B272" s="2" t="str">
        <f>IFERROR(__xludf.DUMMYFUNCTION("""COMPUTED_VALUE"""),"Blanca Weeden")</f>
        <v>Blanca Weeden</v>
      </c>
      <c r="C272" s="2" t="str">
        <f>IFERROR(__xludf.DUMMYFUNCTION("""COMPUTED_VALUE"""),"bweeden7j@xrea.com")</f>
        <v>bweeden7j@xrea.com</v>
      </c>
      <c r="D272" s="4">
        <f>IFERROR(__xludf.DUMMYFUNCTION("""COMPUTED_VALUE"""),55.0)</f>
        <v>55</v>
      </c>
      <c r="E272" s="4">
        <f>IFERROR(__xludf.DUMMYFUNCTION("""COMPUTED_VALUE"""),81.0)</f>
        <v>81</v>
      </c>
      <c r="F272" s="4">
        <f>IFERROR(__xludf.DUMMYFUNCTION("""COMPUTED_VALUE"""),2.0)</f>
        <v>2</v>
      </c>
      <c r="G272" s="4">
        <f>IFERROR(__xludf.DUMMYFUNCTION("""COMPUTED_VALUE"""),1508.0)</f>
        <v>1508</v>
      </c>
      <c r="H272" s="5">
        <f>IFERROR(__xludf.DUMMYFUNCTION("""COMPUTED_VALUE"""),5830.73)</f>
        <v>5830.73</v>
      </c>
      <c r="I272" s="5">
        <f>IFERROR(__xludf.DUMMYFUNCTION("""COMPUTED_VALUE"""),4829.43)</f>
        <v>4829.43</v>
      </c>
      <c r="J272" s="5">
        <f>IFERROR(__xludf.DUMMYFUNCTION("""COMPUTED_VALUE"""),2471.98)</f>
        <v>2471.98</v>
      </c>
      <c r="K272" s="5">
        <f>IFERROR(__xludf.DUMMYFUNCTION("""COMPUTED_VALUE"""),588.9)</f>
        <v>588.9</v>
      </c>
      <c r="L272" s="4">
        <f>IFERROR(__xludf.DUMMYFUNCTION("""COMPUTED_VALUE"""),12.0)</f>
        <v>12</v>
      </c>
      <c r="M272" s="4">
        <f>IFERROR(__xludf.DUMMYFUNCTION("""COMPUTED_VALUE"""),35.0)</f>
        <v>35</v>
      </c>
      <c r="N272" s="2" t="str">
        <f>IFERROR(__xludf.DUMMYFUNCTION("""COMPUTED_VALUE"""),"FALSO")</f>
        <v>FALSO</v>
      </c>
    </row>
    <row r="273">
      <c r="A273" s="2">
        <f>IFERROR(__xludf.DUMMYFUNCTION("""COMPUTED_VALUE"""),272.0)</f>
        <v>272</v>
      </c>
      <c r="B273" s="2" t="str">
        <f>IFERROR(__xludf.DUMMYFUNCTION("""COMPUTED_VALUE"""),"Dorine Vigars")</f>
        <v>Dorine Vigars</v>
      </c>
      <c r="C273" s="2" t="str">
        <f>IFERROR(__xludf.DUMMYFUNCTION("""COMPUTED_VALUE"""),"dvigars7k@dion.ne.jp")</f>
        <v>dvigars7k@dion.ne.jp</v>
      </c>
      <c r="D273" s="4">
        <f>IFERROR(__xludf.DUMMYFUNCTION("""COMPUTED_VALUE"""),54.0)</f>
        <v>54</v>
      </c>
      <c r="E273" s="4">
        <f>IFERROR(__xludf.DUMMYFUNCTION("""COMPUTED_VALUE"""),118.0)</f>
        <v>118</v>
      </c>
      <c r="F273" s="4">
        <f>IFERROR(__xludf.DUMMYFUNCTION("""COMPUTED_VALUE"""),9.0)</f>
        <v>9</v>
      </c>
      <c r="G273" s="4">
        <f>IFERROR(__xludf.DUMMYFUNCTION("""COMPUTED_VALUE"""),1074.0)</f>
        <v>1074</v>
      </c>
      <c r="H273" s="5">
        <f>IFERROR(__xludf.DUMMYFUNCTION("""COMPUTED_VALUE"""),5839.28)</f>
        <v>5839.28</v>
      </c>
      <c r="I273" s="5">
        <f>IFERROR(__xludf.DUMMYFUNCTION("""COMPUTED_VALUE"""),9016.17)</f>
        <v>9016.17</v>
      </c>
      <c r="J273" s="5">
        <f>IFERROR(__xludf.DUMMYFUNCTION("""COMPUTED_VALUE"""),4065.08)</f>
        <v>4065.08</v>
      </c>
      <c r="K273" s="5">
        <f>IFERROR(__xludf.DUMMYFUNCTION("""COMPUTED_VALUE"""),8811.3)</f>
        <v>8811.3</v>
      </c>
      <c r="L273" s="4">
        <f>IFERROR(__xludf.DUMMYFUNCTION("""COMPUTED_VALUE"""),1.0)</f>
        <v>1</v>
      </c>
      <c r="M273" s="4">
        <f>IFERROR(__xludf.DUMMYFUNCTION("""COMPUTED_VALUE"""),23.0)</f>
        <v>23</v>
      </c>
      <c r="N273" s="2" t="str">
        <f>IFERROR(__xludf.DUMMYFUNCTION("""COMPUTED_VALUE"""),"FALSO")</f>
        <v>FALSO</v>
      </c>
    </row>
    <row r="274">
      <c r="A274" s="2">
        <f>IFERROR(__xludf.DUMMYFUNCTION("""COMPUTED_VALUE"""),273.0)</f>
        <v>273</v>
      </c>
      <c r="B274" s="2" t="str">
        <f>IFERROR(__xludf.DUMMYFUNCTION("""COMPUTED_VALUE"""),"Vick Goult")</f>
        <v>Vick Goult</v>
      </c>
      <c r="C274" s="2" t="str">
        <f>IFERROR(__xludf.DUMMYFUNCTION("""COMPUTED_VALUE"""),"vgoult7l@blogtalkradio.com")</f>
        <v>vgoult7l@blogtalkradio.com</v>
      </c>
      <c r="D274" s="4">
        <f>IFERROR(__xludf.DUMMYFUNCTION("""COMPUTED_VALUE"""),29.0)</f>
        <v>29</v>
      </c>
      <c r="E274" s="4">
        <f>IFERROR(__xludf.DUMMYFUNCTION("""COMPUTED_VALUE"""),119.0)</f>
        <v>119</v>
      </c>
      <c r="F274" s="4">
        <f>IFERROR(__xludf.DUMMYFUNCTION("""COMPUTED_VALUE"""),1.0)</f>
        <v>1</v>
      </c>
      <c r="G274" s="4">
        <f>IFERROR(__xludf.DUMMYFUNCTION("""COMPUTED_VALUE"""),201.0)</f>
        <v>201</v>
      </c>
      <c r="H274" s="5">
        <f>IFERROR(__xludf.DUMMYFUNCTION("""COMPUTED_VALUE"""),66.89)</f>
        <v>66.89</v>
      </c>
      <c r="I274" s="5">
        <f>IFERROR(__xludf.DUMMYFUNCTION("""COMPUTED_VALUE"""),8987.26)</f>
        <v>8987.26</v>
      </c>
      <c r="J274" s="5">
        <f>IFERROR(__xludf.DUMMYFUNCTION("""COMPUTED_VALUE"""),7813.34)</f>
        <v>7813.34</v>
      </c>
      <c r="K274" s="5">
        <f>IFERROR(__xludf.DUMMYFUNCTION("""COMPUTED_VALUE"""),8002.43)</f>
        <v>8002.43</v>
      </c>
      <c r="L274" s="4">
        <f>IFERROR(__xludf.DUMMYFUNCTION("""COMPUTED_VALUE"""),19.0)</f>
        <v>19</v>
      </c>
      <c r="M274" s="4">
        <f>IFERROR(__xludf.DUMMYFUNCTION("""COMPUTED_VALUE"""),49.0)</f>
        <v>49</v>
      </c>
      <c r="N274" s="2" t="str">
        <f>IFERROR(__xludf.DUMMYFUNCTION("""COMPUTED_VALUE"""),"FALSO")</f>
        <v>FALSO</v>
      </c>
    </row>
    <row r="275">
      <c r="A275" s="2">
        <f>IFERROR(__xludf.DUMMYFUNCTION("""COMPUTED_VALUE"""),274.0)</f>
        <v>274</v>
      </c>
      <c r="B275" s="2" t="str">
        <f>IFERROR(__xludf.DUMMYFUNCTION("""COMPUTED_VALUE"""),"Hogan Pickwell")</f>
        <v>Hogan Pickwell</v>
      </c>
      <c r="C275" s="2" t="str">
        <f>IFERROR(__xludf.DUMMYFUNCTION("""COMPUTED_VALUE"""),"hpickwell7m@baidu.com")</f>
        <v>hpickwell7m@baidu.com</v>
      </c>
      <c r="D275" s="4">
        <f>IFERROR(__xludf.DUMMYFUNCTION("""COMPUTED_VALUE"""),104.0)</f>
        <v>104</v>
      </c>
      <c r="E275" s="4">
        <f>IFERROR(__xludf.DUMMYFUNCTION("""COMPUTED_VALUE"""),32.0)</f>
        <v>32</v>
      </c>
      <c r="F275" s="4">
        <f>IFERROR(__xludf.DUMMYFUNCTION("""COMPUTED_VALUE"""),10.0)</f>
        <v>10</v>
      </c>
      <c r="G275" s="4">
        <f>IFERROR(__xludf.DUMMYFUNCTION("""COMPUTED_VALUE"""),1302.0)</f>
        <v>1302</v>
      </c>
      <c r="H275" s="5">
        <f>IFERROR(__xludf.DUMMYFUNCTION("""COMPUTED_VALUE"""),3593.46)</f>
        <v>3593.46</v>
      </c>
      <c r="I275" s="5">
        <f>IFERROR(__xludf.DUMMYFUNCTION("""COMPUTED_VALUE"""),6405.5)</f>
        <v>6405.5</v>
      </c>
      <c r="J275" s="5">
        <f>IFERROR(__xludf.DUMMYFUNCTION("""COMPUTED_VALUE"""),36.35)</f>
        <v>36.35</v>
      </c>
      <c r="K275" s="5">
        <f>IFERROR(__xludf.DUMMYFUNCTION("""COMPUTED_VALUE"""),3770.11)</f>
        <v>3770.11</v>
      </c>
      <c r="L275" s="4">
        <f>IFERROR(__xludf.DUMMYFUNCTION("""COMPUTED_VALUE"""),3.0)</f>
        <v>3</v>
      </c>
      <c r="M275" s="4">
        <f>IFERROR(__xludf.DUMMYFUNCTION("""COMPUTED_VALUE"""),84.0)</f>
        <v>84</v>
      </c>
      <c r="N275" s="2" t="str">
        <f>IFERROR(__xludf.DUMMYFUNCTION("""COMPUTED_VALUE"""),"VERDADERO")</f>
        <v>VERDADERO</v>
      </c>
    </row>
    <row r="276">
      <c r="A276" s="2">
        <f>IFERROR(__xludf.DUMMYFUNCTION("""COMPUTED_VALUE"""),275.0)</f>
        <v>275</v>
      </c>
      <c r="B276" s="2" t="str">
        <f>IFERROR(__xludf.DUMMYFUNCTION("""COMPUTED_VALUE"""),"Irving Jansik")</f>
        <v>Irving Jansik</v>
      </c>
      <c r="C276" s="2" t="str">
        <f>IFERROR(__xludf.DUMMYFUNCTION("""COMPUTED_VALUE"""),"ijansik7n@wordpress.org")</f>
        <v>ijansik7n@wordpress.org</v>
      </c>
      <c r="D276" s="4">
        <f>IFERROR(__xludf.DUMMYFUNCTION("""COMPUTED_VALUE"""),29.0)</f>
        <v>29</v>
      </c>
      <c r="E276" s="4">
        <f>IFERROR(__xludf.DUMMYFUNCTION("""COMPUTED_VALUE"""),100.0)</f>
        <v>100</v>
      </c>
      <c r="F276" s="4">
        <f>IFERROR(__xludf.DUMMYFUNCTION("""COMPUTED_VALUE"""),9.0)</f>
        <v>9</v>
      </c>
      <c r="G276" s="4">
        <f>IFERROR(__xludf.DUMMYFUNCTION("""COMPUTED_VALUE"""),1353.0)</f>
        <v>1353</v>
      </c>
      <c r="H276" s="5">
        <f>IFERROR(__xludf.DUMMYFUNCTION("""COMPUTED_VALUE"""),6578.07)</f>
        <v>6578.07</v>
      </c>
      <c r="I276" s="5">
        <f>IFERROR(__xludf.DUMMYFUNCTION("""COMPUTED_VALUE"""),4239.71)</f>
        <v>4239.71</v>
      </c>
      <c r="J276" s="5">
        <f>IFERROR(__xludf.DUMMYFUNCTION("""COMPUTED_VALUE"""),3631.68)</f>
        <v>3631.68</v>
      </c>
      <c r="K276" s="5">
        <f>IFERROR(__xludf.DUMMYFUNCTION("""COMPUTED_VALUE"""),8962.17)</f>
        <v>8962.17</v>
      </c>
      <c r="L276" s="4">
        <f>IFERROR(__xludf.DUMMYFUNCTION("""COMPUTED_VALUE"""),2.0)</f>
        <v>2</v>
      </c>
      <c r="M276" s="4">
        <f>IFERROR(__xludf.DUMMYFUNCTION("""COMPUTED_VALUE"""),22.0)</f>
        <v>22</v>
      </c>
      <c r="N276" s="2" t="str">
        <f>IFERROR(__xludf.DUMMYFUNCTION("""COMPUTED_VALUE"""),"FALSO")</f>
        <v>FALSO</v>
      </c>
    </row>
    <row r="277">
      <c r="A277" s="2">
        <f>IFERROR(__xludf.DUMMYFUNCTION("""COMPUTED_VALUE"""),276.0)</f>
        <v>276</v>
      </c>
      <c r="B277" s="2" t="str">
        <f>IFERROR(__xludf.DUMMYFUNCTION("""COMPUTED_VALUE"""),"Gabbie Garrals")</f>
        <v>Gabbie Garrals</v>
      </c>
      <c r="C277" s="2" t="str">
        <f>IFERROR(__xludf.DUMMYFUNCTION("""COMPUTED_VALUE"""),"ggarrals7o@engadget.com")</f>
        <v>ggarrals7o@engadget.com</v>
      </c>
      <c r="D277" s="4">
        <f>IFERROR(__xludf.DUMMYFUNCTION("""COMPUTED_VALUE"""),119.0)</f>
        <v>119</v>
      </c>
      <c r="E277" s="4">
        <f>IFERROR(__xludf.DUMMYFUNCTION("""COMPUTED_VALUE"""),29.0)</f>
        <v>29</v>
      </c>
      <c r="F277" s="4">
        <f>IFERROR(__xludf.DUMMYFUNCTION("""COMPUTED_VALUE"""),11.0)</f>
        <v>11</v>
      </c>
      <c r="G277" s="4">
        <f>IFERROR(__xludf.DUMMYFUNCTION("""COMPUTED_VALUE"""),2.0)</f>
        <v>2</v>
      </c>
      <c r="H277" s="5">
        <f>IFERROR(__xludf.DUMMYFUNCTION("""COMPUTED_VALUE"""),1328.7)</f>
        <v>1328.7</v>
      </c>
      <c r="I277" s="5">
        <f>IFERROR(__xludf.DUMMYFUNCTION("""COMPUTED_VALUE"""),1368.08)</f>
        <v>1368.08</v>
      </c>
      <c r="J277" s="5">
        <f>IFERROR(__xludf.DUMMYFUNCTION("""COMPUTED_VALUE"""),5405.22)</f>
        <v>5405.22</v>
      </c>
      <c r="K277" s="5">
        <f>IFERROR(__xludf.DUMMYFUNCTION("""COMPUTED_VALUE"""),3281.32)</f>
        <v>3281.32</v>
      </c>
      <c r="L277" s="4">
        <f>IFERROR(__xludf.DUMMYFUNCTION("""COMPUTED_VALUE"""),4.0)</f>
        <v>4</v>
      </c>
      <c r="M277" s="4">
        <f>IFERROR(__xludf.DUMMYFUNCTION("""COMPUTED_VALUE"""),82.0)</f>
        <v>82</v>
      </c>
      <c r="N277" s="2" t="str">
        <f>IFERROR(__xludf.DUMMYFUNCTION("""COMPUTED_VALUE"""),"FALSO")</f>
        <v>FALSO</v>
      </c>
    </row>
    <row r="278">
      <c r="A278" s="2">
        <f>IFERROR(__xludf.DUMMYFUNCTION("""COMPUTED_VALUE"""),277.0)</f>
        <v>277</v>
      </c>
      <c r="B278" s="2" t="str">
        <f>IFERROR(__xludf.DUMMYFUNCTION("""COMPUTED_VALUE"""),"Norry Lucius")</f>
        <v>Norry Lucius</v>
      </c>
      <c r="C278" s="2" t="str">
        <f>IFERROR(__xludf.DUMMYFUNCTION("""COMPUTED_VALUE"""),"nlucius7p@wunderground.com")</f>
        <v>nlucius7p@wunderground.com</v>
      </c>
      <c r="D278" s="4">
        <f>IFERROR(__xludf.DUMMYFUNCTION("""COMPUTED_VALUE"""),46.0)</f>
        <v>46</v>
      </c>
      <c r="E278" s="4">
        <f>IFERROR(__xludf.DUMMYFUNCTION("""COMPUTED_VALUE"""),85.0)</f>
        <v>85</v>
      </c>
      <c r="F278" s="4">
        <f>IFERROR(__xludf.DUMMYFUNCTION("""COMPUTED_VALUE"""),3.0)</f>
        <v>3</v>
      </c>
      <c r="G278" s="4">
        <f>IFERROR(__xludf.DUMMYFUNCTION("""COMPUTED_VALUE"""),1247.0)</f>
        <v>1247</v>
      </c>
      <c r="H278" s="5">
        <f>IFERROR(__xludf.DUMMYFUNCTION("""COMPUTED_VALUE"""),3591.92)</f>
        <v>3591.92</v>
      </c>
      <c r="I278" s="5">
        <f>IFERROR(__xludf.DUMMYFUNCTION("""COMPUTED_VALUE"""),494.59)</f>
        <v>494.59</v>
      </c>
      <c r="J278" s="5">
        <f>IFERROR(__xludf.DUMMYFUNCTION("""COMPUTED_VALUE"""),5726.04)</f>
        <v>5726.04</v>
      </c>
      <c r="K278" s="5">
        <f>IFERROR(__xludf.DUMMYFUNCTION("""COMPUTED_VALUE"""),6545.19)</f>
        <v>6545.19</v>
      </c>
      <c r="L278" s="4">
        <f>IFERROR(__xludf.DUMMYFUNCTION("""COMPUTED_VALUE"""),13.0)</f>
        <v>13</v>
      </c>
      <c r="M278" s="4">
        <f>IFERROR(__xludf.DUMMYFUNCTION("""COMPUTED_VALUE"""),92.0)</f>
        <v>92</v>
      </c>
      <c r="N278" s="2" t="str">
        <f>IFERROR(__xludf.DUMMYFUNCTION("""COMPUTED_VALUE"""),"VERDADERO")</f>
        <v>VERDADERO</v>
      </c>
    </row>
    <row r="279">
      <c r="A279" s="2">
        <f>IFERROR(__xludf.DUMMYFUNCTION("""COMPUTED_VALUE"""),278.0)</f>
        <v>278</v>
      </c>
      <c r="B279" s="2" t="str">
        <f>IFERROR(__xludf.DUMMYFUNCTION("""COMPUTED_VALUE"""),"Amabel Yegorev")</f>
        <v>Amabel Yegorev</v>
      </c>
      <c r="C279" s="2" t="str">
        <f>IFERROR(__xludf.DUMMYFUNCTION("""COMPUTED_VALUE"""),"ayegorev7q@ftc.gov")</f>
        <v>ayegorev7q@ftc.gov</v>
      </c>
      <c r="D279" s="4">
        <f>IFERROR(__xludf.DUMMYFUNCTION("""COMPUTED_VALUE"""),55.0)</f>
        <v>55</v>
      </c>
      <c r="E279" s="4">
        <f>IFERROR(__xludf.DUMMYFUNCTION("""COMPUTED_VALUE"""),9.0)</f>
        <v>9</v>
      </c>
      <c r="F279" s="4">
        <f>IFERROR(__xludf.DUMMYFUNCTION("""COMPUTED_VALUE"""),10.0)</f>
        <v>10</v>
      </c>
      <c r="G279" s="4">
        <f>IFERROR(__xludf.DUMMYFUNCTION("""COMPUTED_VALUE"""),1308.0)</f>
        <v>1308</v>
      </c>
      <c r="H279" s="5">
        <f>IFERROR(__xludf.DUMMYFUNCTION("""COMPUTED_VALUE"""),5311.91)</f>
        <v>5311.91</v>
      </c>
      <c r="I279" s="5">
        <f>IFERROR(__xludf.DUMMYFUNCTION("""COMPUTED_VALUE"""),1651.54)</f>
        <v>1651.54</v>
      </c>
      <c r="J279" s="5">
        <f>IFERROR(__xludf.DUMMYFUNCTION("""COMPUTED_VALUE"""),455.04)</f>
        <v>455.04</v>
      </c>
      <c r="K279" s="5">
        <f>IFERROR(__xludf.DUMMYFUNCTION("""COMPUTED_VALUE"""),8812.47)</f>
        <v>8812.47</v>
      </c>
      <c r="L279" s="4">
        <f>IFERROR(__xludf.DUMMYFUNCTION("""COMPUTED_VALUE"""),17.0)</f>
        <v>17</v>
      </c>
      <c r="M279" s="4">
        <f>IFERROR(__xludf.DUMMYFUNCTION("""COMPUTED_VALUE"""),95.0)</f>
        <v>95</v>
      </c>
      <c r="N279" s="2" t="str">
        <f>IFERROR(__xludf.DUMMYFUNCTION("""COMPUTED_VALUE"""),"VERDADERO")</f>
        <v>VERDADERO</v>
      </c>
    </row>
    <row r="280">
      <c r="A280" s="2">
        <f>IFERROR(__xludf.DUMMYFUNCTION("""COMPUTED_VALUE"""),279.0)</f>
        <v>279</v>
      </c>
      <c r="B280" s="2" t="str">
        <f>IFERROR(__xludf.DUMMYFUNCTION("""COMPUTED_VALUE"""),"Gusella Donat")</f>
        <v>Gusella Donat</v>
      </c>
      <c r="C280" s="2" t="str">
        <f>IFERROR(__xludf.DUMMYFUNCTION("""COMPUTED_VALUE"""),"gdonat7r@tripadvisor.com")</f>
        <v>gdonat7r@tripadvisor.com</v>
      </c>
      <c r="D280" s="4">
        <f>IFERROR(__xludf.DUMMYFUNCTION("""COMPUTED_VALUE"""),153.0)</f>
        <v>153</v>
      </c>
      <c r="E280" s="4">
        <f>IFERROR(__xludf.DUMMYFUNCTION("""COMPUTED_VALUE"""),122.0)</f>
        <v>122</v>
      </c>
      <c r="F280" s="4">
        <f>IFERROR(__xludf.DUMMYFUNCTION("""COMPUTED_VALUE"""),5.0)</f>
        <v>5</v>
      </c>
      <c r="G280" s="4">
        <f>IFERROR(__xludf.DUMMYFUNCTION("""COMPUTED_VALUE"""),425.0)</f>
        <v>425</v>
      </c>
      <c r="H280" s="5">
        <f>IFERROR(__xludf.DUMMYFUNCTION("""COMPUTED_VALUE"""),1845.43)</f>
        <v>1845.43</v>
      </c>
      <c r="I280" s="5">
        <f>IFERROR(__xludf.DUMMYFUNCTION("""COMPUTED_VALUE"""),3582.8)</f>
        <v>3582.8</v>
      </c>
      <c r="J280" s="5">
        <f>IFERROR(__xludf.DUMMYFUNCTION("""COMPUTED_VALUE"""),6288.88)</f>
        <v>6288.88</v>
      </c>
      <c r="K280" s="5">
        <f>IFERROR(__xludf.DUMMYFUNCTION("""COMPUTED_VALUE"""),2008.42)</f>
        <v>2008.42</v>
      </c>
      <c r="L280" s="4">
        <f>IFERROR(__xludf.DUMMYFUNCTION("""COMPUTED_VALUE"""),1.0)</f>
        <v>1</v>
      </c>
      <c r="M280" s="4">
        <f>IFERROR(__xludf.DUMMYFUNCTION("""COMPUTED_VALUE"""),51.0)</f>
        <v>51</v>
      </c>
      <c r="N280" s="2" t="str">
        <f>IFERROR(__xludf.DUMMYFUNCTION("""COMPUTED_VALUE"""),"VERDADERO")</f>
        <v>VERDADERO</v>
      </c>
    </row>
    <row r="281">
      <c r="A281" s="2">
        <f>IFERROR(__xludf.DUMMYFUNCTION("""COMPUTED_VALUE"""),280.0)</f>
        <v>280</v>
      </c>
      <c r="B281" s="2" t="str">
        <f>IFERROR(__xludf.DUMMYFUNCTION("""COMPUTED_VALUE"""),"Rafaelita Meredyth")</f>
        <v>Rafaelita Meredyth</v>
      </c>
      <c r="C281" s="2" t="str">
        <f>IFERROR(__xludf.DUMMYFUNCTION("""COMPUTED_VALUE"""),"rmeredyth7s@facebook.com")</f>
        <v>rmeredyth7s@facebook.com</v>
      </c>
      <c r="D281" s="4">
        <f>IFERROR(__xludf.DUMMYFUNCTION("""COMPUTED_VALUE"""),29.0)</f>
        <v>29</v>
      </c>
      <c r="E281" s="4">
        <f>IFERROR(__xludf.DUMMYFUNCTION("""COMPUTED_VALUE"""),77.0)</f>
        <v>77</v>
      </c>
      <c r="F281" s="4">
        <f>IFERROR(__xludf.DUMMYFUNCTION("""COMPUTED_VALUE"""),10.0)</f>
        <v>10</v>
      </c>
      <c r="G281" s="4">
        <f>IFERROR(__xludf.DUMMYFUNCTION("""COMPUTED_VALUE"""),234.0)</f>
        <v>234</v>
      </c>
      <c r="H281" s="5">
        <f>IFERROR(__xludf.DUMMYFUNCTION("""COMPUTED_VALUE"""),7626.9)</f>
        <v>7626.9</v>
      </c>
      <c r="I281" s="5">
        <f>IFERROR(__xludf.DUMMYFUNCTION("""COMPUTED_VALUE"""),4416.31)</f>
        <v>4416.31</v>
      </c>
      <c r="J281" s="5">
        <f>IFERROR(__xludf.DUMMYFUNCTION("""COMPUTED_VALUE"""),7652.94)</f>
        <v>7652.94</v>
      </c>
      <c r="K281" s="5">
        <f>IFERROR(__xludf.DUMMYFUNCTION("""COMPUTED_VALUE"""),2256.92)</f>
        <v>2256.92</v>
      </c>
      <c r="L281" s="4">
        <f>IFERROR(__xludf.DUMMYFUNCTION("""COMPUTED_VALUE"""),6.0)</f>
        <v>6</v>
      </c>
      <c r="M281" s="4">
        <f>IFERROR(__xludf.DUMMYFUNCTION("""COMPUTED_VALUE"""),57.0)</f>
        <v>57</v>
      </c>
      <c r="N281" s="2" t="str">
        <f>IFERROR(__xludf.DUMMYFUNCTION("""COMPUTED_VALUE"""),"VERDADERO")</f>
        <v>VERDADERO</v>
      </c>
    </row>
    <row r="282">
      <c r="A282" s="2">
        <f>IFERROR(__xludf.DUMMYFUNCTION("""COMPUTED_VALUE"""),281.0)</f>
        <v>281</v>
      </c>
      <c r="B282" s="2" t="str">
        <f>IFERROR(__xludf.DUMMYFUNCTION("""COMPUTED_VALUE"""),"Maurita Innot")</f>
        <v>Maurita Innot</v>
      </c>
      <c r="C282" s="2" t="str">
        <f>IFERROR(__xludf.DUMMYFUNCTION("""COMPUTED_VALUE"""),"minnot7t@sitemeter.com")</f>
        <v>minnot7t@sitemeter.com</v>
      </c>
      <c r="D282" s="4">
        <f>IFERROR(__xludf.DUMMYFUNCTION("""COMPUTED_VALUE"""),120.0)</f>
        <v>120</v>
      </c>
      <c r="E282" s="4">
        <f>IFERROR(__xludf.DUMMYFUNCTION("""COMPUTED_VALUE"""),81.0)</f>
        <v>81</v>
      </c>
      <c r="F282" s="4">
        <f>IFERROR(__xludf.DUMMYFUNCTION("""COMPUTED_VALUE"""),2.0)</f>
        <v>2</v>
      </c>
      <c r="G282" s="4">
        <f>IFERROR(__xludf.DUMMYFUNCTION("""COMPUTED_VALUE"""),170.0)</f>
        <v>170</v>
      </c>
      <c r="H282" s="5">
        <f>IFERROR(__xludf.DUMMYFUNCTION("""COMPUTED_VALUE"""),1784.92)</f>
        <v>1784.92</v>
      </c>
      <c r="I282" s="5">
        <f>IFERROR(__xludf.DUMMYFUNCTION("""COMPUTED_VALUE"""),4693.28)</f>
        <v>4693.28</v>
      </c>
      <c r="J282" s="5">
        <f>IFERROR(__xludf.DUMMYFUNCTION("""COMPUTED_VALUE"""),228.61)</f>
        <v>228.61</v>
      </c>
      <c r="K282" s="5">
        <f>IFERROR(__xludf.DUMMYFUNCTION("""COMPUTED_VALUE"""),6716.98)</f>
        <v>6716.98</v>
      </c>
      <c r="L282" s="4">
        <f>IFERROR(__xludf.DUMMYFUNCTION("""COMPUTED_VALUE"""),11.0)</f>
        <v>11</v>
      </c>
      <c r="M282" s="4">
        <f>IFERROR(__xludf.DUMMYFUNCTION("""COMPUTED_VALUE"""),31.0)</f>
        <v>31</v>
      </c>
      <c r="N282" s="2" t="str">
        <f>IFERROR(__xludf.DUMMYFUNCTION("""COMPUTED_VALUE"""),"FALSO")</f>
        <v>FALSO</v>
      </c>
    </row>
    <row r="283">
      <c r="A283" s="2">
        <f>IFERROR(__xludf.DUMMYFUNCTION("""COMPUTED_VALUE"""),282.0)</f>
        <v>282</v>
      </c>
      <c r="B283" s="2" t="str">
        <f>IFERROR(__xludf.DUMMYFUNCTION("""COMPUTED_VALUE"""),"Saunder Buckthought")</f>
        <v>Saunder Buckthought</v>
      </c>
      <c r="C283" s="2" t="str">
        <f>IFERROR(__xludf.DUMMYFUNCTION("""COMPUTED_VALUE"""),"sbuckthought7u@hud.gov")</f>
        <v>sbuckthought7u@hud.gov</v>
      </c>
      <c r="D283" s="4">
        <f>IFERROR(__xludf.DUMMYFUNCTION("""COMPUTED_VALUE"""),120.0)</f>
        <v>120</v>
      </c>
      <c r="E283" s="4">
        <f>IFERROR(__xludf.DUMMYFUNCTION("""COMPUTED_VALUE"""),124.0)</f>
        <v>124</v>
      </c>
      <c r="F283" s="4">
        <f>IFERROR(__xludf.DUMMYFUNCTION("""COMPUTED_VALUE"""),1.0)</f>
        <v>1</v>
      </c>
      <c r="G283" s="4">
        <f>IFERROR(__xludf.DUMMYFUNCTION("""COMPUTED_VALUE"""),126.0)</f>
        <v>126</v>
      </c>
      <c r="H283" s="5">
        <f>IFERROR(__xludf.DUMMYFUNCTION("""COMPUTED_VALUE"""),6519.79)</f>
        <v>6519.79</v>
      </c>
      <c r="I283" s="5">
        <f>IFERROR(__xludf.DUMMYFUNCTION("""COMPUTED_VALUE"""),9156.29)</f>
        <v>9156.29</v>
      </c>
      <c r="J283" s="5">
        <f>IFERROR(__xludf.DUMMYFUNCTION("""COMPUTED_VALUE"""),4187.13)</f>
        <v>4187.13</v>
      </c>
      <c r="K283" s="5">
        <f>IFERROR(__xludf.DUMMYFUNCTION("""COMPUTED_VALUE"""),5565.02)</f>
        <v>5565.02</v>
      </c>
      <c r="L283" s="4">
        <f>IFERROR(__xludf.DUMMYFUNCTION("""COMPUTED_VALUE"""),12.0)</f>
        <v>12</v>
      </c>
      <c r="M283" s="4">
        <f>IFERROR(__xludf.DUMMYFUNCTION("""COMPUTED_VALUE"""),53.0)</f>
        <v>53</v>
      </c>
      <c r="N283" s="2" t="str">
        <f>IFERROR(__xludf.DUMMYFUNCTION("""COMPUTED_VALUE"""),"FALSO")</f>
        <v>FALSO</v>
      </c>
    </row>
    <row r="284">
      <c r="A284" s="2">
        <f>IFERROR(__xludf.DUMMYFUNCTION("""COMPUTED_VALUE"""),283.0)</f>
        <v>283</v>
      </c>
      <c r="B284" s="2" t="str">
        <f>IFERROR(__xludf.DUMMYFUNCTION("""COMPUTED_VALUE"""),"Hayes Healeas")</f>
        <v>Hayes Healeas</v>
      </c>
      <c r="C284" s="2" t="str">
        <f>IFERROR(__xludf.DUMMYFUNCTION("""COMPUTED_VALUE"""),"hhealeas7v@seattletimes.com")</f>
        <v>hhealeas7v@seattletimes.com</v>
      </c>
      <c r="D284" s="4">
        <f>IFERROR(__xludf.DUMMYFUNCTION("""COMPUTED_VALUE"""),150.0)</f>
        <v>150</v>
      </c>
      <c r="E284" s="4">
        <f>IFERROR(__xludf.DUMMYFUNCTION("""COMPUTED_VALUE"""),81.0)</f>
        <v>81</v>
      </c>
      <c r="F284" s="4">
        <f>IFERROR(__xludf.DUMMYFUNCTION("""COMPUTED_VALUE"""),2.0)</f>
        <v>2</v>
      </c>
      <c r="G284" s="4">
        <f>IFERROR(__xludf.DUMMYFUNCTION("""COMPUTED_VALUE"""),212.0)</f>
        <v>212</v>
      </c>
      <c r="H284" s="5">
        <f>IFERROR(__xludf.DUMMYFUNCTION("""COMPUTED_VALUE"""),3775.03)</f>
        <v>3775.03</v>
      </c>
      <c r="I284" s="5">
        <f>IFERROR(__xludf.DUMMYFUNCTION("""COMPUTED_VALUE"""),8668.84)</f>
        <v>8668.84</v>
      </c>
      <c r="J284" s="5">
        <f>IFERROR(__xludf.DUMMYFUNCTION("""COMPUTED_VALUE"""),5997.27)</f>
        <v>5997.27</v>
      </c>
      <c r="K284" s="5">
        <f>IFERROR(__xludf.DUMMYFUNCTION("""COMPUTED_VALUE"""),2651.7)</f>
        <v>2651.7</v>
      </c>
      <c r="L284" s="4">
        <f>IFERROR(__xludf.DUMMYFUNCTION("""COMPUTED_VALUE"""),5.0)</f>
        <v>5</v>
      </c>
      <c r="M284" s="4">
        <f>IFERROR(__xludf.DUMMYFUNCTION("""COMPUTED_VALUE"""),96.0)</f>
        <v>96</v>
      </c>
      <c r="N284" s="2" t="str">
        <f>IFERROR(__xludf.DUMMYFUNCTION("""COMPUTED_VALUE"""),"FALSO")</f>
        <v>FALSO</v>
      </c>
    </row>
    <row r="285">
      <c r="A285" s="2">
        <f>IFERROR(__xludf.DUMMYFUNCTION("""COMPUTED_VALUE"""),284.0)</f>
        <v>284</v>
      </c>
      <c r="B285" s="2" t="str">
        <f>IFERROR(__xludf.DUMMYFUNCTION("""COMPUTED_VALUE"""),"Tibold Fenney")</f>
        <v>Tibold Fenney</v>
      </c>
      <c r="C285" s="2" t="str">
        <f>IFERROR(__xludf.DUMMYFUNCTION("""COMPUTED_VALUE"""),"tfenney7w@archive.org")</f>
        <v>tfenney7w@archive.org</v>
      </c>
      <c r="D285" s="4">
        <f>IFERROR(__xludf.DUMMYFUNCTION("""COMPUTED_VALUE"""),104.0)</f>
        <v>104</v>
      </c>
      <c r="E285" s="4">
        <f>IFERROR(__xludf.DUMMYFUNCTION("""COMPUTED_VALUE"""),29.0)</f>
        <v>29</v>
      </c>
      <c r="F285" s="4">
        <f>IFERROR(__xludf.DUMMYFUNCTION("""COMPUTED_VALUE"""),11.0)</f>
        <v>11</v>
      </c>
      <c r="G285" s="4">
        <f>IFERROR(__xludf.DUMMYFUNCTION("""COMPUTED_VALUE"""),930.0)</f>
        <v>930</v>
      </c>
      <c r="H285" s="5">
        <f>IFERROR(__xludf.DUMMYFUNCTION("""COMPUTED_VALUE"""),1186.94)</f>
        <v>1186.94</v>
      </c>
      <c r="I285" s="5">
        <f>IFERROR(__xludf.DUMMYFUNCTION("""COMPUTED_VALUE"""),6008.17)</f>
        <v>6008.17</v>
      </c>
      <c r="J285" s="5">
        <f>IFERROR(__xludf.DUMMYFUNCTION("""COMPUTED_VALUE"""),1726.11)</f>
        <v>1726.11</v>
      </c>
      <c r="K285" s="5">
        <f>IFERROR(__xludf.DUMMYFUNCTION("""COMPUTED_VALUE"""),3536.32)</f>
        <v>3536.32</v>
      </c>
      <c r="L285" s="4">
        <f>IFERROR(__xludf.DUMMYFUNCTION("""COMPUTED_VALUE"""),18.0)</f>
        <v>18</v>
      </c>
      <c r="M285" s="4">
        <f>IFERROR(__xludf.DUMMYFUNCTION("""COMPUTED_VALUE"""),82.0)</f>
        <v>82</v>
      </c>
      <c r="N285" s="2" t="str">
        <f>IFERROR(__xludf.DUMMYFUNCTION("""COMPUTED_VALUE"""),"FALSO")</f>
        <v>FALSO</v>
      </c>
    </row>
    <row r="286">
      <c r="A286" s="2">
        <f>IFERROR(__xludf.DUMMYFUNCTION("""COMPUTED_VALUE"""),285.0)</f>
        <v>285</v>
      </c>
      <c r="B286" s="2" t="str">
        <f>IFERROR(__xludf.DUMMYFUNCTION("""COMPUTED_VALUE"""),"Genni Vooght")</f>
        <v>Genni Vooght</v>
      </c>
      <c r="C286" s="2" t="str">
        <f>IFERROR(__xludf.DUMMYFUNCTION("""COMPUTED_VALUE"""),"gvooght7x@studiopress.com")</f>
        <v>gvooght7x@studiopress.com</v>
      </c>
      <c r="D286" s="4">
        <f>IFERROR(__xludf.DUMMYFUNCTION("""COMPUTED_VALUE"""),143.0)</f>
        <v>143</v>
      </c>
      <c r="E286" s="4">
        <f>IFERROR(__xludf.DUMMYFUNCTION("""COMPUTED_VALUE"""),77.0)</f>
        <v>77</v>
      </c>
      <c r="F286" s="4">
        <f>IFERROR(__xludf.DUMMYFUNCTION("""COMPUTED_VALUE"""),10.0)</f>
        <v>10</v>
      </c>
      <c r="G286" s="4">
        <f>IFERROR(__xludf.DUMMYFUNCTION("""COMPUTED_VALUE"""),802.0)</f>
        <v>802</v>
      </c>
      <c r="H286" s="5">
        <f>IFERROR(__xludf.DUMMYFUNCTION("""COMPUTED_VALUE"""),3264.91)</f>
        <v>3264.91</v>
      </c>
      <c r="I286" s="5">
        <f>IFERROR(__xludf.DUMMYFUNCTION("""COMPUTED_VALUE"""),7319.57)</f>
        <v>7319.57</v>
      </c>
      <c r="J286" s="5">
        <f>IFERROR(__xludf.DUMMYFUNCTION("""COMPUTED_VALUE"""),9019.1)</f>
        <v>9019.1</v>
      </c>
      <c r="K286" s="5">
        <f>IFERROR(__xludf.DUMMYFUNCTION("""COMPUTED_VALUE"""),8941.04)</f>
        <v>8941.04</v>
      </c>
      <c r="L286" s="4">
        <f>IFERROR(__xludf.DUMMYFUNCTION("""COMPUTED_VALUE"""),8.0)</f>
        <v>8</v>
      </c>
      <c r="M286" s="4">
        <f>IFERROR(__xludf.DUMMYFUNCTION("""COMPUTED_VALUE"""),97.0)</f>
        <v>97</v>
      </c>
      <c r="N286" s="2" t="str">
        <f>IFERROR(__xludf.DUMMYFUNCTION("""COMPUTED_VALUE"""),"FALSO")</f>
        <v>FALSO</v>
      </c>
    </row>
    <row r="287">
      <c r="A287" s="2">
        <f>IFERROR(__xludf.DUMMYFUNCTION("""COMPUTED_VALUE"""),286.0)</f>
        <v>286</v>
      </c>
      <c r="B287" s="2" t="str">
        <f>IFERROR(__xludf.DUMMYFUNCTION("""COMPUTED_VALUE"""),"Kim Scruton")</f>
        <v>Kim Scruton</v>
      </c>
      <c r="C287" s="2" t="str">
        <f>IFERROR(__xludf.DUMMYFUNCTION("""COMPUTED_VALUE"""),"kscruton7y@macromedia.com")</f>
        <v>kscruton7y@macromedia.com</v>
      </c>
      <c r="D287" s="4">
        <f>IFERROR(__xludf.DUMMYFUNCTION("""COMPUTED_VALUE"""),35.0)</f>
        <v>35</v>
      </c>
      <c r="E287" s="4">
        <f>IFERROR(__xludf.DUMMYFUNCTION("""COMPUTED_VALUE"""),85.0)</f>
        <v>85</v>
      </c>
      <c r="F287" s="4">
        <f>IFERROR(__xludf.DUMMYFUNCTION("""COMPUTED_VALUE"""),3.0)</f>
        <v>3</v>
      </c>
      <c r="G287" s="4">
        <f>IFERROR(__xludf.DUMMYFUNCTION("""COMPUTED_VALUE"""),176.0)</f>
        <v>176</v>
      </c>
      <c r="H287" s="5">
        <f>IFERROR(__xludf.DUMMYFUNCTION("""COMPUTED_VALUE"""),7118.97)</f>
        <v>7118.97</v>
      </c>
      <c r="I287" s="5">
        <f>IFERROR(__xludf.DUMMYFUNCTION("""COMPUTED_VALUE"""),6856.7)</f>
        <v>6856.7</v>
      </c>
      <c r="J287" s="5">
        <f>IFERROR(__xludf.DUMMYFUNCTION("""COMPUTED_VALUE"""),9466.28)</f>
        <v>9466.28</v>
      </c>
      <c r="K287" s="5">
        <f>IFERROR(__xludf.DUMMYFUNCTION("""COMPUTED_VALUE"""),5608.97)</f>
        <v>5608.97</v>
      </c>
      <c r="L287" s="4">
        <f>IFERROR(__xludf.DUMMYFUNCTION("""COMPUTED_VALUE"""),15.0)</f>
        <v>15</v>
      </c>
      <c r="M287" s="4">
        <f>IFERROR(__xludf.DUMMYFUNCTION("""COMPUTED_VALUE"""),69.0)</f>
        <v>69</v>
      </c>
      <c r="N287" s="2" t="str">
        <f>IFERROR(__xludf.DUMMYFUNCTION("""COMPUTED_VALUE"""),"FALSO")</f>
        <v>FALSO</v>
      </c>
    </row>
    <row r="288">
      <c r="A288" s="2">
        <f>IFERROR(__xludf.DUMMYFUNCTION("""COMPUTED_VALUE"""),287.0)</f>
        <v>287</v>
      </c>
      <c r="B288" s="2" t="str">
        <f>IFERROR(__xludf.DUMMYFUNCTION("""COMPUTED_VALUE"""),"Karalee Spohr")</f>
        <v>Karalee Spohr</v>
      </c>
      <c r="C288" s="2" t="str">
        <f>IFERROR(__xludf.DUMMYFUNCTION("""COMPUTED_VALUE"""),"kspohr7z@de.vu")</f>
        <v>kspohr7z@de.vu</v>
      </c>
      <c r="D288" s="4">
        <f>IFERROR(__xludf.DUMMYFUNCTION("""COMPUTED_VALUE"""),122.0)</f>
        <v>122</v>
      </c>
      <c r="E288" s="4">
        <f>IFERROR(__xludf.DUMMYFUNCTION("""COMPUTED_VALUE"""),81.0)</f>
        <v>81</v>
      </c>
      <c r="F288" s="4">
        <f>IFERROR(__xludf.DUMMYFUNCTION("""COMPUTED_VALUE"""),2.0)</f>
        <v>2</v>
      </c>
      <c r="G288" s="4">
        <f>IFERROR(__xludf.DUMMYFUNCTION("""COMPUTED_VALUE"""),55.0)</f>
        <v>55</v>
      </c>
      <c r="H288" s="5">
        <f>IFERROR(__xludf.DUMMYFUNCTION("""COMPUTED_VALUE"""),4993.9)</f>
        <v>4993.9</v>
      </c>
      <c r="I288" s="5">
        <f>IFERROR(__xludf.DUMMYFUNCTION("""COMPUTED_VALUE"""),761.68)</f>
        <v>761.68</v>
      </c>
      <c r="J288" s="5">
        <f>IFERROR(__xludf.DUMMYFUNCTION("""COMPUTED_VALUE"""),9469.56)</f>
        <v>9469.56</v>
      </c>
      <c r="K288" s="5">
        <f>IFERROR(__xludf.DUMMYFUNCTION("""COMPUTED_VALUE"""),5871.48)</f>
        <v>5871.48</v>
      </c>
      <c r="L288" s="4">
        <f>IFERROR(__xludf.DUMMYFUNCTION("""COMPUTED_VALUE"""),6.0)</f>
        <v>6</v>
      </c>
      <c r="M288" s="4">
        <f>IFERROR(__xludf.DUMMYFUNCTION("""COMPUTED_VALUE"""),8.0)</f>
        <v>8</v>
      </c>
      <c r="N288" s="2" t="str">
        <f>IFERROR(__xludf.DUMMYFUNCTION("""COMPUTED_VALUE"""),"FALSO")</f>
        <v>FALSO</v>
      </c>
    </row>
    <row r="289">
      <c r="A289" s="2">
        <f>IFERROR(__xludf.DUMMYFUNCTION("""COMPUTED_VALUE"""),288.0)</f>
        <v>288</v>
      </c>
      <c r="B289" s="2" t="str">
        <f>IFERROR(__xludf.DUMMYFUNCTION("""COMPUTED_VALUE"""),"Lin Layman")</f>
        <v>Lin Layman</v>
      </c>
      <c r="C289" s="2" t="str">
        <f>IFERROR(__xludf.DUMMYFUNCTION("""COMPUTED_VALUE"""),"llayman80@techcrunch.com")</f>
        <v>llayman80@techcrunch.com</v>
      </c>
      <c r="D289" s="4">
        <f>IFERROR(__xludf.DUMMYFUNCTION("""COMPUTED_VALUE"""),150.0)</f>
        <v>150</v>
      </c>
      <c r="E289" s="4">
        <f>IFERROR(__xludf.DUMMYFUNCTION("""COMPUTED_VALUE"""),66.0)</f>
        <v>66</v>
      </c>
      <c r="F289" s="4">
        <f>IFERROR(__xludf.DUMMYFUNCTION("""COMPUTED_VALUE"""),6.0)</f>
        <v>6</v>
      </c>
      <c r="G289" s="4">
        <f>IFERROR(__xludf.DUMMYFUNCTION("""COMPUTED_VALUE"""),755.0)</f>
        <v>755</v>
      </c>
      <c r="H289" s="5">
        <f>IFERROR(__xludf.DUMMYFUNCTION("""COMPUTED_VALUE"""),5055.83)</f>
        <v>5055.83</v>
      </c>
      <c r="I289" s="5">
        <f>IFERROR(__xludf.DUMMYFUNCTION("""COMPUTED_VALUE"""),4083.4)</f>
        <v>4083.4</v>
      </c>
      <c r="J289" s="5">
        <f>IFERROR(__xludf.DUMMYFUNCTION("""COMPUTED_VALUE"""),1388.64)</f>
        <v>1388.64</v>
      </c>
      <c r="K289" s="5">
        <f>IFERROR(__xludf.DUMMYFUNCTION("""COMPUTED_VALUE"""),1862.09)</f>
        <v>1862.09</v>
      </c>
      <c r="L289" s="4">
        <f>IFERROR(__xludf.DUMMYFUNCTION("""COMPUTED_VALUE"""),7.0)</f>
        <v>7</v>
      </c>
      <c r="M289" s="4">
        <f>IFERROR(__xludf.DUMMYFUNCTION("""COMPUTED_VALUE"""),56.0)</f>
        <v>56</v>
      </c>
      <c r="N289" s="2" t="str">
        <f>IFERROR(__xludf.DUMMYFUNCTION("""COMPUTED_VALUE"""),"FALSO")</f>
        <v>FALSO</v>
      </c>
    </row>
    <row r="290">
      <c r="A290" s="2">
        <f>IFERROR(__xludf.DUMMYFUNCTION("""COMPUTED_VALUE"""),289.0)</f>
        <v>289</v>
      </c>
      <c r="B290" s="2" t="str">
        <f>IFERROR(__xludf.DUMMYFUNCTION("""COMPUTED_VALUE"""),"Gussy Pettifer")</f>
        <v>Gussy Pettifer</v>
      </c>
      <c r="C290" s="2" t="str">
        <f>IFERROR(__xludf.DUMMYFUNCTION("""COMPUTED_VALUE"""),"gpettifer81@blogs.com")</f>
        <v>gpettifer81@blogs.com</v>
      </c>
      <c r="D290" s="4">
        <f>IFERROR(__xludf.DUMMYFUNCTION("""COMPUTED_VALUE"""),120.0)</f>
        <v>120</v>
      </c>
      <c r="E290" s="4">
        <f>IFERROR(__xludf.DUMMYFUNCTION("""COMPUTED_VALUE"""),82.0)</f>
        <v>82</v>
      </c>
      <c r="F290" s="4">
        <f>IFERROR(__xludf.DUMMYFUNCTION("""COMPUTED_VALUE"""),3.0)</f>
        <v>3</v>
      </c>
      <c r="G290" s="4">
        <f>IFERROR(__xludf.DUMMYFUNCTION("""COMPUTED_VALUE"""),712.0)</f>
        <v>712</v>
      </c>
      <c r="H290" s="5">
        <f>IFERROR(__xludf.DUMMYFUNCTION("""COMPUTED_VALUE"""),714.2)</f>
        <v>714.2</v>
      </c>
      <c r="I290" s="5">
        <f>IFERROR(__xludf.DUMMYFUNCTION("""COMPUTED_VALUE"""),7449.82)</f>
        <v>7449.82</v>
      </c>
      <c r="J290" s="5">
        <f>IFERROR(__xludf.DUMMYFUNCTION("""COMPUTED_VALUE"""),2554.92)</f>
        <v>2554.92</v>
      </c>
      <c r="K290" s="5">
        <f>IFERROR(__xludf.DUMMYFUNCTION("""COMPUTED_VALUE"""),9616.39)</f>
        <v>9616.39</v>
      </c>
      <c r="L290" s="4">
        <f>IFERROR(__xludf.DUMMYFUNCTION("""COMPUTED_VALUE"""),5.0)</f>
        <v>5</v>
      </c>
      <c r="M290" s="4">
        <f>IFERROR(__xludf.DUMMYFUNCTION("""COMPUTED_VALUE"""),96.0)</f>
        <v>96</v>
      </c>
      <c r="N290" s="2" t="str">
        <f>IFERROR(__xludf.DUMMYFUNCTION("""COMPUTED_VALUE"""),"VERDADERO")</f>
        <v>VERDADERO</v>
      </c>
    </row>
    <row r="291">
      <c r="A291" s="2">
        <f>IFERROR(__xludf.DUMMYFUNCTION("""COMPUTED_VALUE"""),290.0)</f>
        <v>290</v>
      </c>
      <c r="B291" s="2" t="str">
        <f>IFERROR(__xludf.DUMMYFUNCTION("""COMPUTED_VALUE"""),"Reinaldo Winslade")</f>
        <v>Reinaldo Winslade</v>
      </c>
      <c r="C291" s="2" t="str">
        <f>IFERROR(__xludf.DUMMYFUNCTION("""COMPUTED_VALUE"""),"rwinslade82@independent.co.uk")</f>
        <v>rwinslade82@independent.co.uk</v>
      </c>
      <c r="D291" s="4">
        <f>IFERROR(__xludf.DUMMYFUNCTION("""COMPUTED_VALUE"""),108.0)</f>
        <v>108</v>
      </c>
      <c r="E291" s="4">
        <f>IFERROR(__xludf.DUMMYFUNCTION("""COMPUTED_VALUE"""),81.0)</f>
        <v>81</v>
      </c>
      <c r="F291" s="4">
        <f>IFERROR(__xludf.DUMMYFUNCTION("""COMPUTED_VALUE"""),2.0)</f>
        <v>2</v>
      </c>
      <c r="G291" s="4">
        <f>IFERROR(__xludf.DUMMYFUNCTION("""COMPUTED_VALUE"""),1577.0)</f>
        <v>1577</v>
      </c>
      <c r="H291" s="5">
        <f>IFERROR(__xludf.DUMMYFUNCTION("""COMPUTED_VALUE"""),5492.52)</f>
        <v>5492.52</v>
      </c>
      <c r="I291" s="5">
        <f>IFERROR(__xludf.DUMMYFUNCTION("""COMPUTED_VALUE"""),6220.43)</f>
        <v>6220.43</v>
      </c>
      <c r="J291" s="5">
        <f>IFERROR(__xludf.DUMMYFUNCTION("""COMPUTED_VALUE"""),9899.11)</f>
        <v>9899.11</v>
      </c>
      <c r="K291" s="5">
        <f>IFERROR(__xludf.DUMMYFUNCTION("""COMPUTED_VALUE"""),1922.14)</f>
        <v>1922.14</v>
      </c>
      <c r="L291" s="4">
        <f>IFERROR(__xludf.DUMMYFUNCTION("""COMPUTED_VALUE"""),10.0)</f>
        <v>10</v>
      </c>
      <c r="M291" s="4">
        <f>IFERROR(__xludf.DUMMYFUNCTION("""COMPUTED_VALUE"""),3.0)</f>
        <v>3</v>
      </c>
      <c r="N291" s="2" t="str">
        <f>IFERROR(__xludf.DUMMYFUNCTION("""COMPUTED_VALUE"""),"VERDADERO")</f>
        <v>VERDADERO</v>
      </c>
    </row>
    <row r="292">
      <c r="A292" s="2">
        <f>IFERROR(__xludf.DUMMYFUNCTION("""COMPUTED_VALUE"""),291.0)</f>
        <v>291</v>
      </c>
      <c r="B292" s="2" t="str">
        <f>IFERROR(__xludf.DUMMYFUNCTION("""COMPUTED_VALUE"""),"Teodor Duchesne")</f>
        <v>Teodor Duchesne</v>
      </c>
      <c r="C292" s="2" t="str">
        <f>IFERROR(__xludf.DUMMYFUNCTION("""COMPUTED_VALUE"""),"tduchesne83@mayoclinic.com")</f>
        <v>tduchesne83@mayoclinic.com</v>
      </c>
      <c r="D292" s="4">
        <f>IFERROR(__xludf.DUMMYFUNCTION("""COMPUTED_VALUE"""),150.0)</f>
        <v>150</v>
      </c>
      <c r="E292" s="4">
        <f>IFERROR(__xludf.DUMMYFUNCTION("""COMPUTED_VALUE"""),106.0)</f>
        <v>106</v>
      </c>
      <c r="F292" s="4">
        <f>IFERROR(__xludf.DUMMYFUNCTION("""COMPUTED_VALUE"""),4.0)</f>
        <v>4</v>
      </c>
      <c r="G292" s="4">
        <f>IFERROR(__xludf.DUMMYFUNCTION("""COMPUTED_VALUE"""),638.0)</f>
        <v>638</v>
      </c>
      <c r="H292" s="5">
        <f>IFERROR(__xludf.DUMMYFUNCTION("""COMPUTED_VALUE"""),7548.84)</f>
        <v>7548.84</v>
      </c>
      <c r="I292" s="5">
        <f>IFERROR(__xludf.DUMMYFUNCTION("""COMPUTED_VALUE"""),4906.82)</f>
        <v>4906.82</v>
      </c>
      <c r="J292" s="5">
        <f>IFERROR(__xludf.DUMMYFUNCTION("""COMPUTED_VALUE"""),7457.17)</f>
        <v>7457.17</v>
      </c>
      <c r="K292" s="5">
        <f>IFERROR(__xludf.DUMMYFUNCTION("""COMPUTED_VALUE"""),5805.69)</f>
        <v>5805.69</v>
      </c>
      <c r="L292" s="4">
        <f>IFERROR(__xludf.DUMMYFUNCTION("""COMPUTED_VALUE"""),13.0)</f>
        <v>13</v>
      </c>
      <c r="M292" s="4">
        <f>IFERROR(__xludf.DUMMYFUNCTION("""COMPUTED_VALUE"""),88.0)</f>
        <v>88</v>
      </c>
      <c r="N292" s="2" t="str">
        <f>IFERROR(__xludf.DUMMYFUNCTION("""COMPUTED_VALUE"""),"VERDADERO")</f>
        <v>VERDADERO</v>
      </c>
    </row>
    <row r="293">
      <c r="A293" s="2">
        <f>IFERROR(__xludf.DUMMYFUNCTION("""COMPUTED_VALUE"""),292.0)</f>
        <v>292</v>
      </c>
      <c r="B293" s="2" t="str">
        <f>IFERROR(__xludf.DUMMYFUNCTION("""COMPUTED_VALUE"""),"Jorey Farish")</f>
        <v>Jorey Farish</v>
      </c>
      <c r="C293" s="2" t="str">
        <f>IFERROR(__xludf.DUMMYFUNCTION("""COMPUTED_VALUE"""),"jfarish84@acquirethisname.com")</f>
        <v>jfarish84@acquirethisname.com</v>
      </c>
      <c r="D293" s="4">
        <f>IFERROR(__xludf.DUMMYFUNCTION("""COMPUTED_VALUE"""),5.0)</f>
        <v>5</v>
      </c>
      <c r="E293" s="4">
        <f>IFERROR(__xludf.DUMMYFUNCTION("""COMPUTED_VALUE"""),81.0)</f>
        <v>81</v>
      </c>
      <c r="F293" s="4">
        <f>IFERROR(__xludf.DUMMYFUNCTION("""COMPUTED_VALUE"""),2.0)</f>
        <v>2</v>
      </c>
      <c r="G293" s="4">
        <f>IFERROR(__xludf.DUMMYFUNCTION("""COMPUTED_VALUE"""),615.0)</f>
        <v>615</v>
      </c>
      <c r="H293" s="5">
        <f>IFERROR(__xludf.DUMMYFUNCTION("""COMPUTED_VALUE"""),891.48)</f>
        <v>891.48</v>
      </c>
      <c r="I293" s="5">
        <f>IFERROR(__xludf.DUMMYFUNCTION("""COMPUTED_VALUE"""),3964.51)</f>
        <v>3964.51</v>
      </c>
      <c r="J293" s="5">
        <f>IFERROR(__xludf.DUMMYFUNCTION("""COMPUTED_VALUE"""),928.04)</f>
        <v>928.04</v>
      </c>
      <c r="K293" s="5">
        <f>IFERROR(__xludf.DUMMYFUNCTION("""COMPUTED_VALUE"""),6487.77)</f>
        <v>6487.77</v>
      </c>
      <c r="L293" s="4">
        <f>IFERROR(__xludf.DUMMYFUNCTION("""COMPUTED_VALUE"""),13.0)</f>
        <v>13</v>
      </c>
      <c r="M293" s="4">
        <f>IFERROR(__xludf.DUMMYFUNCTION("""COMPUTED_VALUE"""),67.0)</f>
        <v>67</v>
      </c>
      <c r="N293" s="2" t="str">
        <f>IFERROR(__xludf.DUMMYFUNCTION("""COMPUTED_VALUE"""),"FALSO")</f>
        <v>FALSO</v>
      </c>
    </row>
    <row r="294">
      <c r="A294" s="2">
        <f>IFERROR(__xludf.DUMMYFUNCTION("""COMPUTED_VALUE"""),293.0)</f>
        <v>293</v>
      </c>
      <c r="B294" s="2" t="str">
        <f>IFERROR(__xludf.DUMMYFUNCTION("""COMPUTED_VALUE"""),"Willabella Oxton")</f>
        <v>Willabella Oxton</v>
      </c>
      <c r="C294" s="2" t="str">
        <f>IFERROR(__xludf.DUMMYFUNCTION("""COMPUTED_VALUE"""),"woxton85@hostgator.com")</f>
        <v>woxton85@hostgator.com</v>
      </c>
      <c r="D294" s="4">
        <f>IFERROR(__xludf.DUMMYFUNCTION("""COMPUTED_VALUE"""),124.0)</f>
        <v>124</v>
      </c>
      <c r="E294" s="4">
        <f>IFERROR(__xludf.DUMMYFUNCTION("""COMPUTED_VALUE"""),73.0)</f>
        <v>73</v>
      </c>
      <c r="F294" s="4">
        <f>IFERROR(__xludf.DUMMYFUNCTION("""COMPUTED_VALUE"""),8.0)</f>
        <v>8</v>
      </c>
      <c r="G294" s="4">
        <f>IFERROR(__xludf.DUMMYFUNCTION("""COMPUTED_VALUE"""),646.0)</f>
        <v>646</v>
      </c>
      <c r="H294" s="5">
        <f>IFERROR(__xludf.DUMMYFUNCTION("""COMPUTED_VALUE"""),7659.03)</f>
        <v>7659.03</v>
      </c>
      <c r="I294" s="5">
        <f>IFERROR(__xludf.DUMMYFUNCTION("""COMPUTED_VALUE"""),5514.85)</f>
        <v>5514.85</v>
      </c>
      <c r="J294" s="5">
        <f>IFERROR(__xludf.DUMMYFUNCTION("""COMPUTED_VALUE"""),9850.9)</f>
        <v>9850.9</v>
      </c>
      <c r="K294" s="5">
        <f>IFERROR(__xludf.DUMMYFUNCTION("""COMPUTED_VALUE"""),893.71)</f>
        <v>893.71</v>
      </c>
      <c r="L294" s="4">
        <f>IFERROR(__xludf.DUMMYFUNCTION("""COMPUTED_VALUE"""),20.0)</f>
        <v>20</v>
      </c>
      <c r="M294" s="4">
        <f>IFERROR(__xludf.DUMMYFUNCTION("""COMPUTED_VALUE"""),12.0)</f>
        <v>12</v>
      </c>
      <c r="N294" s="2" t="str">
        <f>IFERROR(__xludf.DUMMYFUNCTION("""COMPUTED_VALUE"""),"FALSO")</f>
        <v>FALSO</v>
      </c>
    </row>
    <row r="295">
      <c r="A295" s="2">
        <f>IFERROR(__xludf.DUMMYFUNCTION("""COMPUTED_VALUE"""),294.0)</f>
        <v>294</v>
      </c>
      <c r="B295" s="2" t="str">
        <f>IFERROR(__xludf.DUMMYFUNCTION("""COMPUTED_VALUE"""),"Araldo Gregore")</f>
        <v>Araldo Gregore</v>
      </c>
      <c r="C295" s="2" t="str">
        <f>IFERROR(__xludf.DUMMYFUNCTION("""COMPUTED_VALUE"""),"agregore86@php.net")</f>
        <v>agregore86@php.net</v>
      </c>
      <c r="D295" s="4">
        <f>IFERROR(__xludf.DUMMYFUNCTION("""COMPUTED_VALUE"""),124.0)</f>
        <v>124</v>
      </c>
      <c r="E295" s="4">
        <f>IFERROR(__xludf.DUMMYFUNCTION("""COMPUTED_VALUE"""),84.0)</f>
        <v>84</v>
      </c>
      <c r="F295" s="4">
        <f>IFERROR(__xludf.DUMMYFUNCTION("""COMPUTED_VALUE"""),12.0)</f>
        <v>12</v>
      </c>
      <c r="G295" s="4">
        <f>IFERROR(__xludf.DUMMYFUNCTION("""COMPUTED_VALUE"""),1479.0)</f>
        <v>1479</v>
      </c>
      <c r="H295" s="5">
        <f>IFERROR(__xludf.DUMMYFUNCTION("""COMPUTED_VALUE"""),6663.71)</f>
        <v>6663.71</v>
      </c>
      <c r="I295" s="5">
        <f>IFERROR(__xludf.DUMMYFUNCTION("""COMPUTED_VALUE"""),8988.31)</f>
        <v>8988.31</v>
      </c>
      <c r="J295" s="5">
        <f>IFERROR(__xludf.DUMMYFUNCTION("""COMPUTED_VALUE"""),8977.41)</f>
        <v>8977.41</v>
      </c>
      <c r="K295" s="5">
        <f>IFERROR(__xludf.DUMMYFUNCTION("""COMPUTED_VALUE"""),7624.9)</f>
        <v>7624.9</v>
      </c>
      <c r="L295" s="4">
        <f>IFERROR(__xludf.DUMMYFUNCTION("""COMPUTED_VALUE"""),1.0)</f>
        <v>1</v>
      </c>
      <c r="M295" s="4">
        <f>IFERROR(__xludf.DUMMYFUNCTION("""COMPUTED_VALUE"""),30.0)</f>
        <v>30</v>
      </c>
      <c r="N295" s="2" t="str">
        <f>IFERROR(__xludf.DUMMYFUNCTION("""COMPUTED_VALUE"""),"FALSO")</f>
        <v>FALSO</v>
      </c>
    </row>
    <row r="296">
      <c r="A296" s="2">
        <f>IFERROR(__xludf.DUMMYFUNCTION("""COMPUTED_VALUE"""),295.0)</f>
        <v>295</v>
      </c>
      <c r="B296" s="2" t="str">
        <f>IFERROR(__xludf.DUMMYFUNCTION("""COMPUTED_VALUE"""),"Ninette Clutton")</f>
        <v>Ninette Clutton</v>
      </c>
      <c r="C296" s="2" t="str">
        <f>IFERROR(__xludf.DUMMYFUNCTION("""COMPUTED_VALUE"""),"nclutton87@google.it")</f>
        <v>nclutton87@google.it</v>
      </c>
      <c r="D296" s="4">
        <f>IFERROR(__xludf.DUMMYFUNCTION("""COMPUTED_VALUE"""),122.0)</f>
        <v>122</v>
      </c>
      <c r="E296" s="4">
        <f>IFERROR(__xludf.DUMMYFUNCTION("""COMPUTED_VALUE"""),31.0)</f>
        <v>31</v>
      </c>
      <c r="F296" s="4">
        <f>IFERROR(__xludf.DUMMYFUNCTION("""COMPUTED_VALUE"""),8.0)</f>
        <v>8</v>
      </c>
      <c r="G296" s="4">
        <f>IFERROR(__xludf.DUMMYFUNCTION("""COMPUTED_VALUE"""),1535.0)</f>
        <v>1535</v>
      </c>
      <c r="H296" s="5">
        <f>IFERROR(__xludf.DUMMYFUNCTION("""COMPUTED_VALUE"""),5391.49)</f>
        <v>5391.49</v>
      </c>
      <c r="I296" s="5">
        <f>IFERROR(__xludf.DUMMYFUNCTION("""COMPUTED_VALUE"""),2631.15)</f>
        <v>2631.15</v>
      </c>
      <c r="J296" s="5">
        <f>IFERROR(__xludf.DUMMYFUNCTION("""COMPUTED_VALUE"""),9801.04)</f>
        <v>9801.04</v>
      </c>
      <c r="K296" s="5">
        <f>IFERROR(__xludf.DUMMYFUNCTION("""COMPUTED_VALUE"""),8545.71)</f>
        <v>8545.71</v>
      </c>
      <c r="L296" s="4">
        <f>IFERROR(__xludf.DUMMYFUNCTION("""COMPUTED_VALUE"""),16.0)</f>
        <v>16</v>
      </c>
      <c r="M296" s="4">
        <f>IFERROR(__xludf.DUMMYFUNCTION("""COMPUTED_VALUE"""),1.0)</f>
        <v>1</v>
      </c>
      <c r="N296" s="2" t="str">
        <f>IFERROR(__xludf.DUMMYFUNCTION("""COMPUTED_VALUE"""),"FALSO")</f>
        <v>FALSO</v>
      </c>
    </row>
    <row r="297">
      <c r="A297" s="2">
        <f>IFERROR(__xludf.DUMMYFUNCTION("""COMPUTED_VALUE"""),296.0)</f>
        <v>296</v>
      </c>
      <c r="B297" s="2" t="str">
        <f>IFERROR(__xludf.DUMMYFUNCTION("""COMPUTED_VALUE"""),"Karmen Kenlin")</f>
        <v>Karmen Kenlin</v>
      </c>
      <c r="C297" s="2" t="str">
        <f>IFERROR(__xludf.DUMMYFUNCTION("""COMPUTED_VALUE"""),"kkenlin88@utexas.edu")</f>
        <v>kkenlin88@utexas.edu</v>
      </c>
      <c r="D297" s="4">
        <f>IFERROR(__xludf.DUMMYFUNCTION("""COMPUTED_VALUE"""),29.0)</f>
        <v>29</v>
      </c>
      <c r="E297" s="4">
        <f>IFERROR(__xludf.DUMMYFUNCTION("""COMPUTED_VALUE"""),107.0)</f>
        <v>107</v>
      </c>
      <c r="F297" s="4">
        <f>IFERROR(__xludf.DUMMYFUNCTION("""COMPUTED_VALUE"""),5.0)</f>
        <v>5</v>
      </c>
      <c r="G297" s="4">
        <f>IFERROR(__xludf.DUMMYFUNCTION("""COMPUTED_VALUE"""),887.0)</f>
        <v>887</v>
      </c>
      <c r="H297" s="5">
        <f>IFERROR(__xludf.DUMMYFUNCTION("""COMPUTED_VALUE"""),4301.54)</f>
        <v>4301.54</v>
      </c>
      <c r="I297" s="5">
        <f>IFERROR(__xludf.DUMMYFUNCTION("""COMPUTED_VALUE"""),9588.31)</f>
        <v>9588.31</v>
      </c>
      <c r="J297" s="5">
        <f>IFERROR(__xludf.DUMMYFUNCTION("""COMPUTED_VALUE"""),1785.58)</f>
        <v>1785.58</v>
      </c>
      <c r="K297" s="5">
        <f>IFERROR(__xludf.DUMMYFUNCTION("""COMPUTED_VALUE"""),1553.81)</f>
        <v>1553.81</v>
      </c>
      <c r="L297" s="4">
        <f>IFERROR(__xludf.DUMMYFUNCTION("""COMPUTED_VALUE"""),4.0)</f>
        <v>4</v>
      </c>
      <c r="M297" s="4">
        <f>IFERROR(__xludf.DUMMYFUNCTION("""COMPUTED_VALUE"""),84.0)</f>
        <v>84</v>
      </c>
      <c r="N297" s="2" t="str">
        <f>IFERROR(__xludf.DUMMYFUNCTION("""COMPUTED_VALUE"""),"VERDADERO")</f>
        <v>VERDADERO</v>
      </c>
    </row>
    <row r="298">
      <c r="A298" s="2">
        <f>IFERROR(__xludf.DUMMYFUNCTION("""COMPUTED_VALUE"""),297.0)</f>
        <v>297</v>
      </c>
      <c r="B298" s="2" t="str">
        <f>IFERROR(__xludf.DUMMYFUNCTION("""COMPUTED_VALUE"""),"Corissa Jeal")</f>
        <v>Corissa Jeal</v>
      </c>
      <c r="C298" s="2" t="str">
        <f>IFERROR(__xludf.DUMMYFUNCTION("""COMPUTED_VALUE"""),"cjeal89@linkedin.com")</f>
        <v>cjeal89@linkedin.com</v>
      </c>
      <c r="D298" s="4">
        <f>IFERROR(__xludf.DUMMYFUNCTION("""COMPUTED_VALUE"""),11.0)</f>
        <v>11</v>
      </c>
      <c r="E298" s="4">
        <f>IFERROR(__xludf.DUMMYFUNCTION("""COMPUTED_VALUE"""),107.0)</f>
        <v>107</v>
      </c>
      <c r="F298" s="4">
        <f>IFERROR(__xludf.DUMMYFUNCTION("""COMPUTED_VALUE"""),5.0)</f>
        <v>5</v>
      </c>
      <c r="G298" s="4">
        <f>IFERROR(__xludf.DUMMYFUNCTION("""COMPUTED_VALUE"""),390.0)</f>
        <v>390</v>
      </c>
      <c r="H298" s="5">
        <f>IFERROR(__xludf.DUMMYFUNCTION("""COMPUTED_VALUE"""),3996.62)</f>
        <v>3996.62</v>
      </c>
      <c r="I298" s="5">
        <f>IFERROR(__xludf.DUMMYFUNCTION("""COMPUTED_VALUE"""),209.46)</f>
        <v>209.46</v>
      </c>
      <c r="J298" s="5">
        <f>IFERROR(__xludf.DUMMYFUNCTION("""COMPUTED_VALUE"""),1776.79)</f>
        <v>1776.79</v>
      </c>
      <c r="K298" s="5">
        <f>IFERROR(__xludf.DUMMYFUNCTION("""COMPUTED_VALUE"""),9577.14)</f>
        <v>9577.14</v>
      </c>
      <c r="L298" s="4">
        <f>IFERROR(__xludf.DUMMYFUNCTION("""COMPUTED_VALUE"""),17.0)</f>
        <v>17</v>
      </c>
      <c r="M298" s="4">
        <f>IFERROR(__xludf.DUMMYFUNCTION("""COMPUTED_VALUE"""),48.0)</f>
        <v>48</v>
      </c>
      <c r="N298" s="2" t="str">
        <f>IFERROR(__xludf.DUMMYFUNCTION("""COMPUTED_VALUE"""),"FALSO")</f>
        <v>FALSO</v>
      </c>
    </row>
    <row r="299">
      <c r="A299" s="2">
        <f>IFERROR(__xludf.DUMMYFUNCTION("""COMPUTED_VALUE"""),298.0)</f>
        <v>298</v>
      </c>
      <c r="B299" s="2" t="str">
        <f>IFERROR(__xludf.DUMMYFUNCTION("""COMPUTED_VALUE"""),"Florance Nore")</f>
        <v>Florance Nore</v>
      </c>
      <c r="C299" s="2" t="str">
        <f>IFERROR(__xludf.DUMMYFUNCTION("""COMPUTED_VALUE"""),"fnore8a@booking.com")</f>
        <v>fnore8a@booking.com</v>
      </c>
      <c r="D299" s="4">
        <f>IFERROR(__xludf.DUMMYFUNCTION("""COMPUTED_VALUE"""),12.0)</f>
        <v>12</v>
      </c>
      <c r="E299" s="4">
        <f>IFERROR(__xludf.DUMMYFUNCTION("""COMPUTED_VALUE"""),29.0)</f>
        <v>29</v>
      </c>
      <c r="F299" s="4">
        <f>IFERROR(__xludf.DUMMYFUNCTION("""COMPUTED_VALUE"""),11.0)</f>
        <v>11</v>
      </c>
      <c r="G299" s="4">
        <f>IFERROR(__xludf.DUMMYFUNCTION("""COMPUTED_VALUE"""),976.0)</f>
        <v>976</v>
      </c>
      <c r="H299" s="5">
        <f>IFERROR(__xludf.DUMMYFUNCTION("""COMPUTED_VALUE"""),2920.63)</f>
        <v>2920.63</v>
      </c>
      <c r="I299" s="5">
        <f>IFERROR(__xludf.DUMMYFUNCTION("""COMPUTED_VALUE"""),5401.94)</f>
        <v>5401.94</v>
      </c>
      <c r="J299" s="5">
        <f>IFERROR(__xludf.DUMMYFUNCTION("""COMPUTED_VALUE"""),9465.51)</f>
        <v>9465.51</v>
      </c>
      <c r="K299" s="5">
        <f>IFERROR(__xludf.DUMMYFUNCTION("""COMPUTED_VALUE"""),8837.41)</f>
        <v>8837.41</v>
      </c>
      <c r="L299" s="4">
        <f>IFERROR(__xludf.DUMMYFUNCTION("""COMPUTED_VALUE"""),13.0)</f>
        <v>13</v>
      </c>
      <c r="M299" s="4">
        <f>IFERROR(__xludf.DUMMYFUNCTION("""COMPUTED_VALUE"""),78.0)</f>
        <v>78</v>
      </c>
      <c r="N299" s="2" t="str">
        <f>IFERROR(__xludf.DUMMYFUNCTION("""COMPUTED_VALUE"""),"VERDADERO")</f>
        <v>VERDADERO</v>
      </c>
    </row>
    <row r="300">
      <c r="A300" s="2">
        <f>IFERROR(__xludf.DUMMYFUNCTION("""COMPUTED_VALUE"""),299.0)</f>
        <v>299</v>
      </c>
      <c r="B300" s="2" t="str">
        <f>IFERROR(__xludf.DUMMYFUNCTION("""COMPUTED_VALUE"""),"Ettie Chavey")</f>
        <v>Ettie Chavey</v>
      </c>
      <c r="C300" s="2" t="str">
        <f>IFERROR(__xludf.DUMMYFUNCTION("""COMPUTED_VALUE"""),"echavey8b@moonfruit.com")</f>
        <v>echavey8b@moonfruit.com</v>
      </c>
      <c r="D300" s="4">
        <f>IFERROR(__xludf.DUMMYFUNCTION("""COMPUTED_VALUE"""),30.0)</f>
        <v>30</v>
      </c>
      <c r="E300" s="4">
        <f>IFERROR(__xludf.DUMMYFUNCTION("""COMPUTED_VALUE"""),81.0)</f>
        <v>81</v>
      </c>
      <c r="F300" s="4">
        <f>IFERROR(__xludf.DUMMYFUNCTION("""COMPUTED_VALUE"""),2.0)</f>
        <v>2</v>
      </c>
      <c r="G300" s="4">
        <f>IFERROR(__xludf.DUMMYFUNCTION("""COMPUTED_VALUE"""),1035.0)</f>
        <v>1035</v>
      </c>
      <c r="H300" s="5">
        <f>IFERROR(__xludf.DUMMYFUNCTION("""COMPUTED_VALUE"""),7806.64)</f>
        <v>7806.64</v>
      </c>
      <c r="I300" s="5">
        <f>IFERROR(__xludf.DUMMYFUNCTION("""COMPUTED_VALUE"""),9181.36)</f>
        <v>9181.36</v>
      </c>
      <c r="J300" s="5">
        <f>IFERROR(__xludf.DUMMYFUNCTION("""COMPUTED_VALUE"""),8762.05)</f>
        <v>8762.05</v>
      </c>
      <c r="K300" s="5">
        <f>IFERROR(__xludf.DUMMYFUNCTION("""COMPUTED_VALUE"""),8376.05)</f>
        <v>8376.05</v>
      </c>
      <c r="L300" s="4">
        <f>IFERROR(__xludf.DUMMYFUNCTION("""COMPUTED_VALUE"""),6.0)</f>
        <v>6</v>
      </c>
      <c r="M300" s="4">
        <f>IFERROR(__xludf.DUMMYFUNCTION("""COMPUTED_VALUE"""),88.0)</f>
        <v>88</v>
      </c>
      <c r="N300" s="2" t="str">
        <f>IFERROR(__xludf.DUMMYFUNCTION("""COMPUTED_VALUE"""),"FALSO")</f>
        <v>FALSO</v>
      </c>
    </row>
    <row r="301">
      <c r="A301" s="2">
        <f>IFERROR(__xludf.DUMMYFUNCTION("""COMPUTED_VALUE"""),300.0)</f>
        <v>300</v>
      </c>
      <c r="B301" s="2" t="str">
        <f>IFERROR(__xludf.DUMMYFUNCTION("""COMPUTED_VALUE"""),"Sloane Crawforth")</f>
        <v>Sloane Crawforth</v>
      </c>
      <c r="C301" s="2" t="str">
        <f>IFERROR(__xludf.DUMMYFUNCTION("""COMPUTED_VALUE"""),"scrawforth8c@google.com")</f>
        <v>scrawforth8c@google.com</v>
      </c>
      <c r="D301" s="4">
        <f>IFERROR(__xludf.DUMMYFUNCTION("""COMPUTED_VALUE"""),109.0)</f>
        <v>109</v>
      </c>
      <c r="E301" s="4">
        <f>IFERROR(__xludf.DUMMYFUNCTION("""COMPUTED_VALUE"""),64.0)</f>
        <v>64</v>
      </c>
      <c r="F301" s="4">
        <f>IFERROR(__xludf.DUMMYFUNCTION("""COMPUTED_VALUE"""),4.0)</f>
        <v>4</v>
      </c>
      <c r="G301" s="4">
        <f>IFERROR(__xludf.DUMMYFUNCTION("""COMPUTED_VALUE"""),469.0)</f>
        <v>469</v>
      </c>
      <c r="H301" s="5">
        <f>IFERROR(__xludf.DUMMYFUNCTION("""COMPUTED_VALUE"""),5040.55)</f>
        <v>5040.55</v>
      </c>
      <c r="I301" s="5">
        <f>IFERROR(__xludf.DUMMYFUNCTION("""COMPUTED_VALUE"""),7904.93)</f>
        <v>7904.93</v>
      </c>
      <c r="J301" s="5">
        <f>IFERROR(__xludf.DUMMYFUNCTION("""COMPUTED_VALUE"""),9031.17)</f>
        <v>9031.17</v>
      </c>
      <c r="K301" s="5">
        <f>IFERROR(__xludf.DUMMYFUNCTION("""COMPUTED_VALUE"""),8939.44)</f>
        <v>8939.44</v>
      </c>
      <c r="L301" s="4">
        <f>IFERROR(__xludf.DUMMYFUNCTION("""COMPUTED_VALUE"""),17.0)</f>
        <v>17</v>
      </c>
      <c r="M301" s="4">
        <f>IFERROR(__xludf.DUMMYFUNCTION("""COMPUTED_VALUE"""),81.0)</f>
        <v>81</v>
      </c>
      <c r="N301" s="2" t="str">
        <f>IFERROR(__xludf.DUMMYFUNCTION("""COMPUTED_VALUE"""),"VERDADERO")</f>
        <v>VERDADERO</v>
      </c>
    </row>
    <row r="302">
      <c r="A302" s="2">
        <f>IFERROR(__xludf.DUMMYFUNCTION("""COMPUTED_VALUE"""),301.0)</f>
        <v>301</v>
      </c>
      <c r="B302" s="2" t="str">
        <f>IFERROR(__xludf.DUMMYFUNCTION("""COMPUTED_VALUE"""),"Bobbi Cheney")</f>
        <v>Bobbi Cheney</v>
      </c>
      <c r="C302" s="2" t="str">
        <f>IFERROR(__xludf.DUMMYFUNCTION("""COMPUTED_VALUE"""),"bcheney8d@delicious.com")</f>
        <v>bcheney8d@delicious.com</v>
      </c>
      <c r="D302" s="4">
        <f>IFERROR(__xludf.DUMMYFUNCTION("""COMPUTED_VALUE"""),119.0)</f>
        <v>119</v>
      </c>
      <c r="E302" s="4">
        <f>IFERROR(__xludf.DUMMYFUNCTION("""COMPUTED_VALUE"""),85.0)</f>
        <v>85</v>
      </c>
      <c r="F302" s="4">
        <f>IFERROR(__xludf.DUMMYFUNCTION("""COMPUTED_VALUE"""),3.0)</f>
        <v>3</v>
      </c>
      <c r="G302" s="4">
        <f>IFERROR(__xludf.DUMMYFUNCTION("""COMPUTED_VALUE"""),1098.0)</f>
        <v>1098</v>
      </c>
      <c r="H302" s="5">
        <f>IFERROR(__xludf.DUMMYFUNCTION("""COMPUTED_VALUE"""),7729.93)</f>
        <v>7729.93</v>
      </c>
      <c r="I302" s="5">
        <f>IFERROR(__xludf.DUMMYFUNCTION("""COMPUTED_VALUE"""),4942.83)</f>
        <v>4942.83</v>
      </c>
      <c r="J302" s="5">
        <f>IFERROR(__xludf.DUMMYFUNCTION("""COMPUTED_VALUE"""),6281.48)</f>
        <v>6281.48</v>
      </c>
      <c r="K302" s="5">
        <f>IFERROR(__xludf.DUMMYFUNCTION("""COMPUTED_VALUE"""),3151.39)</f>
        <v>3151.39</v>
      </c>
      <c r="L302" s="4">
        <f>IFERROR(__xludf.DUMMYFUNCTION("""COMPUTED_VALUE"""),18.0)</f>
        <v>18</v>
      </c>
      <c r="M302" s="4">
        <f>IFERROR(__xludf.DUMMYFUNCTION("""COMPUTED_VALUE"""),17.0)</f>
        <v>17</v>
      </c>
      <c r="N302" s="2" t="str">
        <f>IFERROR(__xludf.DUMMYFUNCTION("""COMPUTED_VALUE"""),"VERDADERO")</f>
        <v>VERDADERO</v>
      </c>
    </row>
    <row r="303">
      <c r="A303" s="2">
        <f>IFERROR(__xludf.DUMMYFUNCTION("""COMPUTED_VALUE"""),302.0)</f>
        <v>302</v>
      </c>
      <c r="B303" s="2" t="str">
        <f>IFERROR(__xludf.DUMMYFUNCTION("""COMPUTED_VALUE"""),"Quinton Teesdale")</f>
        <v>Quinton Teesdale</v>
      </c>
      <c r="C303" s="2" t="str">
        <f>IFERROR(__xludf.DUMMYFUNCTION("""COMPUTED_VALUE"""),"qteesdale8e@goo.ne.jp")</f>
        <v>qteesdale8e@goo.ne.jp</v>
      </c>
      <c r="D303" s="4">
        <f>IFERROR(__xludf.DUMMYFUNCTION("""COMPUTED_VALUE"""),118.0)</f>
        <v>118</v>
      </c>
      <c r="E303" s="4">
        <f>IFERROR(__xludf.DUMMYFUNCTION("""COMPUTED_VALUE"""),119.0)</f>
        <v>119</v>
      </c>
      <c r="F303" s="4">
        <f>IFERROR(__xludf.DUMMYFUNCTION("""COMPUTED_VALUE"""),5.0)</f>
        <v>5</v>
      </c>
      <c r="G303" s="4">
        <f>IFERROR(__xludf.DUMMYFUNCTION("""COMPUTED_VALUE"""),1229.0)</f>
        <v>1229</v>
      </c>
      <c r="H303" s="5">
        <f>IFERROR(__xludf.DUMMYFUNCTION("""COMPUTED_VALUE"""),6910.26)</f>
        <v>6910.26</v>
      </c>
      <c r="I303" s="5">
        <f>IFERROR(__xludf.DUMMYFUNCTION("""COMPUTED_VALUE"""),5812.27)</f>
        <v>5812.27</v>
      </c>
      <c r="J303" s="5">
        <f>IFERROR(__xludf.DUMMYFUNCTION("""COMPUTED_VALUE"""),2445.3)</f>
        <v>2445.3</v>
      </c>
      <c r="K303" s="5">
        <f>IFERROR(__xludf.DUMMYFUNCTION("""COMPUTED_VALUE"""),6917.04)</f>
        <v>6917.04</v>
      </c>
      <c r="L303" s="4">
        <f>IFERROR(__xludf.DUMMYFUNCTION("""COMPUTED_VALUE"""),12.0)</f>
        <v>12</v>
      </c>
      <c r="M303" s="4">
        <f>IFERROR(__xludf.DUMMYFUNCTION("""COMPUTED_VALUE"""),34.0)</f>
        <v>34</v>
      </c>
      <c r="N303" s="2" t="str">
        <f>IFERROR(__xludf.DUMMYFUNCTION("""COMPUTED_VALUE"""),"FALSO")</f>
        <v>FALSO</v>
      </c>
    </row>
    <row r="304">
      <c r="A304" s="2">
        <f>IFERROR(__xludf.DUMMYFUNCTION("""COMPUTED_VALUE"""),303.0)</f>
        <v>303</v>
      </c>
      <c r="B304" s="2" t="str">
        <f>IFERROR(__xludf.DUMMYFUNCTION("""COMPUTED_VALUE"""),"Milton Briance")</f>
        <v>Milton Briance</v>
      </c>
      <c r="C304" s="2" t="str">
        <f>IFERROR(__xludf.DUMMYFUNCTION("""COMPUTED_VALUE"""),"mbriance8f@tripadvisor.com")</f>
        <v>mbriance8f@tripadvisor.com</v>
      </c>
      <c r="D304" s="4">
        <f>IFERROR(__xludf.DUMMYFUNCTION("""COMPUTED_VALUE"""),54.0)</f>
        <v>54</v>
      </c>
      <c r="E304" s="4">
        <f>IFERROR(__xludf.DUMMYFUNCTION("""COMPUTED_VALUE"""),23.0)</f>
        <v>23</v>
      </c>
      <c r="F304" s="4">
        <f>IFERROR(__xludf.DUMMYFUNCTION("""COMPUTED_VALUE"""),5.0)</f>
        <v>5</v>
      </c>
      <c r="G304" s="4">
        <f>IFERROR(__xludf.DUMMYFUNCTION("""COMPUTED_VALUE"""),631.0)</f>
        <v>631</v>
      </c>
      <c r="H304" s="5">
        <f>IFERROR(__xludf.DUMMYFUNCTION("""COMPUTED_VALUE"""),4886.24)</f>
        <v>4886.24</v>
      </c>
      <c r="I304" s="5">
        <f>IFERROR(__xludf.DUMMYFUNCTION("""COMPUTED_VALUE"""),9740.17)</f>
        <v>9740.17</v>
      </c>
      <c r="J304" s="5">
        <f>IFERROR(__xludf.DUMMYFUNCTION("""COMPUTED_VALUE"""),7684.68)</f>
        <v>7684.68</v>
      </c>
      <c r="K304" s="5">
        <f>IFERROR(__xludf.DUMMYFUNCTION("""COMPUTED_VALUE"""),6757.41)</f>
        <v>6757.41</v>
      </c>
      <c r="L304" s="4">
        <f>IFERROR(__xludf.DUMMYFUNCTION("""COMPUTED_VALUE"""),14.0)</f>
        <v>14</v>
      </c>
      <c r="M304" s="4">
        <f>IFERROR(__xludf.DUMMYFUNCTION("""COMPUTED_VALUE"""),72.0)</f>
        <v>72</v>
      </c>
      <c r="N304" s="2" t="str">
        <f>IFERROR(__xludf.DUMMYFUNCTION("""COMPUTED_VALUE"""),"VERDADERO")</f>
        <v>VERDADERO</v>
      </c>
    </row>
    <row r="305">
      <c r="A305" s="2">
        <f>IFERROR(__xludf.DUMMYFUNCTION("""COMPUTED_VALUE"""),304.0)</f>
        <v>304</v>
      </c>
      <c r="B305" s="2" t="str">
        <f>IFERROR(__xludf.DUMMYFUNCTION("""COMPUTED_VALUE"""),"Ulick Fishlee")</f>
        <v>Ulick Fishlee</v>
      </c>
      <c r="C305" s="2" t="str">
        <f>IFERROR(__xludf.DUMMYFUNCTION("""COMPUTED_VALUE"""),"ufishlee8g@uol.com.br")</f>
        <v>ufishlee8g@uol.com.br</v>
      </c>
      <c r="D305" s="4">
        <f>IFERROR(__xludf.DUMMYFUNCTION("""COMPUTED_VALUE"""),131.0)</f>
        <v>131</v>
      </c>
      <c r="E305" s="4">
        <f>IFERROR(__xludf.DUMMYFUNCTION("""COMPUTED_VALUE"""),107.0)</f>
        <v>107</v>
      </c>
      <c r="F305" s="4">
        <f>IFERROR(__xludf.DUMMYFUNCTION("""COMPUTED_VALUE"""),5.0)</f>
        <v>5</v>
      </c>
      <c r="G305" s="4">
        <f>IFERROR(__xludf.DUMMYFUNCTION("""COMPUTED_VALUE"""),1188.0)</f>
        <v>1188</v>
      </c>
      <c r="H305" s="5">
        <f>IFERROR(__xludf.DUMMYFUNCTION("""COMPUTED_VALUE"""),5202.21)</f>
        <v>5202.21</v>
      </c>
      <c r="I305" s="5">
        <f>IFERROR(__xludf.DUMMYFUNCTION("""COMPUTED_VALUE"""),3118.18)</f>
        <v>3118.18</v>
      </c>
      <c r="J305" s="5">
        <f>IFERROR(__xludf.DUMMYFUNCTION("""COMPUTED_VALUE"""),8869.94)</f>
        <v>8869.94</v>
      </c>
      <c r="K305" s="5">
        <f>IFERROR(__xludf.DUMMYFUNCTION("""COMPUTED_VALUE"""),9137.84)</f>
        <v>9137.84</v>
      </c>
      <c r="L305" s="4">
        <f>IFERROR(__xludf.DUMMYFUNCTION("""COMPUTED_VALUE"""),6.0)</f>
        <v>6</v>
      </c>
      <c r="M305" s="4">
        <f>IFERROR(__xludf.DUMMYFUNCTION("""COMPUTED_VALUE"""),19.0)</f>
        <v>19</v>
      </c>
      <c r="N305" s="2" t="str">
        <f>IFERROR(__xludf.DUMMYFUNCTION("""COMPUTED_VALUE"""),"FALSO")</f>
        <v>FALSO</v>
      </c>
    </row>
    <row r="306">
      <c r="A306" s="2">
        <f>IFERROR(__xludf.DUMMYFUNCTION("""COMPUTED_VALUE"""),305.0)</f>
        <v>305</v>
      </c>
      <c r="B306" s="2" t="str">
        <f>IFERROR(__xludf.DUMMYFUNCTION("""COMPUTED_VALUE"""),"Abbey Spargo")</f>
        <v>Abbey Spargo</v>
      </c>
      <c r="C306" s="2" t="str">
        <f>IFERROR(__xludf.DUMMYFUNCTION("""COMPUTED_VALUE"""),"aspargo8h@shareasale.com")</f>
        <v>aspargo8h@shareasale.com</v>
      </c>
      <c r="D306" s="4">
        <f>IFERROR(__xludf.DUMMYFUNCTION("""COMPUTED_VALUE"""),43.0)</f>
        <v>43</v>
      </c>
      <c r="E306" s="4">
        <f>IFERROR(__xludf.DUMMYFUNCTION("""COMPUTED_VALUE"""),21.0)</f>
        <v>21</v>
      </c>
      <c r="F306" s="4">
        <f>IFERROR(__xludf.DUMMYFUNCTION("""COMPUTED_VALUE"""),12.0)</f>
        <v>12</v>
      </c>
      <c r="G306" s="4">
        <f>IFERROR(__xludf.DUMMYFUNCTION("""COMPUTED_VALUE"""),1400.0)</f>
        <v>1400</v>
      </c>
      <c r="H306" s="5">
        <f>IFERROR(__xludf.DUMMYFUNCTION("""COMPUTED_VALUE"""),7426.31)</f>
        <v>7426.31</v>
      </c>
      <c r="I306" s="5">
        <f>IFERROR(__xludf.DUMMYFUNCTION("""COMPUTED_VALUE"""),4350.74)</f>
        <v>4350.74</v>
      </c>
      <c r="J306" s="5">
        <f>IFERROR(__xludf.DUMMYFUNCTION("""COMPUTED_VALUE"""),8323.62)</f>
        <v>8323.62</v>
      </c>
      <c r="K306" s="5">
        <f>IFERROR(__xludf.DUMMYFUNCTION("""COMPUTED_VALUE"""),1971.03)</f>
        <v>1971.03</v>
      </c>
      <c r="L306" s="4">
        <f>IFERROR(__xludf.DUMMYFUNCTION("""COMPUTED_VALUE"""),1.0)</f>
        <v>1</v>
      </c>
      <c r="M306" s="4">
        <f>IFERROR(__xludf.DUMMYFUNCTION("""COMPUTED_VALUE"""),83.0)</f>
        <v>83</v>
      </c>
      <c r="N306" s="2" t="str">
        <f>IFERROR(__xludf.DUMMYFUNCTION("""COMPUTED_VALUE"""),"VERDADERO")</f>
        <v>VERDADERO</v>
      </c>
    </row>
    <row r="307">
      <c r="A307" s="2">
        <f>IFERROR(__xludf.DUMMYFUNCTION("""COMPUTED_VALUE"""),306.0)</f>
        <v>306</v>
      </c>
      <c r="B307" s="2" t="str">
        <f>IFERROR(__xludf.DUMMYFUNCTION("""COMPUTED_VALUE"""),"Thorsten Botger")</f>
        <v>Thorsten Botger</v>
      </c>
      <c r="C307" s="2" t="str">
        <f>IFERROR(__xludf.DUMMYFUNCTION("""COMPUTED_VALUE"""),"tbotger8i@yellowbook.com")</f>
        <v>tbotger8i@yellowbook.com</v>
      </c>
      <c r="D307" s="4">
        <f>IFERROR(__xludf.DUMMYFUNCTION("""COMPUTED_VALUE"""),49.0)</f>
        <v>49</v>
      </c>
      <c r="E307" s="4">
        <f>IFERROR(__xludf.DUMMYFUNCTION("""COMPUTED_VALUE"""),29.0)</f>
        <v>29</v>
      </c>
      <c r="F307" s="4">
        <f>IFERROR(__xludf.DUMMYFUNCTION("""COMPUTED_VALUE"""),11.0)</f>
        <v>11</v>
      </c>
      <c r="G307" s="4">
        <f>IFERROR(__xludf.DUMMYFUNCTION("""COMPUTED_VALUE"""),200.0)</f>
        <v>200</v>
      </c>
      <c r="H307" s="5">
        <f>IFERROR(__xludf.DUMMYFUNCTION("""COMPUTED_VALUE"""),7474.41)</f>
        <v>7474.41</v>
      </c>
      <c r="I307" s="5">
        <f>IFERROR(__xludf.DUMMYFUNCTION("""COMPUTED_VALUE"""),6136.93)</f>
        <v>6136.93</v>
      </c>
      <c r="J307" s="5">
        <f>IFERROR(__xludf.DUMMYFUNCTION("""COMPUTED_VALUE"""),3729.39)</f>
        <v>3729.39</v>
      </c>
      <c r="K307" s="5">
        <f>IFERROR(__xludf.DUMMYFUNCTION("""COMPUTED_VALUE"""),1681.24)</f>
        <v>1681.24</v>
      </c>
      <c r="L307" s="4">
        <f>IFERROR(__xludf.DUMMYFUNCTION("""COMPUTED_VALUE"""),15.0)</f>
        <v>15</v>
      </c>
      <c r="M307" s="4">
        <f>IFERROR(__xludf.DUMMYFUNCTION("""COMPUTED_VALUE"""),60.0)</f>
        <v>60</v>
      </c>
      <c r="N307" s="2" t="str">
        <f>IFERROR(__xludf.DUMMYFUNCTION("""COMPUTED_VALUE"""),"FALSO")</f>
        <v>FALSO</v>
      </c>
    </row>
    <row r="308">
      <c r="A308" s="2">
        <f>IFERROR(__xludf.DUMMYFUNCTION("""COMPUTED_VALUE"""),307.0)</f>
        <v>307</v>
      </c>
      <c r="B308" s="2" t="str">
        <f>IFERROR(__xludf.DUMMYFUNCTION("""COMPUTED_VALUE"""),"Berenice Cawthera")</f>
        <v>Berenice Cawthera</v>
      </c>
      <c r="C308" s="2" t="str">
        <f>IFERROR(__xludf.DUMMYFUNCTION("""COMPUTED_VALUE"""),"bcawthera8j@china.com.cn")</f>
        <v>bcawthera8j@china.com.cn</v>
      </c>
      <c r="D308" s="4">
        <f>IFERROR(__xludf.DUMMYFUNCTION("""COMPUTED_VALUE"""),5.0)</f>
        <v>5</v>
      </c>
      <c r="E308" s="4">
        <f>IFERROR(__xludf.DUMMYFUNCTION("""COMPUTED_VALUE"""),66.0)</f>
        <v>66</v>
      </c>
      <c r="F308" s="4">
        <f>IFERROR(__xludf.DUMMYFUNCTION("""COMPUTED_VALUE"""),6.0)</f>
        <v>6</v>
      </c>
      <c r="G308" s="4">
        <f>IFERROR(__xludf.DUMMYFUNCTION("""COMPUTED_VALUE"""),858.0)</f>
        <v>858</v>
      </c>
      <c r="H308" s="5">
        <f>IFERROR(__xludf.DUMMYFUNCTION("""COMPUTED_VALUE"""),6030.68)</f>
        <v>6030.68</v>
      </c>
      <c r="I308" s="5">
        <f>IFERROR(__xludf.DUMMYFUNCTION("""COMPUTED_VALUE"""),7868.59)</f>
        <v>7868.59</v>
      </c>
      <c r="J308" s="5">
        <f>IFERROR(__xludf.DUMMYFUNCTION("""COMPUTED_VALUE"""),9933.8)</f>
        <v>9933.8</v>
      </c>
      <c r="K308" s="5">
        <f>IFERROR(__xludf.DUMMYFUNCTION("""COMPUTED_VALUE"""),3308.58)</f>
        <v>3308.58</v>
      </c>
      <c r="L308" s="4">
        <f>IFERROR(__xludf.DUMMYFUNCTION("""COMPUTED_VALUE"""),11.0)</f>
        <v>11</v>
      </c>
      <c r="M308" s="4">
        <f>IFERROR(__xludf.DUMMYFUNCTION("""COMPUTED_VALUE"""),65.0)</f>
        <v>65</v>
      </c>
      <c r="N308" s="2" t="str">
        <f>IFERROR(__xludf.DUMMYFUNCTION("""COMPUTED_VALUE"""),"VERDADERO")</f>
        <v>VERDADERO</v>
      </c>
    </row>
    <row r="309">
      <c r="A309" s="2">
        <f>IFERROR(__xludf.DUMMYFUNCTION("""COMPUTED_VALUE"""),308.0)</f>
        <v>308</v>
      </c>
      <c r="B309" s="2" t="str">
        <f>IFERROR(__xludf.DUMMYFUNCTION("""COMPUTED_VALUE"""),"Guglielma Makepeace")</f>
        <v>Guglielma Makepeace</v>
      </c>
      <c r="C309" s="2" t="str">
        <f>IFERROR(__xludf.DUMMYFUNCTION("""COMPUTED_VALUE"""),"gmakepeace8k@diigo.com")</f>
        <v>gmakepeace8k@diigo.com</v>
      </c>
      <c r="D309" s="4">
        <f>IFERROR(__xludf.DUMMYFUNCTION("""COMPUTED_VALUE"""),127.0)</f>
        <v>127</v>
      </c>
      <c r="E309" s="4">
        <f>IFERROR(__xludf.DUMMYFUNCTION("""COMPUTED_VALUE"""),66.0)</f>
        <v>66</v>
      </c>
      <c r="F309" s="4">
        <f>IFERROR(__xludf.DUMMYFUNCTION("""COMPUTED_VALUE"""),6.0)</f>
        <v>6</v>
      </c>
      <c r="G309" s="4">
        <f>IFERROR(__xludf.DUMMYFUNCTION("""COMPUTED_VALUE"""),1310.0)</f>
        <v>1310</v>
      </c>
      <c r="H309" s="5">
        <f>IFERROR(__xludf.DUMMYFUNCTION("""COMPUTED_VALUE"""),7412.79)</f>
        <v>7412.79</v>
      </c>
      <c r="I309" s="5">
        <f>IFERROR(__xludf.DUMMYFUNCTION("""COMPUTED_VALUE"""),6662.99)</f>
        <v>6662.99</v>
      </c>
      <c r="J309" s="5">
        <f>IFERROR(__xludf.DUMMYFUNCTION("""COMPUTED_VALUE"""),6652.65)</f>
        <v>6652.65</v>
      </c>
      <c r="K309" s="5">
        <f>IFERROR(__xludf.DUMMYFUNCTION("""COMPUTED_VALUE"""),9319.08)</f>
        <v>9319.08</v>
      </c>
      <c r="L309" s="4">
        <f>IFERROR(__xludf.DUMMYFUNCTION("""COMPUTED_VALUE"""),17.0)</f>
        <v>17</v>
      </c>
      <c r="M309" s="4">
        <f>IFERROR(__xludf.DUMMYFUNCTION("""COMPUTED_VALUE"""),51.0)</f>
        <v>51</v>
      </c>
      <c r="N309" s="2" t="str">
        <f>IFERROR(__xludf.DUMMYFUNCTION("""COMPUTED_VALUE"""),"VERDADERO")</f>
        <v>VERDADERO</v>
      </c>
    </row>
    <row r="310">
      <c r="A310" s="2">
        <f>IFERROR(__xludf.DUMMYFUNCTION("""COMPUTED_VALUE"""),309.0)</f>
        <v>309</v>
      </c>
      <c r="B310" s="2" t="str">
        <f>IFERROR(__xludf.DUMMYFUNCTION("""COMPUTED_VALUE"""),"Randolf Ranscome")</f>
        <v>Randolf Ranscome</v>
      </c>
      <c r="C310" s="2" t="str">
        <f>IFERROR(__xludf.DUMMYFUNCTION("""COMPUTED_VALUE"""),"rranscome8l@list-manage.com")</f>
        <v>rranscome8l@list-manage.com</v>
      </c>
      <c r="D310" s="4">
        <f>IFERROR(__xludf.DUMMYFUNCTION("""COMPUTED_VALUE"""),157.0)</f>
        <v>157</v>
      </c>
      <c r="E310" s="4">
        <f>IFERROR(__xludf.DUMMYFUNCTION("""COMPUTED_VALUE"""),58.0)</f>
        <v>58</v>
      </c>
      <c r="F310" s="4">
        <f>IFERROR(__xludf.DUMMYFUNCTION("""COMPUTED_VALUE"""),8.0)</f>
        <v>8</v>
      </c>
      <c r="G310" s="4">
        <f>IFERROR(__xludf.DUMMYFUNCTION("""COMPUTED_VALUE"""),959.0)</f>
        <v>959</v>
      </c>
      <c r="H310" s="5">
        <f>IFERROR(__xludf.DUMMYFUNCTION("""COMPUTED_VALUE"""),8511.7)</f>
        <v>8511.7</v>
      </c>
      <c r="I310" s="5">
        <f>IFERROR(__xludf.DUMMYFUNCTION("""COMPUTED_VALUE"""),7450.32)</f>
        <v>7450.32</v>
      </c>
      <c r="J310" s="5">
        <f>IFERROR(__xludf.DUMMYFUNCTION("""COMPUTED_VALUE"""),8360.23)</f>
        <v>8360.23</v>
      </c>
      <c r="K310" s="5">
        <f>IFERROR(__xludf.DUMMYFUNCTION("""COMPUTED_VALUE"""),5240.09)</f>
        <v>5240.09</v>
      </c>
      <c r="L310" s="4">
        <f>IFERROR(__xludf.DUMMYFUNCTION("""COMPUTED_VALUE"""),19.0)</f>
        <v>19</v>
      </c>
      <c r="M310" s="4">
        <f>IFERROR(__xludf.DUMMYFUNCTION("""COMPUTED_VALUE"""),48.0)</f>
        <v>48</v>
      </c>
      <c r="N310" s="2" t="str">
        <f>IFERROR(__xludf.DUMMYFUNCTION("""COMPUTED_VALUE"""),"FALSO")</f>
        <v>FALSO</v>
      </c>
    </row>
    <row r="311">
      <c r="A311" s="2">
        <f>IFERROR(__xludf.DUMMYFUNCTION("""COMPUTED_VALUE"""),310.0)</f>
        <v>310</v>
      </c>
      <c r="B311" s="2" t="str">
        <f>IFERROR(__xludf.DUMMYFUNCTION("""COMPUTED_VALUE"""),"Margarette O'Siaghail")</f>
        <v>Margarette O'Siaghail</v>
      </c>
      <c r="C311" s="2" t="str">
        <f>IFERROR(__xludf.DUMMYFUNCTION("""COMPUTED_VALUE"""),"mosiaghail8m@goodreads.com")</f>
        <v>mosiaghail8m@goodreads.com</v>
      </c>
      <c r="D311" s="4">
        <f>IFERROR(__xludf.DUMMYFUNCTION("""COMPUTED_VALUE"""),96.0)</f>
        <v>96</v>
      </c>
      <c r="E311" s="4">
        <f>IFERROR(__xludf.DUMMYFUNCTION("""COMPUTED_VALUE"""),41.0)</f>
        <v>41</v>
      </c>
      <c r="F311" s="4">
        <f>IFERROR(__xludf.DUMMYFUNCTION("""COMPUTED_VALUE"""),8.0)</f>
        <v>8</v>
      </c>
      <c r="G311" s="4">
        <f>IFERROR(__xludf.DUMMYFUNCTION("""COMPUTED_VALUE"""),1586.0)</f>
        <v>1586</v>
      </c>
      <c r="H311" s="5">
        <f>IFERROR(__xludf.DUMMYFUNCTION("""COMPUTED_VALUE"""),4357.34)</f>
        <v>4357.34</v>
      </c>
      <c r="I311" s="5">
        <f>IFERROR(__xludf.DUMMYFUNCTION("""COMPUTED_VALUE"""),6829.8)</f>
        <v>6829.8</v>
      </c>
      <c r="J311" s="5">
        <f>IFERROR(__xludf.DUMMYFUNCTION("""COMPUTED_VALUE"""),9003.4)</f>
        <v>9003.4</v>
      </c>
      <c r="K311" s="5">
        <f>IFERROR(__xludf.DUMMYFUNCTION("""COMPUTED_VALUE"""),2070.61)</f>
        <v>2070.61</v>
      </c>
      <c r="L311" s="4">
        <f>IFERROR(__xludf.DUMMYFUNCTION("""COMPUTED_VALUE"""),12.0)</f>
        <v>12</v>
      </c>
      <c r="M311" s="4">
        <f>IFERROR(__xludf.DUMMYFUNCTION("""COMPUTED_VALUE"""),71.0)</f>
        <v>71</v>
      </c>
      <c r="N311" s="2" t="str">
        <f>IFERROR(__xludf.DUMMYFUNCTION("""COMPUTED_VALUE"""),"FALSO")</f>
        <v>FALSO</v>
      </c>
    </row>
    <row r="312">
      <c r="A312" s="2">
        <f>IFERROR(__xludf.DUMMYFUNCTION("""COMPUTED_VALUE"""),311.0)</f>
        <v>311</v>
      </c>
      <c r="B312" s="2" t="str">
        <f>IFERROR(__xludf.DUMMYFUNCTION("""COMPUTED_VALUE"""),"Parrnell Narey")</f>
        <v>Parrnell Narey</v>
      </c>
      <c r="C312" s="2" t="str">
        <f>IFERROR(__xludf.DUMMYFUNCTION("""COMPUTED_VALUE"""),"pnarey8n@woothemes.com")</f>
        <v>pnarey8n@woothemes.com</v>
      </c>
      <c r="D312" s="4">
        <f>IFERROR(__xludf.DUMMYFUNCTION("""COMPUTED_VALUE"""),55.0)</f>
        <v>55</v>
      </c>
      <c r="E312" s="4">
        <f>IFERROR(__xludf.DUMMYFUNCTION("""COMPUTED_VALUE"""),81.0)</f>
        <v>81</v>
      </c>
      <c r="F312" s="4">
        <f>IFERROR(__xludf.DUMMYFUNCTION("""COMPUTED_VALUE"""),2.0)</f>
        <v>2</v>
      </c>
      <c r="G312" s="4">
        <f>IFERROR(__xludf.DUMMYFUNCTION("""COMPUTED_VALUE"""),794.0)</f>
        <v>794</v>
      </c>
      <c r="H312" s="5">
        <f>IFERROR(__xludf.DUMMYFUNCTION("""COMPUTED_VALUE"""),5207.31)</f>
        <v>5207.31</v>
      </c>
      <c r="I312" s="5">
        <f>IFERROR(__xludf.DUMMYFUNCTION("""COMPUTED_VALUE"""),798.46)</f>
        <v>798.46</v>
      </c>
      <c r="J312" s="5">
        <f>IFERROR(__xludf.DUMMYFUNCTION("""COMPUTED_VALUE"""),4737.76)</f>
        <v>4737.76</v>
      </c>
      <c r="K312" s="5">
        <f>IFERROR(__xludf.DUMMYFUNCTION("""COMPUTED_VALUE"""),4234.85)</f>
        <v>4234.85</v>
      </c>
      <c r="L312" s="4">
        <f>IFERROR(__xludf.DUMMYFUNCTION("""COMPUTED_VALUE"""),17.0)</f>
        <v>17</v>
      </c>
      <c r="M312" s="4">
        <f>IFERROR(__xludf.DUMMYFUNCTION("""COMPUTED_VALUE"""),98.0)</f>
        <v>98</v>
      </c>
      <c r="N312" s="2" t="str">
        <f>IFERROR(__xludf.DUMMYFUNCTION("""COMPUTED_VALUE"""),"FALSO")</f>
        <v>FALSO</v>
      </c>
    </row>
    <row r="313">
      <c r="A313" s="2">
        <f>IFERROR(__xludf.DUMMYFUNCTION("""COMPUTED_VALUE"""),312.0)</f>
        <v>312</v>
      </c>
      <c r="B313" s="2" t="str">
        <f>IFERROR(__xludf.DUMMYFUNCTION("""COMPUTED_VALUE"""),"Jasun Burnand")</f>
        <v>Jasun Burnand</v>
      </c>
      <c r="C313" s="2" t="str">
        <f>IFERROR(__xludf.DUMMYFUNCTION("""COMPUTED_VALUE"""),"jburnand8o@who.int")</f>
        <v>jburnand8o@who.int</v>
      </c>
      <c r="D313" s="4">
        <f>IFERROR(__xludf.DUMMYFUNCTION("""COMPUTED_VALUE"""),62.0)</f>
        <v>62</v>
      </c>
      <c r="E313" s="4">
        <f>IFERROR(__xludf.DUMMYFUNCTION("""COMPUTED_VALUE"""),30.0)</f>
        <v>30</v>
      </c>
      <c r="F313" s="4">
        <f>IFERROR(__xludf.DUMMYFUNCTION("""COMPUTED_VALUE"""),11.0)</f>
        <v>11</v>
      </c>
      <c r="G313" s="4">
        <f>IFERROR(__xludf.DUMMYFUNCTION("""COMPUTED_VALUE"""),66.0)</f>
        <v>66</v>
      </c>
      <c r="H313" s="5">
        <f>IFERROR(__xludf.DUMMYFUNCTION("""COMPUTED_VALUE"""),2658.72)</f>
        <v>2658.72</v>
      </c>
      <c r="I313" s="5">
        <f>IFERROR(__xludf.DUMMYFUNCTION("""COMPUTED_VALUE"""),7370.83)</f>
        <v>7370.83</v>
      </c>
      <c r="J313" s="5">
        <f>IFERROR(__xludf.DUMMYFUNCTION("""COMPUTED_VALUE"""),5258.54)</f>
        <v>5258.54</v>
      </c>
      <c r="K313" s="5">
        <f>IFERROR(__xludf.DUMMYFUNCTION("""COMPUTED_VALUE"""),5034.44)</f>
        <v>5034.44</v>
      </c>
      <c r="L313" s="4">
        <f>IFERROR(__xludf.DUMMYFUNCTION("""COMPUTED_VALUE"""),19.0)</f>
        <v>19</v>
      </c>
      <c r="M313" s="4">
        <f>IFERROR(__xludf.DUMMYFUNCTION("""COMPUTED_VALUE"""),18.0)</f>
        <v>18</v>
      </c>
      <c r="N313" s="2" t="str">
        <f>IFERROR(__xludf.DUMMYFUNCTION("""COMPUTED_VALUE"""),"FALSO")</f>
        <v>FALSO</v>
      </c>
    </row>
    <row r="314">
      <c r="A314" s="2">
        <f>IFERROR(__xludf.DUMMYFUNCTION("""COMPUTED_VALUE"""),313.0)</f>
        <v>313</v>
      </c>
      <c r="B314" s="2" t="str">
        <f>IFERROR(__xludf.DUMMYFUNCTION("""COMPUTED_VALUE"""),"Wilden McGuckin")</f>
        <v>Wilden McGuckin</v>
      </c>
      <c r="C314" s="2" t="str">
        <f>IFERROR(__xludf.DUMMYFUNCTION("""COMPUTED_VALUE"""),"wmcguckin8p@hugedomains.com")</f>
        <v>wmcguckin8p@hugedomains.com</v>
      </c>
      <c r="D314" s="4">
        <f>IFERROR(__xludf.DUMMYFUNCTION("""COMPUTED_VALUE"""),94.0)</f>
        <v>94</v>
      </c>
      <c r="E314" s="4">
        <f>IFERROR(__xludf.DUMMYFUNCTION("""COMPUTED_VALUE"""),2.0)</f>
        <v>2</v>
      </c>
      <c r="F314" s="4">
        <f>IFERROR(__xludf.DUMMYFUNCTION("""COMPUTED_VALUE"""),5.0)</f>
        <v>5</v>
      </c>
      <c r="G314" s="4">
        <f>IFERROR(__xludf.DUMMYFUNCTION("""COMPUTED_VALUE"""),337.0)</f>
        <v>337</v>
      </c>
      <c r="H314" s="5">
        <f>IFERROR(__xludf.DUMMYFUNCTION("""COMPUTED_VALUE"""),1990.54)</f>
        <v>1990.54</v>
      </c>
      <c r="I314" s="5">
        <f>IFERROR(__xludf.DUMMYFUNCTION("""COMPUTED_VALUE"""),7506.55)</f>
        <v>7506.55</v>
      </c>
      <c r="J314" s="5">
        <f>IFERROR(__xludf.DUMMYFUNCTION("""COMPUTED_VALUE"""),1252.51)</f>
        <v>1252.51</v>
      </c>
      <c r="K314" s="5">
        <f>IFERROR(__xludf.DUMMYFUNCTION("""COMPUTED_VALUE"""),8377.52)</f>
        <v>8377.52</v>
      </c>
      <c r="L314" s="4">
        <f>IFERROR(__xludf.DUMMYFUNCTION("""COMPUTED_VALUE"""),16.0)</f>
        <v>16</v>
      </c>
      <c r="M314" s="4">
        <f>IFERROR(__xludf.DUMMYFUNCTION("""COMPUTED_VALUE"""),68.0)</f>
        <v>68</v>
      </c>
      <c r="N314" s="2" t="str">
        <f>IFERROR(__xludf.DUMMYFUNCTION("""COMPUTED_VALUE"""),"VERDADERO")</f>
        <v>VERDADERO</v>
      </c>
    </row>
    <row r="315">
      <c r="A315" s="2">
        <f>IFERROR(__xludf.DUMMYFUNCTION("""COMPUTED_VALUE"""),314.0)</f>
        <v>314</v>
      </c>
      <c r="B315" s="2" t="str">
        <f>IFERROR(__xludf.DUMMYFUNCTION("""COMPUTED_VALUE"""),"Valeda Threadgill")</f>
        <v>Valeda Threadgill</v>
      </c>
      <c r="C315" s="2" t="str">
        <f>IFERROR(__xludf.DUMMYFUNCTION("""COMPUTED_VALUE"""),"vthreadgill8q@histats.com")</f>
        <v>vthreadgill8q@histats.com</v>
      </c>
      <c r="D315" s="4">
        <f>IFERROR(__xludf.DUMMYFUNCTION("""COMPUTED_VALUE"""),74.0)</f>
        <v>74</v>
      </c>
      <c r="E315" s="4">
        <f>IFERROR(__xludf.DUMMYFUNCTION("""COMPUTED_VALUE"""),85.0)</f>
        <v>85</v>
      </c>
      <c r="F315" s="4">
        <f>IFERROR(__xludf.DUMMYFUNCTION("""COMPUTED_VALUE"""),3.0)</f>
        <v>3</v>
      </c>
      <c r="G315" s="4">
        <f>IFERROR(__xludf.DUMMYFUNCTION("""COMPUTED_VALUE"""),1599.0)</f>
        <v>1599</v>
      </c>
      <c r="H315" s="5">
        <f>IFERROR(__xludf.DUMMYFUNCTION("""COMPUTED_VALUE"""),4867.9)</f>
        <v>4867.9</v>
      </c>
      <c r="I315" s="5">
        <f>IFERROR(__xludf.DUMMYFUNCTION("""COMPUTED_VALUE"""),5776.81)</f>
        <v>5776.81</v>
      </c>
      <c r="J315" s="5">
        <f>IFERROR(__xludf.DUMMYFUNCTION("""COMPUTED_VALUE"""),6725.38)</f>
        <v>6725.38</v>
      </c>
      <c r="K315" s="5">
        <f>IFERROR(__xludf.DUMMYFUNCTION("""COMPUTED_VALUE"""),5909.29)</f>
        <v>5909.29</v>
      </c>
      <c r="L315" s="4">
        <f>IFERROR(__xludf.DUMMYFUNCTION("""COMPUTED_VALUE"""),16.0)</f>
        <v>16</v>
      </c>
      <c r="M315" s="4">
        <f>IFERROR(__xludf.DUMMYFUNCTION("""COMPUTED_VALUE"""),37.0)</f>
        <v>37</v>
      </c>
      <c r="N315" s="2" t="str">
        <f>IFERROR(__xludf.DUMMYFUNCTION("""COMPUTED_VALUE"""),"VERDADERO")</f>
        <v>VERDADERO</v>
      </c>
    </row>
    <row r="316">
      <c r="A316" s="2">
        <f>IFERROR(__xludf.DUMMYFUNCTION("""COMPUTED_VALUE"""),315.0)</f>
        <v>315</v>
      </c>
      <c r="B316" s="2" t="str">
        <f>IFERROR(__xludf.DUMMYFUNCTION("""COMPUTED_VALUE"""),"Billie Ades")</f>
        <v>Billie Ades</v>
      </c>
      <c r="C316" s="2" t="str">
        <f>IFERROR(__xludf.DUMMYFUNCTION("""COMPUTED_VALUE"""),"bades8r@cornell.edu")</f>
        <v>bades8r@cornell.edu</v>
      </c>
      <c r="D316" s="4">
        <f>IFERROR(__xludf.DUMMYFUNCTION("""COMPUTED_VALUE"""),55.0)</f>
        <v>55</v>
      </c>
      <c r="E316" s="4">
        <f>IFERROR(__xludf.DUMMYFUNCTION("""COMPUTED_VALUE"""),81.0)</f>
        <v>81</v>
      </c>
      <c r="F316" s="4">
        <f>IFERROR(__xludf.DUMMYFUNCTION("""COMPUTED_VALUE"""),2.0)</f>
        <v>2</v>
      </c>
      <c r="G316" s="4">
        <f>IFERROR(__xludf.DUMMYFUNCTION("""COMPUTED_VALUE"""),209.0)</f>
        <v>209</v>
      </c>
      <c r="H316" s="5">
        <f>IFERROR(__xludf.DUMMYFUNCTION("""COMPUTED_VALUE"""),6467.0)</f>
        <v>6467</v>
      </c>
      <c r="I316" s="5">
        <f>IFERROR(__xludf.DUMMYFUNCTION("""COMPUTED_VALUE"""),416.49)</f>
        <v>416.49</v>
      </c>
      <c r="J316" s="5">
        <f>IFERROR(__xludf.DUMMYFUNCTION("""COMPUTED_VALUE"""),1471.45)</f>
        <v>1471.45</v>
      </c>
      <c r="K316" s="5">
        <f>IFERROR(__xludf.DUMMYFUNCTION("""COMPUTED_VALUE"""),1882.43)</f>
        <v>1882.43</v>
      </c>
      <c r="L316" s="4">
        <f>IFERROR(__xludf.DUMMYFUNCTION("""COMPUTED_VALUE"""),15.0)</f>
        <v>15</v>
      </c>
      <c r="M316" s="4">
        <f>IFERROR(__xludf.DUMMYFUNCTION("""COMPUTED_VALUE"""),17.0)</f>
        <v>17</v>
      </c>
      <c r="N316" s="2" t="str">
        <f>IFERROR(__xludf.DUMMYFUNCTION("""COMPUTED_VALUE"""),"FALSO")</f>
        <v>FALSO</v>
      </c>
    </row>
    <row r="317">
      <c r="A317" s="2">
        <f>IFERROR(__xludf.DUMMYFUNCTION("""COMPUTED_VALUE"""),316.0)</f>
        <v>316</v>
      </c>
      <c r="B317" s="2" t="str">
        <f>IFERROR(__xludf.DUMMYFUNCTION("""COMPUTED_VALUE"""),"Melisa Bedle")</f>
        <v>Melisa Bedle</v>
      </c>
      <c r="C317" s="2" t="str">
        <f>IFERROR(__xludf.DUMMYFUNCTION("""COMPUTED_VALUE"""),"mbedle8s@nationalgeographic.com")</f>
        <v>mbedle8s@nationalgeographic.com</v>
      </c>
      <c r="D317" s="4">
        <f>IFERROR(__xludf.DUMMYFUNCTION("""COMPUTED_VALUE"""),42.0)</f>
        <v>42</v>
      </c>
      <c r="E317" s="4">
        <f>IFERROR(__xludf.DUMMYFUNCTION("""COMPUTED_VALUE"""),90.0)</f>
        <v>90</v>
      </c>
      <c r="F317" s="4">
        <f>IFERROR(__xludf.DUMMYFUNCTION("""COMPUTED_VALUE"""),5.0)</f>
        <v>5</v>
      </c>
      <c r="G317" s="4">
        <f>IFERROR(__xludf.DUMMYFUNCTION("""COMPUTED_VALUE"""),1158.0)</f>
        <v>1158</v>
      </c>
      <c r="H317" s="5">
        <f>IFERROR(__xludf.DUMMYFUNCTION("""COMPUTED_VALUE"""),7004.01)</f>
        <v>7004.01</v>
      </c>
      <c r="I317" s="5">
        <f>IFERROR(__xludf.DUMMYFUNCTION("""COMPUTED_VALUE"""),4859.97)</f>
        <v>4859.97</v>
      </c>
      <c r="J317" s="5">
        <f>IFERROR(__xludf.DUMMYFUNCTION("""COMPUTED_VALUE"""),3964.29)</f>
        <v>3964.29</v>
      </c>
      <c r="K317" s="5">
        <f>IFERROR(__xludf.DUMMYFUNCTION("""COMPUTED_VALUE"""),9218.26)</f>
        <v>9218.26</v>
      </c>
      <c r="L317" s="4">
        <f>IFERROR(__xludf.DUMMYFUNCTION("""COMPUTED_VALUE"""),17.0)</f>
        <v>17</v>
      </c>
      <c r="M317" s="4">
        <f>IFERROR(__xludf.DUMMYFUNCTION("""COMPUTED_VALUE"""),98.0)</f>
        <v>98</v>
      </c>
      <c r="N317" s="2" t="str">
        <f>IFERROR(__xludf.DUMMYFUNCTION("""COMPUTED_VALUE"""),"VERDADERO")</f>
        <v>VERDADERO</v>
      </c>
    </row>
    <row r="318">
      <c r="A318" s="2">
        <f>IFERROR(__xludf.DUMMYFUNCTION("""COMPUTED_VALUE"""),317.0)</f>
        <v>317</v>
      </c>
      <c r="B318" s="2" t="str">
        <f>IFERROR(__xludf.DUMMYFUNCTION("""COMPUTED_VALUE"""),"Josh Boulter")</f>
        <v>Josh Boulter</v>
      </c>
      <c r="C318" s="2" t="str">
        <f>IFERROR(__xludf.DUMMYFUNCTION("""COMPUTED_VALUE"""),"jboulter8t@tripod.com")</f>
        <v>jboulter8t@tripod.com</v>
      </c>
      <c r="D318" s="4">
        <f>IFERROR(__xludf.DUMMYFUNCTION("""COMPUTED_VALUE"""),16.0)</f>
        <v>16</v>
      </c>
      <c r="E318" s="4">
        <f>IFERROR(__xludf.DUMMYFUNCTION("""COMPUTED_VALUE"""),81.0)</f>
        <v>81</v>
      </c>
      <c r="F318" s="4">
        <f>IFERROR(__xludf.DUMMYFUNCTION("""COMPUTED_VALUE"""),2.0)</f>
        <v>2</v>
      </c>
      <c r="G318" s="4">
        <f>IFERROR(__xludf.DUMMYFUNCTION("""COMPUTED_VALUE"""),1491.0)</f>
        <v>1491</v>
      </c>
      <c r="H318" s="5">
        <f>IFERROR(__xludf.DUMMYFUNCTION("""COMPUTED_VALUE"""),2937.98)</f>
        <v>2937.98</v>
      </c>
      <c r="I318" s="5">
        <f>IFERROR(__xludf.DUMMYFUNCTION("""COMPUTED_VALUE"""),3894.35)</f>
        <v>3894.35</v>
      </c>
      <c r="J318" s="5">
        <f>IFERROR(__xludf.DUMMYFUNCTION("""COMPUTED_VALUE"""),674.14)</f>
        <v>674.14</v>
      </c>
      <c r="K318" s="5">
        <f>IFERROR(__xludf.DUMMYFUNCTION("""COMPUTED_VALUE"""),6397.06)</f>
        <v>6397.06</v>
      </c>
      <c r="L318" s="4">
        <f>IFERROR(__xludf.DUMMYFUNCTION("""COMPUTED_VALUE"""),16.0)</f>
        <v>16</v>
      </c>
      <c r="M318" s="4">
        <f>IFERROR(__xludf.DUMMYFUNCTION("""COMPUTED_VALUE"""),93.0)</f>
        <v>93</v>
      </c>
      <c r="N318" s="2" t="str">
        <f>IFERROR(__xludf.DUMMYFUNCTION("""COMPUTED_VALUE"""),"FALSO")</f>
        <v>FALSO</v>
      </c>
    </row>
    <row r="319">
      <c r="A319" s="2">
        <f>IFERROR(__xludf.DUMMYFUNCTION("""COMPUTED_VALUE"""),318.0)</f>
        <v>318</v>
      </c>
      <c r="B319" s="2" t="str">
        <f>IFERROR(__xludf.DUMMYFUNCTION("""COMPUTED_VALUE"""),"Nomi Enstone")</f>
        <v>Nomi Enstone</v>
      </c>
      <c r="C319" s="2" t="str">
        <f>IFERROR(__xludf.DUMMYFUNCTION("""COMPUTED_VALUE"""),"nenstone8u@phoca.cz")</f>
        <v>nenstone8u@phoca.cz</v>
      </c>
      <c r="D319" s="4">
        <f>IFERROR(__xludf.DUMMYFUNCTION("""COMPUTED_VALUE"""),30.0)</f>
        <v>30</v>
      </c>
      <c r="E319" s="4">
        <f>IFERROR(__xludf.DUMMYFUNCTION("""COMPUTED_VALUE"""),67.0)</f>
        <v>67</v>
      </c>
      <c r="F319" s="4">
        <f>IFERROR(__xludf.DUMMYFUNCTION("""COMPUTED_VALUE"""),7.0)</f>
        <v>7</v>
      </c>
      <c r="G319" s="4">
        <f>IFERROR(__xludf.DUMMYFUNCTION("""COMPUTED_VALUE"""),983.0)</f>
        <v>983</v>
      </c>
      <c r="H319" s="5">
        <f>IFERROR(__xludf.DUMMYFUNCTION("""COMPUTED_VALUE"""),8381.7)</f>
        <v>8381.7</v>
      </c>
      <c r="I319" s="5">
        <f>IFERROR(__xludf.DUMMYFUNCTION("""COMPUTED_VALUE"""),1293.65)</f>
        <v>1293.65</v>
      </c>
      <c r="J319" s="5">
        <f>IFERROR(__xludf.DUMMYFUNCTION("""COMPUTED_VALUE"""),4453.56)</f>
        <v>4453.56</v>
      </c>
      <c r="K319" s="5">
        <f>IFERROR(__xludf.DUMMYFUNCTION("""COMPUTED_VALUE"""),1982.21)</f>
        <v>1982.21</v>
      </c>
      <c r="L319" s="4">
        <f>IFERROR(__xludf.DUMMYFUNCTION("""COMPUTED_VALUE"""),11.0)</f>
        <v>11</v>
      </c>
      <c r="M319" s="4">
        <f>IFERROR(__xludf.DUMMYFUNCTION("""COMPUTED_VALUE"""),94.0)</f>
        <v>94</v>
      </c>
      <c r="N319" s="2" t="str">
        <f>IFERROR(__xludf.DUMMYFUNCTION("""COMPUTED_VALUE"""),"VERDADERO")</f>
        <v>VERDADERO</v>
      </c>
    </row>
    <row r="320">
      <c r="A320" s="2">
        <f>IFERROR(__xludf.DUMMYFUNCTION("""COMPUTED_VALUE"""),319.0)</f>
        <v>319</v>
      </c>
      <c r="B320" s="2" t="str">
        <f>IFERROR(__xludf.DUMMYFUNCTION("""COMPUTED_VALUE"""),"Eudora Glazer")</f>
        <v>Eudora Glazer</v>
      </c>
      <c r="C320" s="2" t="str">
        <f>IFERROR(__xludf.DUMMYFUNCTION("""COMPUTED_VALUE"""),"eglazer8v@youtu.be")</f>
        <v>eglazer8v@youtu.be</v>
      </c>
      <c r="D320" s="4">
        <f>IFERROR(__xludf.DUMMYFUNCTION("""COMPUTED_VALUE"""),65.0)</f>
        <v>65</v>
      </c>
      <c r="E320" s="4">
        <f>IFERROR(__xludf.DUMMYFUNCTION("""COMPUTED_VALUE"""),67.0)</f>
        <v>67</v>
      </c>
      <c r="F320" s="4">
        <f>IFERROR(__xludf.DUMMYFUNCTION("""COMPUTED_VALUE"""),7.0)</f>
        <v>7</v>
      </c>
      <c r="G320" s="4">
        <f>IFERROR(__xludf.DUMMYFUNCTION("""COMPUTED_VALUE"""),1087.0)</f>
        <v>1087</v>
      </c>
      <c r="H320" s="5">
        <f>IFERROR(__xludf.DUMMYFUNCTION("""COMPUTED_VALUE"""),1796.94)</f>
        <v>1796.94</v>
      </c>
      <c r="I320" s="5">
        <f>IFERROR(__xludf.DUMMYFUNCTION("""COMPUTED_VALUE"""),3946.28)</f>
        <v>3946.28</v>
      </c>
      <c r="J320" s="5">
        <f>IFERROR(__xludf.DUMMYFUNCTION("""COMPUTED_VALUE"""),5966.54)</f>
        <v>5966.54</v>
      </c>
      <c r="K320" s="5">
        <f>IFERROR(__xludf.DUMMYFUNCTION("""COMPUTED_VALUE"""),79.44)</f>
        <v>79.44</v>
      </c>
      <c r="L320" s="4">
        <f>IFERROR(__xludf.DUMMYFUNCTION("""COMPUTED_VALUE"""),16.0)</f>
        <v>16</v>
      </c>
      <c r="M320" s="4">
        <f>IFERROR(__xludf.DUMMYFUNCTION("""COMPUTED_VALUE"""),67.0)</f>
        <v>67</v>
      </c>
      <c r="N320" s="2" t="str">
        <f>IFERROR(__xludf.DUMMYFUNCTION("""COMPUTED_VALUE"""),"VERDADERO")</f>
        <v>VERDADERO</v>
      </c>
    </row>
    <row r="321">
      <c r="A321" s="2">
        <f>IFERROR(__xludf.DUMMYFUNCTION("""COMPUTED_VALUE"""),320.0)</f>
        <v>320</v>
      </c>
      <c r="B321" s="2" t="str">
        <f>IFERROR(__xludf.DUMMYFUNCTION("""COMPUTED_VALUE"""),"Kattie McCourt")</f>
        <v>Kattie McCourt</v>
      </c>
      <c r="C321" s="2" t="str">
        <f>IFERROR(__xludf.DUMMYFUNCTION("""COMPUTED_VALUE"""),"kmccourt8w@squidoo.com")</f>
        <v>kmccourt8w@squidoo.com</v>
      </c>
      <c r="D321" s="4">
        <f>IFERROR(__xludf.DUMMYFUNCTION("""COMPUTED_VALUE"""),29.0)</f>
        <v>29</v>
      </c>
      <c r="E321" s="4">
        <f>IFERROR(__xludf.DUMMYFUNCTION("""COMPUTED_VALUE"""),81.0)</f>
        <v>81</v>
      </c>
      <c r="F321" s="4">
        <f>IFERROR(__xludf.DUMMYFUNCTION("""COMPUTED_VALUE"""),2.0)</f>
        <v>2</v>
      </c>
      <c r="G321" s="4">
        <f>IFERROR(__xludf.DUMMYFUNCTION("""COMPUTED_VALUE"""),1044.0)</f>
        <v>1044</v>
      </c>
      <c r="H321" s="5">
        <f>IFERROR(__xludf.DUMMYFUNCTION("""COMPUTED_VALUE"""),2434.93)</f>
        <v>2434.93</v>
      </c>
      <c r="I321" s="5">
        <f>IFERROR(__xludf.DUMMYFUNCTION("""COMPUTED_VALUE"""),9198.11)</f>
        <v>9198.11</v>
      </c>
      <c r="J321" s="5">
        <f>IFERROR(__xludf.DUMMYFUNCTION("""COMPUTED_VALUE"""),1530.75)</f>
        <v>1530.75</v>
      </c>
      <c r="K321" s="5">
        <f>IFERROR(__xludf.DUMMYFUNCTION("""COMPUTED_VALUE"""),5914.6)</f>
        <v>5914.6</v>
      </c>
      <c r="L321" s="4">
        <f>IFERROR(__xludf.DUMMYFUNCTION("""COMPUTED_VALUE"""),14.0)</f>
        <v>14</v>
      </c>
      <c r="M321" s="4">
        <f>IFERROR(__xludf.DUMMYFUNCTION("""COMPUTED_VALUE"""),17.0)</f>
        <v>17</v>
      </c>
      <c r="N321" s="2" t="str">
        <f>IFERROR(__xludf.DUMMYFUNCTION("""COMPUTED_VALUE"""),"VERDADERO")</f>
        <v>VERDADERO</v>
      </c>
    </row>
    <row r="322">
      <c r="A322" s="2">
        <f>IFERROR(__xludf.DUMMYFUNCTION("""COMPUTED_VALUE"""),321.0)</f>
        <v>321</v>
      </c>
      <c r="B322" s="2" t="str">
        <f>IFERROR(__xludf.DUMMYFUNCTION("""COMPUTED_VALUE"""),"Adelbert McLewd")</f>
        <v>Adelbert McLewd</v>
      </c>
      <c r="C322" s="2" t="str">
        <f>IFERROR(__xludf.DUMMYFUNCTION("""COMPUTED_VALUE"""),"amclewd8x@cdbaby.com")</f>
        <v>amclewd8x@cdbaby.com</v>
      </c>
      <c r="D322" s="4">
        <f>IFERROR(__xludf.DUMMYFUNCTION("""COMPUTED_VALUE"""),124.0)</f>
        <v>124</v>
      </c>
      <c r="E322" s="4">
        <f>IFERROR(__xludf.DUMMYFUNCTION("""COMPUTED_VALUE"""),81.0)</f>
        <v>81</v>
      </c>
      <c r="F322" s="4">
        <f>IFERROR(__xludf.DUMMYFUNCTION("""COMPUTED_VALUE"""),2.0)</f>
        <v>2</v>
      </c>
      <c r="G322" s="4">
        <f>IFERROR(__xludf.DUMMYFUNCTION("""COMPUTED_VALUE"""),205.0)</f>
        <v>205</v>
      </c>
      <c r="H322" s="5">
        <f>IFERROR(__xludf.DUMMYFUNCTION("""COMPUTED_VALUE"""),6282.0)</f>
        <v>6282</v>
      </c>
      <c r="I322" s="5">
        <f>IFERROR(__xludf.DUMMYFUNCTION("""COMPUTED_VALUE"""),2606.4)</f>
        <v>2606.4</v>
      </c>
      <c r="J322" s="5">
        <f>IFERROR(__xludf.DUMMYFUNCTION("""COMPUTED_VALUE"""),5399.72)</f>
        <v>5399.72</v>
      </c>
      <c r="K322" s="5">
        <f>IFERROR(__xludf.DUMMYFUNCTION("""COMPUTED_VALUE"""),5082.76)</f>
        <v>5082.76</v>
      </c>
      <c r="L322" s="4">
        <f>IFERROR(__xludf.DUMMYFUNCTION("""COMPUTED_VALUE"""),1.0)</f>
        <v>1</v>
      </c>
      <c r="M322" s="4">
        <f>IFERROR(__xludf.DUMMYFUNCTION("""COMPUTED_VALUE"""),89.0)</f>
        <v>89</v>
      </c>
      <c r="N322" s="2" t="str">
        <f>IFERROR(__xludf.DUMMYFUNCTION("""COMPUTED_VALUE"""),"VERDADERO")</f>
        <v>VERDADERO</v>
      </c>
    </row>
    <row r="323">
      <c r="A323" s="2">
        <f>IFERROR(__xludf.DUMMYFUNCTION("""COMPUTED_VALUE"""),322.0)</f>
        <v>322</v>
      </c>
      <c r="B323" s="2" t="str">
        <f>IFERROR(__xludf.DUMMYFUNCTION("""COMPUTED_VALUE"""),"Tierney Ottewill")</f>
        <v>Tierney Ottewill</v>
      </c>
      <c r="C323" s="2" t="str">
        <f>IFERROR(__xludf.DUMMYFUNCTION("""COMPUTED_VALUE"""),"tottewill8y@umn.edu")</f>
        <v>tottewill8y@umn.edu</v>
      </c>
      <c r="D323" s="4">
        <f>IFERROR(__xludf.DUMMYFUNCTION("""COMPUTED_VALUE"""),29.0)</f>
        <v>29</v>
      </c>
      <c r="E323" s="4">
        <f>IFERROR(__xludf.DUMMYFUNCTION("""COMPUTED_VALUE"""),120.0)</f>
        <v>120</v>
      </c>
      <c r="F323" s="4">
        <f>IFERROR(__xludf.DUMMYFUNCTION("""COMPUTED_VALUE"""),5.0)</f>
        <v>5</v>
      </c>
      <c r="G323" s="4">
        <f>IFERROR(__xludf.DUMMYFUNCTION("""COMPUTED_VALUE"""),862.0)</f>
        <v>862</v>
      </c>
      <c r="H323" s="5">
        <f>IFERROR(__xludf.DUMMYFUNCTION("""COMPUTED_VALUE"""),7959.4)</f>
        <v>7959.4</v>
      </c>
      <c r="I323" s="5">
        <f>IFERROR(__xludf.DUMMYFUNCTION("""COMPUTED_VALUE"""),4254.19)</f>
        <v>4254.19</v>
      </c>
      <c r="J323" s="5">
        <f>IFERROR(__xludf.DUMMYFUNCTION("""COMPUTED_VALUE"""),9638.0)</f>
        <v>9638</v>
      </c>
      <c r="K323" s="5">
        <f>IFERROR(__xludf.DUMMYFUNCTION("""COMPUTED_VALUE"""),2785.01)</f>
        <v>2785.01</v>
      </c>
      <c r="L323" s="4">
        <f>IFERROR(__xludf.DUMMYFUNCTION("""COMPUTED_VALUE"""),16.0)</f>
        <v>16</v>
      </c>
      <c r="M323" s="4">
        <f>IFERROR(__xludf.DUMMYFUNCTION("""COMPUTED_VALUE"""),47.0)</f>
        <v>47</v>
      </c>
      <c r="N323" s="2" t="str">
        <f>IFERROR(__xludf.DUMMYFUNCTION("""COMPUTED_VALUE"""),"FALSO")</f>
        <v>FALSO</v>
      </c>
    </row>
    <row r="324">
      <c r="A324" s="2">
        <f>IFERROR(__xludf.DUMMYFUNCTION("""COMPUTED_VALUE"""),323.0)</f>
        <v>323</v>
      </c>
      <c r="B324" s="2" t="str">
        <f>IFERROR(__xludf.DUMMYFUNCTION("""COMPUTED_VALUE"""),"Waylin Dewitt")</f>
        <v>Waylin Dewitt</v>
      </c>
      <c r="C324" s="2" t="str">
        <f>IFERROR(__xludf.DUMMYFUNCTION("""COMPUTED_VALUE"""),"wdewitt8z@sbwire.com")</f>
        <v>wdewitt8z@sbwire.com</v>
      </c>
      <c r="D324" s="4">
        <f>IFERROR(__xludf.DUMMYFUNCTION("""COMPUTED_VALUE"""),30.0)</f>
        <v>30</v>
      </c>
      <c r="E324" s="4">
        <f>IFERROR(__xludf.DUMMYFUNCTION("""COMPUTED_VALUE"""),66.0)</f>
        <v>66</v>
      </c>
      <c r="F324" s="4">
        <f>IFERROR(__xludf.DUMMYFUNCTION("""COMPUTED_VALUE"""),6.0)</f>
        <v>6</v>
      </c>
      <c r="G324" s="4">
        <f>IFERROR(__xludf.DUMMYFUNCTION("""COMPUTED_VALUE"""),1602.0)</f>
        <v>1602</v>
      </c>
      <c r="H324" s="5">
        <f>IFERROR(__xludf.DUMMYFUNCTION("""COMPUTED_VALUE"""),2330.75)</f>
        <v>2330.75</v>
      </c>
      <c r="I324" s="5">
        <f>IFERROR(__xludf.DUMMYFUNCTION("""COMPUTED_VALUE"""),7161.46)</f>
        <v>7161.46</v>
      </c>
      <c r="J324" s="5">
        <f>IFERROR(__xludf.DUMMYFUNCTION("""COMPUTED_VALUE"""),8463.95)</f>
        <v>8463.95</v>
      </c>
      <c r="K324" s="5">
        <f>IFERROR(__xludf.DUMMYFUNCTION("""COMPUTED_VALUE"""),386.97)</f>
        <v>386.97</v>
      </c>
      <c r="L324" s="4">
        <f>IFERROR(__xludf.DUMMYFUNCTION("""COMPUTED_VALUE"""),10.0)</f>
        <v>10</v>
      </c>
      <c r="M324" s="4">
        <f>IFERROR(__xludf.DUMMYFUNCTION("""COMPUTED_VALUE"""),1.0)</f>
        <v>1</v>
      </c>
      <c r="N324" s="2" t="str">
        <f>IFERROR(__xludf.DUMMYFUNCTION("""COMPUTED_VALUE"""),"VERDADERO")</f>
        <v>VERDADERO</v>
      </c>
    </row>
    <row r="325">
      <c r="A325" s="2">
        <f>IFERROR(__xludf.DUMMYFUNCTION("""COMPUTED_VALUE"""),324.0)</f>
        <v>324</v>
      </c>
      <c r="B325" s="2" t="str">
        <f>IFERROR(__xludf.DUMMYFUNCTION("""COMPUTED_VALUE"""),"Elbertine Burtonwood")</f>
        <v>Elbertine Burtonwood</v>
      </c>
      <c r="C325" s="2" t="str">
        <f>IFERROR(__xludf.DUMMYFUNCTION("""COMPUTED_VALUE"""),"eburtonwood90@archive.org")</f>
        <v>eburtonwood90@archive.org</v>
      </c>
      <c r="D325" s="4">
        <f>IFERROR(__xludf.DUMMYFUNCTION("""COMPUTED_VALUE"""),29.0)</f>
        <v>29</v>
      </c>
      <c r="E325" s="4">
        <f>IFERROR(__xludf.DUMMYFUNCTION("""COMPUTED_VALUE"""),123.0)</f>
        <v>123</v>
      </c>
      <c r="F325" s="4">
        <f>IFERROR(__xludf.DUMMYFUNCTION("""COMPUTED_VALUE"""),7.0)</f>
        <v>7</v>
      </c>
      <c r="G325" s="4">
        <f>IFERROR(__xludf.DUMMYFUNCTION("""COMPUTED_VALUE"""),796.0)</f>
        <v>796</v>
      </c>
      <c r="H325" s="5">
        <f>IFERROR(__xludf.DUMMYFUNCTION("""COMPUTED_VALUE"""),9486.77)</f>
        <v>9486.77</v>
      </c>
      <c r="I325" s="5">
        <f>IFERROR(__xludf.DUMMYFUNCTION("""COMPUTED_VALUE"""),8510.04)</f>
        <v>8510.04</v>
      </c>
      <c r="J325" s="5">
        <f>IFERROR(__xludf.DUMMYFUNCTION("""COMPUTED_VALUE"""),851.9)</f>
        <v>851.9</v>
      </c>
      <c r="K325" s="5">
        <f>IFERROR(__xludf.DUMMYFUNCTION("""COMPUTED_VALUE"""),6922.96)</f>
        <v>6922.96</v>
      </c>
      <c r="L325" s="4">
        <f>IFERROR(__xludf.DUMMYFUNCTION("""COMPUTED_VALUE"""),15.0)</f>
        <v>15</v>
      </c>
      <c r="M325" s="4">
        <f>IFERROR(__xludf.DUMMYFUNCTION("""COMPUTED_VALUE"""),42.0)</f>
        <v>42</v>
      </c>
      <c r="N325" s="2" t="str">
        <f>IFERROR(__xludf.DUMMYFUNCTION("""COMPUTED_VALUE"""),"FALSO")</f>
        <v>FALSO</v>
      </c>
    </row>
    <row r="326">
      <c r="A326" s="2">
        <f>IFERROR(__xludf.DUMMYFUNCTION("""COMPUTED_VALUE"""),325.0)</f>
        <v>325</v>
      </c>
      <c r="B326" s="2" t="str">
        <f>IFERROR(__xludf.DUMMYFUNCTION("""COMPUTED_VALUE"""),"Paulette Wilfinger")</f>
        <v>Paulette Wilfinger</v>
      </c>
      <c r="C326" s="2" t="str">
        <f>IFERROR(__xludf.DUMMYFUNCTION("""COMPUTED_VALUE"""),"pwilfinger91@mozilla.org")</f>
        <v>pwilfinger91@mozilla.org</v>
      </c>
      <c r="D326" s="4">
        <f>IFERROR(__xludf.DUMMYFUNCTION("""COMPUTED_VALUE"""),41.0)</f>
        <v>41</v>
      </c>
      <c r="E326" s="4">
        <f>IFERROR(__xludf.DUMMYFUNCTION("""COMPUTED_VALUE"""),82.0)</f>
        <v>82</v>
      </c>
      <c r="F326" s="4">
        <f>IFERROR(__xludf.DUMMYFUNCTION("""COMPUTED_VALUE"""),3.0)</f>
        <v>3</v>
      </c>
      <c r="G326" s="4">
        <f>IFERROR(__xludf.DUMMYFUNCTION("""COMPUTED_VALUE"""),1563.0)</f>
        <v>1563</v>
      </c>
      <c r="H326" s="5">
        <f>IFERROR(__xludf.DUMMYFUNCTION("""COMPUTED_VALUE"""),4455.5)</f>
        <v>4455.5</v>
      </c>
      <c r="I326" s="5">
        <f>IFERROR(__xludf.DUMMYFUNCTION("""COMPUTED_VALUE"""),4788.72)</f>
        <v>4788.72</v>
      </c>
      <c r="J326" s="5">
        <f>IFERROR(__xludf.DUMMYFUNCTION("""COMPUTED_VALUE"""),8711.24)</f>
        <v>8711.24</v>
      </c>
      <c r="K326" s="5">
        <f>IFERROR(__xludf.DUMMYFUNCTION("""COMPUTED_VALUE"""),6403.39)</f>
        <v>6403.39</v>
      </c>
      <c r="L326" s="4">
        <f>IFERROR(__xludf.DUMMYFUNCTION("""COMPUTED_VALUE"""),10.0)</f>
        <v>10</v>
      </c>
      <c r="M326" s="4">
        <f>IFERROR(__xludf.DUMMYFUNCTION("""COMPUTED_VALUE"""),82.0)</f>
        <v>82</v>
      </c>
      <c r="N326" s="2" t="str">
        <f>IFERROR(__xludf.DUMMYFUNCTION("""COMPUTED_VALUE"""),"FALSO")</f>
        <v>FALSO</v>
      </c>
    </row>
    <row r="327">
      <c r="A327" s="2">
        <f>IFERROR(__xludf.DUMMYFUNCTION("""COMPUTED_VALUE"""),326.0)</f>
        <v>326</v>
      </c>
      <c r="B327" s="2" t="str">
        <f>IFERROR(__xludf.DUMMYFUNCTION("""COMPUTED_VALUE"""),"Sybila Churchard")</f>
        <v>Sybila Churchard</v>
      </c>
      <c r="C327" s="2" t="str">
        <f>IFERROR(__xludf.DUMMYFUNCTION("""COMPUTED_VALUE"""),"schurchard92@blogs.com")</f>
        <v>schurchard92@blogs.com</v>
      </c>
      <c r="D327" s="4">
        <f>IFERROR(__xludf.DUMMYFUNCTION("""COMPUTED_VALUE"""),29.0)</f>
        <v>29</v>
      </c>
      <c r="E327" s="4">
        <f>IFERROR(__xludf.DUMMYFUNCTION("""COMPUTED_VALUE"""),58.0)</f>
        <v>58</v>
      </c>
      <c r="F327" s="4">
        <f>IFERROR(__xludf.DUMMYFUNCTION("""COMPUTED_VALUE"""),3.0)</f>
        <v>3</v>
      </c>
      <c r="G327" s="4">
        <f>IFERROR(__xludf.DUMMYFUNCTION("""COMPUTED_VALUE"""),1565.0)</f>
        <v>1565</v>
      </c>
      <c r="H327" s="5">
        <f>IFERROR(__xludf.DUMMYFUNCTION("""COMPUTED_VALUE"""),3110.43)</f>
        <v>3110.43</v>
      </c>
      <c r="I327" s="5">
        <f>IFERROR(__xludf.DUMMYFUNCTION("""COMPUTED_VALUE"""),7773.09)</f>
        <v>7773.09</v>
      </c>
      <c r="J327" s="5">
        <f>IFERROR(__xludf.DUMMYFUNCTION("""COMPUTED_VALUE"""),5252.43)</f>
        <v>5252.43</v>
      </c>
      <c r="K327" s="5">
        <f>IFERROR(__xludf.DUMMYFUNCTION("""COMPUTED_VALUE"""),3263.39)</f>
        <v>3263.39</v>
      </c>
      <c r="L327" s="4">
        <f>IFERROR(__xludf.DUMMYFUNCTION("""COMPUTED_VALUE"""),8.0)</f>
        <v>8</v>
      </c>
      <c r="M327" s="4">
        <f>IFERROR(__xludf.DUMMYFUNCTION("""COMPUTED_VALUE"""),77.0)</f>
        <v>77</v>
      </c>
      <c r="N327" s="2" t="str">
        <f>IFERROR(__xludf.DUMMYFUNCTION("""COMPUTED_VALUE"""),"FALSO")</f>
        <v>FALSO</v>
      </c>
    </row>
    <row r="328">
      <c r="A328" s="2">
        <f>IFERROR(__xludf.DUMMYFUNCTION("""COMPUTED_VALUE"""),327.0)</f>
        <v>327</v>
      </c>
      <c r="B328" s="2" t="str">
        <f>IFERROR(__xludf.DUMMYFUNCTION("""COMPUTED_VALUE"""),"Marylinda Hogben")</f>
        <v>Marylinda Hogben</v>
      </c>
      <c r="C328" s="2" t="str">
        <f>IFERROR(__xludf.DUMMYFUNCTION("""COMPUTED_VALUE"""),"mhogben93@goodreads.com")</f>
        <v>mhogben93@goodreads.com</v>
      </c>
      <c r="D328" s="4">
        <f>IFERROR(__xludf.DUMMYFUNCTION("""COMPUTED_VALUE"""),75.0)</f>
        <v>75</v>
      </c>
      <c r="E328" s="4">
        <f>IFERROR(__xludf.DUMMYFUNCTION("""COMPUTED_VALUE"""),64.0)</f>
        <v>64</v>
      </c>
      <c r="F328" s="4">
        <f>IFERROR(__xludf.DUMMYFUNCTION("""COMPUTED_VALUE"""),4.0)</f>
        <v>4</v>
      </c>
      <c r="G328" s="4">
        <f>IFERROR(__xludf.DUMMYFUNCTION("""COMPUTED_VALUE"""),1083.0)</f>
        <v>1083</v>
      </c>
      <c r="H328" s="5">
        <f>IFERROR(__xludf.DUMMYFUNCTION("""COMPUTED_VALUE"""),5383.6)</f>
        <v>5383.6</v>
      </c>
      <c r="I328" s="5">
        <f>IFERROR(__xludf.DUMMYFUNCTION("""COMPUTED_VALUE"""),1533.85)</f>
        <v>1533.85</v>
      </c>
      <c r="J328" s="5">
        <f>IFERROR(__xludf.DUMMYFUNCTION("""COMPUTED_VALUE"""),8421.21)</f>
        <v>8421.21</v>
      </c>
      <c r="K328" s="5">
        <f>IFERROR(__xludf.DUMMYFUNCTION("""COMPUTED_VALUE"""),6521.1)</f>
        <v>6521.1</v>
      </c>
      <c r="L328" s="4">
        <f>IFERROR(__xludf.DUMMYFUNCTION("""COMPUTED_VALUE"""),17.0)</f>
        <v>17</v>
      </c>
      <c r="M328" s="4">
        <f>IFERROR(__xludf.DUMMYFUNCTION("""COMPUTED_VALUE"""),54.0)</f>
        <v>54</v>
      </c>
      <c r="N328" s="2" t="str">
        <f>IFERROR(__xludf.DUMMYFUNCTION("""COMPUTED_VALUE"""),"VERDADERO")</f>
        <v>VERDADERO</v>
      </c>
    </row>
    <row r="329">
      <c r="A329" s="2">
        <f>IFERROR(__xludf.DUMMYFUNCTION("""COMPUTED_VALUE"""),328.0)</f>
        <v>328</v>
      </c>
      <c r="B329" s="2" t="str">
        <f>IFERROR(__xludf.DUMMYFUNCTION("""COMPUTED_VALUE"""),"Florella Galway")</f>
        <v>Florella Galway</v>
      </c>
      <c r="C329" s="2" t="str">
        <f>IFERROR(__xludf.DUMMYFUNCTION("""COMPUTED_VALUE"""),"fgalway94@mapquest.com")</f>
        <v>fgalway94@mapquest.com</v>
      </c>
      <c r="D329" s="4">
        <f>IFERROR(__xludf.DUMMYFUNCTION("""COMPUTED_VALUE"""),76.0)</f>
        <v>76</v>
      </c>
      <c r="E329" s="4">
        <f>IFERROR(__xludf.DUMMYFUNCTION("""COMPUTED_VALUE"""),101.0)</f>
        <v>101</v>
      </c>
      <c r="F329" s="4">
        <f>IFERROR(__xludf.DUMMYFUNCTION("""COMPUTED_VALUE"""),5.0)</f>
        <v>5</v>
      </c>
      <c r="G329" s="4">
        <f>IFERROR(__xludf.DUMMYFUNCTION("""COMPUTED_VALUE"""),283.0)</f>
        <v>283</v>
      </c>
      <c r="H329" s="5">
        <f>IFERROR(__xludf.DUMMYFUNCTION("""COMPUTED_VALUE"""),722.15)</f>
        <v>722.15</v>
      </c>
      <c r="I329" s="5">
        <f>IFERROR(__xludf.DUMMYFUNCTION("""COMPUTED_VALUE"""),752.28)</f>
        <v>752.28</v>
      </c>
      <c r="J329" s="5">
        <f>IFERROR(__xludf.DUMMYFUNCTION("""COMPUTED_VALUE"""),4419.13)</f>
        <v>4419.13</v>
      </c>
      <c r="K329" s="5">
        <f>IFERROR(__xludf.DUMMYFUNCTION("""COMPUTED_VALUE"""),7906.43)</f>
        <v>7906.43</v>
      </c>
      <c r="L329" s="4">
        <f>IFERROR(__xludf.DUMMYFUNCTION("""COMPUTED_VALUE"""),14.0)</f>
        <v>14</v>
      </c>
      <c r="M329" s="4">
        <f>IFERROR(__xludf.DUMMYFUNCTION("""COMPUTED_VALUE"""),14.0)</f>
        <v>14</v>
      </c>
      <c r="N329" s="2" t="str">
        <f>IFERROR(__xludf.DUMMYFUNCTION("""COMPUTED_VALUE"""),"FALSO")</f>
        <v>FALSO</v>
      </c>
    </row>
    <row r="330">
      <c r="A330" s="2">
        <f>IFERROR(__xludf.DUMMYFUNCTION("""COMPUTED_VALUE"""),329.0)</f>
        <v>329</v>
      </c>
      <c r="B330" s="2" t="str">
        <f>IFERROR(__xludf.DUMMYFUNCTION("""COMPUTED_VALUE"""),"Lynnell Shanahan")</f>
        <v>Lynnell Shanahan</v>
      </c>
      <c r="C330" s="2" t="str">
        <f>IFERROR(__xludf.DUMMYFUNCTION("""COMPUTED_VALUE"""),"lshanahan95@wikipedia.org")</f>
        <v>lshanahan95@wikipedia.org</v>
      </c>
      <c r="D330" s="4">
        <f>IFERROR(__xludf.DUMMYFUNCTION("""COMPUTED_VALUE"""),29.0)</f>
        <v>29</v>
      </c>
      <c r="E330" s="4">
        <f>IFERROR(__xludf.DUMMYFUNCTION("""COMPUTED_VALUE"""),81.0)</f>
        <v>81</v>
      </c>
      <c r="F330" s="4">
        <f>IFERROR(__xludf.DUMMYFUNCTION("""COMPUTED_VALUE"""),2.0)</f>
        <v>2</v>
      </c>
      <c r="G330" s="4">
        <f>IFERROR(__xludf.DUMMYFUNCTION("""COMPUTED_VALUE"""),1253.0)</f>
        <v>1253</v>
      </c>
      <c r="H330" s="5">
        <f>IFERROR(__xludf.DUMMYFUNCTION("""COMPUTED_VALUE"""),8655.56)</f>
        <v>8655.56</v>
      </c>
      <c r="I330" s="5">
        <f>IFERROR(__xludf.DUMMYFUNCTION("""COMPUTED_VALUE"""),2257.52)</f>
        <v>2257.52</v>
      </c>
      <c r="J330" s="5">
        <f>IFERROR(__xludf.DUMMYFUNCTION("""COMPUTED_VALUE"""),9363.52)</f>
        <v>9363.52</v>
      </c>
      <c r="K330" s="5">
        <f>IFERROR(__xludf.DUMMYFUNCTION("""COMPUTED_VALUE"""),2536.92)</f>
        <v>2536.92</v>
      </c>
      <c r="L330" s="4">
        <f>IFERROR(__xludf.DUMMYFUNCTION("""COMPUTED_VALUE"""),20.0)</f>
        <v>20</v>
      </c>
      <c r="M330" s="4">
        <f>IFERROR(__xludf.DUMMYFUNCTION("""COMPUTED_VALUE"""),83.0)</f>
        <v>83</v>
      </c>
      <c r="N330" s="2" t="str">
        <f>IFERROR(__xludf.DUMMYFUNCTION("""COMPUTED_VALUE"""),"VERDADERO")</f>
        <v>VERDADERO</v>
      </c>
    </row>
    <row r="331">
      <c r="A331" s="2">
        <f>IFERROR(__xludf.DUMMYFUNCTION("""COMPUTED_VALUE"""),330.0)</f>
        <v>330</v>
      </c>
      <c r="B331" s="2" t="str">
        <f>IFERROR(__xludf.DUMMYFUNCTION("""COMPUTED_VALUE"""),"Emmi Baythrop")</f>
        <v>Emmi Baythrop</v>
      </c>
      <c r="C331" s="2" t="str">
        <f>IFERROR(__xludf.DUMMYFUNCTION("""COMPUTED_VALUE"""),"ebaythrop96@seesaa.net")</f>
        <v>ebaythrop96@seesaa.net</v>
      </c>
      <c r="D331" s="4">
        <f>IFERROR(__xludf.DUMMYFUNCTION("""COMPUTED_VALUE"""),150.0)</f>
        <v>150</v>
      </c>
      <c r="E331" s="4">
        <f>IFERROR(__xludf.DUMMYFUNCTION("""COMPUTED_VALUE"""),2.0)</f>
        <v>2</v>
      </c>
      <c r="F331" s="4">
        <f>IFERROR(__xludf.DUMMYFUNCTION("""COMPUTED_VALUE"""),11.0)</f>
        <v>11</v>
      </c>
      <c r="G331" s="4">
        <f>IFERROR(__xludf.DUMMYFUNCTION("""COMPUTED_VALUE"""),1596.0)</f>
        <v>1596</v>
      </c>
      <c r="H331" s="5">
        <f>IFERROR(__xludf.DUMMYFUNCTION("""COMPUTED_VALUE"""),4404.85)</f>
        <v>4404.85</v>
      </c>
      <c r="I331" s="5">
        <f>IFERROR(__xludf.DUMMYFUNCTION("""COMPUTED_VALUE"""),79.73)</f>
        <v>79.73</v>
      </c>
      <c r="J331" s="5">
        <f>IFERROR(__xludf.DUMMYFUNCTION("""COMPUTED_VALUE"""),9336.95)</f>
        <v>9336.95</v>
      </c>
      <c r="K331" s="5">
        <f>IFERROR(__xludf.DUMMYFUNCTION("""COMPUTED_VALUE"""),9447.43)</f>
        <v>9447.43</v>
      </c>
      <c r="L331" s="4">
        <f>IFERROR(__xludf.DUMMYFUNCTION("""COMPUTED_VALUE"""),3.0)</f>
        <v>3</v>
      </c>
      <c r="M331" s="4">
        <f>IFERROR(__xludf.DUMMYFUNCTION("""COMPUTED_VALUE"""),13.0)</f>
        <v>13</v>
      </c>
      <c r="N331" s="2" t="str">
        <f>IFERROR(__xludf.DUMMYFUNCTION("""COMPUTED_VALUE"""),"FALSO")</f>
        <v>FALSO</v>
      </c>
    </row>
    <row r="332">
      <c r="A332" s="2">
        <f>IFERROR(__xludf.DUMMYFUNCTION("""COMPUTED_VALUE"""),331.0)</f>
        <v>331</v>
      </c>
      <c r="B332" s="2" t="str">
        <f>IFERROR(__xludf.DUMMYFUNCTION("""COMPUTED_VALUE"""),"James Tesauro")</f>
        <v>James Tesauro</v>
      </c>
      <c r="C332" s="2" t="str">
        <f>IFERROR(__xludf.DUMMYFUNCTION("""COMPUTED_VALUE"""),"jtesauro97@sun.com")</f>
        <v>jtesauro97@sun.com</v>
      </c>
      <c r="D332" s="4">
        <f>IFERROR(__xludf.DUMMYFUNCTION("""COMPUTED_VALUE"""),33.0)</f>
        <v>33</v>
      </c>
      <c r="E332" s="4">
        <f>IFERROR(__xludf.DUMMYFUNCTION("""COMPUTED_VALUE"""),109.0)</f>
        <v>109</v>
      </c>
      <c r="F332" s="4">
        <f>IFERROR(__xludf.DUMMYFUNCTION("""COMPUTED_VALUE"""),5.0)</f>
        <v>5</v>
      </c>
      <c r="G332" s="4">
        <f>IFERROR(__xludf.DUMMYFUNCTION("""COMPUTED_VALUE"""),1283.0)</f>
        <v>1283</v>
      </c>
      <c r="H332" s="5">
        <f>IFERROR(__xludf.DUMMYFUNCTION("""COMPUTED_VALUE"""),1501.91)</f>
        <v>1501.91</v>
      </c>
      <c r="I332" s="5">
        <f>IFERROR(__xludf.DUMMYFUNCTION("""COMPUTED_VALUE"""),3413.44)</f>
        <v>3413.44</v>
      </c>
      <c r="J332" s="5">
        <f>IFERROR(__xludf.DUMMYFUNCTION("""COMPUTED_VALUE"""),7709.58)</f>
        <v>7709.58</v>
      </c>
      <c r="K332" s="5">
        <f>IFERROR(__xludf.DUMMYFUNCTION("""COMPUTED_VALUE"""),8248.3)</f>
        <v>8248.3</v>
      </c>
      <c r="L332" s="4">
        <f>IFERROR(__xludf.DUMMYFUNCTION("""COMPUTED_VALUE"""),12.0)</f>
        <v>12</v>
      </c>
      <c r="M332" s="4">
        <f>IFERROR(__xludf.DUMMYFUNCTION("""COMPUTED_VALUE"""),7.0)</f>
        <v>7</v>
      </c>
      <c r="N332" s="2" t="str">
        <f>IFERROR(__xludf.DUMMYFUNCTION("""COMPUTED_VALUE"""),"VERDADERO")</f>
        <v>VERDADERO</v>
      </c>
    </row>
    <row r="333">
      <c r="A333" s="2">
        <f>IFERROR(__xludf.DUMMYFUNCTION("""COMPUTED_VALUE"""),332.0)</f>
        <v>332</v>
      </c>
      <c r="B333" s="2" t="str">
        <f>IFERROR(__xludf.DUMMYFUNCTION("""COMPUTED_VALUE"""),"Clint Realph")</f>
        <v>Clint Realph</v>
      </c>
      <c r="C333" s="2" t="str">
        <f>IFERROR(__xludf.DUMMYFUNCTION("""COMPUTED_VALUE"""),"crealph98@stanford.edu")</f>
        <v>crealph98@stanford.edu</v>
      </c>
      <c r="D333" s="4">
        <f>IFERROR(__xludf.DUMMYFUNCTION("""COMPUTED_VALUE"""),90.0)</f>
        <v>90</v>
      </c>
      <c r="E333" s="4">
        <f>IFERROR(__xludf.DUMMYFUNCTION("""COMPUTED_VALUE"""),81.0)</f>
        <v>81</v>
      </c>
      <c r="F333" s="4">
        <f>IFERROR(__xludf.DUMMYFUNCTION("""COMPUTED_VALUE"""),2.0)</f>
        <v>2</v>
      </c>
      <c r="G333" s="4">
        <f>IFERROR(__xludf.DUMMYFUNCTION("""COMPUTED_VALUE"""),591.0)</f>
        <v>591</v>
      </c>
      <c r="H333" s="5">
        <f>IFERROR(__xludf.DUMMYFUNCTION("""COMPUTED_VALUE"""),4256.78)</f>
        <v>4256.78</v>
      </c>
      <c r="I333" s="5">
        <f>IFERROR(__xludf.DUMMYFUNCTION("""COMPUTED_VALUE"""),6070.3)</f>
        <v>6070.3</v>
      </c>
      <c r="J333" s="5">
        <f>IFERROR(__xludf.DUMMYFUNCTION("""COMPUTED_VALUE"""),4197.92)</f>
        <v>4197.92</v>
      </c>
      <c r="K333" s="5">
        <f>IFERROR(__xludf.DUMMYFUNCTION("""COMPUTED_VALUE"""),3212.94)</f>
        <v>3212.94</v>
      </c>
      <c r="L333" s="4">
        <f>IFERROR(__xludf.DUMMYFUNCTION("""COMPUTED_VALUE"""),3.0)</f>
        <v>3</v>
      </c>
      <c r="M333" s="4">
        <f>IFERROR(__xludf.DUMMYFUNCTION("""COMPUTED_VALUE"""),68.0)</f>
        <v>68</v>
      </c>
      <c r="N333" s="2" t="str">
        <f>IFERROR(__xludf.DUMMYFUNCTION("""COMPUTED_VALUE"""),"FALSO")</f>
        <v>FALSO</v>
      </c>
    </row>
    <row r="334">
      <c r="A334" s="2">
        <f>IFERROR(__xludf.DUMMYFUNCTION("""COMPUTED_VALUE"""),333.0)</f>
        <v>333</v>
      </c>
      <c r="B334" s="2" t="str">
        <f>IFERROR(__xludf.DUMMYFUNCTION("""COMPUTED_VALUE"""),"Bobbie Waycot")</f>
        <v>Bobbie Waycot</v>
      </c>
      <c r="C334" s="2" t="str">
        <f>IFERROR(__xludf.DUMMYFUNCTION("""COMPUTED_VALUE"""),"bwaycot99@nps.gov")</f>
        <v>bwaycot99@nps.gov</v>
      </c>
      <c r="D334" s="4">
        <f>IFERROR(__xludf.DUMMYFUNCTION("""COMPUTED_VALUE"""),24.0)</f>
        <v>24</v>
      </c>
      <c r="E334" s="4">
        <f>IFERROR(__xludf.DUMMYFUNCTION("""COMPUTED_VALUE"""),5.0)</f>
        <v>5</v>
      </c>
      <c r="F334" s="4">
        <f>IFERROR(__xludf.DUMMYFUNCTION("""COMPUTED_VALUE"""),7.0)</f>
        <v>7</v>
      </c>
      <c r="G334" s="4">
        <f>IFERROR(__xludf.DUMMYFUNCTION("""COMPUTED_VALUE"""),71.0)</f>
        <v>71</v>
      </c>
      <c r="H334" s="5">
        <f>IFERROR(__xludf.DUMMYFUNCTION("""COMPUTED_VALUE"""),7565.94)</f>
        <v>7565.94</v>
      </c>
      <c r="I334" s="5">
        <f>IFERROR(__xludf.DUMMYFUNCTION("""COMPUTED_VALUE"""),6674.69)</f>
        <v>6674.69</v>
      </c>
      <c r="J334" s="5">
        <f>IFERROR(__xludf.DUMMYFUNCTION("""COMPUTED_VALUE"""),7801.28)</f>
        <v>7801.28</v>
      </c>
      <c r="K334" s="5">
        <f>IFERROR(__xludf.DUMMYFUNCTION("""COMPUTED_VALUE"""),2991.96)</f>
        <v>2991.96</v>
      </c>
      <c r="L334" s="4">
        <f>IFERROR(__xludf.DUMMYFUNCTION("""COMPUTED_VALUE"""),8.0)</f>
        <v>8</v>
      </c>
      <c r="M334" s="4">
        <f>IFERROR(__xludf.DUMMYFUNCTION("""COMPUTED_VALUE"""),64.0)</f>
        <v>64</v>
      </c>
      <c r="N334" s="2" t="str">
        <f>IFERROR(__xludf.DUMMYFUNCTION("""COMPUTED_VALUE"""),"VERDADERO")</f>
        <v>VERDADERO</v>
      </c>
    </row>
    <row r="335">
      <c r="A335" s="2">
        <f>IFERROR(__xludf.DUMMYFUNCTION("""COMPUTED_VALUE"""),334.0)</f>
        <v>334</v>
      </c>
      <c r="B335" s="2" t="str">
        <f>IFERROR(__xludf.DUMMYFUNCTION("""COMPUTED_VALUE"""),"Lizbeth Fick")</f>
        <v>Lizbeth Fick</v>
      </c>
      <c r="C335" s="2" t="str">
        <f>IFERROR(__xludf.DUMMYFUNCTION("""COMPUTED_VALUE"""),"lfick9a@topsy.com")</f>
        <v>lfick9a@topsy.com</v>
      </c>
      <c r="D335" s="4">
        <f>IFERROR(__xludf.DUMMYFUNCTION("""COMPUTED_VALUE"""),122.0)</f>
        <v>122</v>
      </c>
      <c r="E335" s="4">
        <f>IFERROR(__xludf.DUMMYFUNCTION("""COMPUTED_VALUE"""),66.0)</f>
        <v>66</v>
      </c>
      <c r="F335" s="4">
        <f>IFERROR(__xludf.DUMMYFUNCTION("""COMPUTED_VALUE"""),6.0)</f>
        <v>6</v>
      </c>
      <c r="G335" s="4">
        <f>IFERROR(__xludf.DUMMYFUNCTION("""COMPUTED_VALUE"""),1055.0)</f>
        <v>1055</v>
      </c>
      <c r="H335" s="5">
        <f>IFERROR(__xludf.DUMMYFUNCTION("""COMPUTED_VALUE"""),9479.67)</f>
        <v>9479.67</v>
      </c>
      <c r="I335" s="5">
        <f>IFERROR(__xludf.DUMMYFUNCTION("""COMPUTED_VALUE"""),9829.39)</f>
        <v>9829.39</v>
      </c>
      <c r="J335" s="5">
        <f>IFERROR(__xludf.DUMMYFUNCTION("""COMPUTED_VALUE"""),6320.81)</f>
        <v>6320.81</v>
      </c>
      <c r="K335" s="5">
        <f>IFERROR(__xludf.DUMMYFUNCTION("""COMPUTED_VALUE"""),3123.33)</f>
        <v>3123.33</v>
      </c>
      <c r="L335" s="4">
        <f>IFERROR(__xludf.DUMMYFUNCTION("""COMPUTED_VALUE"""),11.0)</f>
        <v>11</v>
      </c>
      <c r="M335" s="4">
        <f>IFERROR(__xludf.DUMMYFUNCTION("""COMPUTED_VALUE"""),9.0)</f>
        <v>9</v>
      </c>
      <c r="N335" s="2" t="str">
        <f>IFERROR(__xludf.DUMMYFUNCTION("""COMPUTED_VALUE"""),"VERDADERO")</f>
        <v>VERDADERO</v>
      </c>
    </row>
    <row r="336">
      <c r="A336" s="2">
        <f>IFERROR(__xludf.DUMMYFUNCTION("""COMPUTED_VALUE"""),335.0)</f>
        <v>335</v>
      </c>
      <c r="B336" s="2" t="str">
        <f>IFERROR(__xludf.DUMMYFUNCTION("""COMPUTED_VALUE"""),"Kala MacNeillie")</f>
        <v>Kala MacNeillie</v>
      </c>
      <c r="C336" s="2" t="str">
        <f>IFERROR(__xludf.DUMMYFUNCTION("""COMPUTED_VALUE"""),"kmacneillie9b@deliciousdays.com")</f>
        <v>kmacneillie9b@deliciousdays.com</v>
      </c>
      <c r="D336" s="4">
        <f>IFERROR(__xludf.DUMMYFUNCTION("""COMPUTED_VALUE"""),65.0)</f>
        <v>65</v>
      </c>
      <c r="E336" s="4">
        <f>IFERROR(__xludf.DUMMYFUNCTION("""COMPUTED_VALUE"""),85.0)</f>
        <v>85</v>
      </c>
      <c r="F336" s="4">
        <f>IFERROR(__xludf.DUMMYFUNCTION("""COMPUTED_VALUE"""),3.0)</f>
        <v>3</v>
      </c>
      <c r="G336" s="4">
        <f>IFERROR(__xludf.DUMMYFUNCTION("""COMPUTED_VALUE"""),87.0)</f>
        <v>87</v>
      </c>
      <c r="H336" s="5">
        <f>IFERROR(__xludf.DUMMYFUNCTION("""COMPUTED_VALUE"""),614.26)</f>
        <v>614.26</v>
      </c>
      <c r="I336" s="5">
        <f>IFERROR(__xludf.DUMMYFUNCTION("""COMPUTED_VALUE"""),4895.85)</f>
        <v>4895.85</v>
      </c>
      <c r="J336" s="5">
        <f>IFERROR(__xludf.DUMMYFUNCTION("""COMPUTED_VALUE"""),7985.02)</f>
        <v>7985.02</v>
      </c>
      <c r="K336" s="5">
        <f>IFERROR(__xludf.DUMMYFUNCTION("""COMPUTED_VALUE"""),9573.71)</f>
        <v>9573.71</v>
      </c>
      <c r="L336" s="4">
        <f>IFERROR(__xludf.DUMMYFUNCTION("""COMPUTED_VALUE"""),9.0)</f>
        <v>9</v>
      </c>
      <c r="M336" s="4">
        <f>IFERROR(__xludf.DUMMYFUNCTION("""COMPUTED_VALUE"""),92.0)</f>
        <v>92</v>
      </c>
      <c r="N336" s="2" t="str">
        <f>IFERROR(__xludf.DUMMYFUNCTION("""COMPUTED_VALUE"""),"VERDADERO")</f>
        <v>VERDADERO</v>
      </c>
    </row>
    <row r="337">
      <c r="A337" s="2">
        <f>IFERROR(__xludf.DUMMYFUNCTION("""COMPUTED_VALUE"""),336.0)</f>
        <v>336</v>
      </c>
      <c r="B337" s="2" t="str">
        <f>IFERROR(__xludf.DUMMYFUNCTION("""COMPUTED_VALUE"""),"Merci Rowes")</f>
        <v>Merci Rowes</v>
      </c>
      <c r="C337" s="2" t="str">
        <f>IFERROR(__xludf.DUMMYFUNCTION("""COMPUTED_VALUE"""),"mrowes9c@cnet.com")</f>
        <v>mrowes9c@cnet.com</v>
      </c>
      <c r="D337" s="4">
        <f>IFERROR(__xludf.DUMMYFUNCTION("""COMPUTED_VALUE"""),120.0)</f>
        <v>120</v>
      </c>
      <c r="E337" s="4">
        <f>IFERROR(__xludf.DUMMYFUNCTION("""COMPUTED_VALUE"""),104.0)</f>
        <v>104</v>
      </c>
      <c r="F337" s="4">
        <f>IFERROR(__xludf.DUMMYFUNCTION("""COMPUTED_VALUE"""),11.0)</f>
        <v>11</v>
      </c>
      <c r="G337" s="4">
        <f>IFERROR(__xludf.DUMMYFUNCTION("""COMPUTED_VALUE"""),1530.0)</f>
        <v>1530</v>
      </c>
      <c r="H337" s="5">
        <f>IFERROR(__xludf.DUMMYFUNCTION("""COMPUTED_VALUE"""),9608.65)</f>
        <v>9608.65</v>
      </c>
      <c r="I337" s="5">
        <f>IFERROR(__xludf.DUMMYFUNCTION("""COMPUTED_VALUE"""),3312.54)</f>
        <v>3312.54</v>
      </c>
      <c r="J337" s="5">
        <f>IFERROR(__xludf.DUMMYFUNCTION("""COMPUTED_VALUE"""),7688.09)</f>
        <v>7688.09</v>
      </c>
      <c r="K337" s="5">
        <f>IFERROR(__xludf.DUMMYFUNCTION("""COMPUTED_VALUE"""),590.39)</f>
        <v>590.39</v>
      </c>
      <c r="L337" s="4">
        <f>IFERROR(__xludf.DUMMYFUNCTION("""COMPUTED_VALUE"""),2.0)</f>
        <v>2</v>
      </c>
      <c r="M337" s="4">
        <f>IFERROR(__xludf.DUMMYFUNCTION("""COMPUTED_VALUE"""),21.0)</f>
        <v>21</v>
      </c>
      <c r="N337" s="2" t="str">
        <f>IFERROR(__xludf.DUMMYFUNCTION("""COMPUTED_VALUE"""),"VERDADERO")</f>
        <v>VERDADERO</v>
      </c>
    </row>
    <row r="338">
      <c r="A338" s="2">
        <f>IFERROR(__xludf.DUMMYFUNCTION("""COMPUTED_VALUE"""),337.0)</f>
        <v>337</v>
      </c>
      <c r="B338" s="2" t="str">
        <f>IFERROR(__xludf.DUMMYFUNCTION("""COMPUTED_VALUE"""),"Whittaker Rennox")</f>
        <v>Whittaker Rennox</v>
      </c>
      <c r="C338" s="2" t="str">
        <f>IFERROR(__xludf.DUMMYFUNCTION("""COMPUTED_VALUE"""),"wrennox9d@ucsd.edu")</f>
        <v>wrennox9d@ucsd.edu</v>
      </c>
      <c r="D338" s="4">
        <f>IFERROR(__xludf.DUMMYFUNCTION("""COMPUTED_VALUE"""),108.0)</f>
        <v>108</v>
      </c>
      <c r="E338" s="4">
        <f>IFERROR(__xludf.DUMMYFUNCTION("""COMPUTED_VALUE"""),112.0)</f>
        <v>112</v>
      </c>
      <c r="F338" s="4">
        <f>IFERROR(__xludf.DUMMYFUNCTION("""COMPUTED_VALUE"""),11.0)</f>
        <v>11</v>
      </c>
      <c r="G338" s="4">
        <f>IFERROR(__xludf.DUMMYFUNCTION("""COMPUTED_VALUE"""),1461.0)</f>
        <v>1461</v>
      </c>
      <c r="H338" s="5">
        <f>IFERROR(__xludf.DUMMYFUNCTION("""COMPUTED_VALUE"""),898.75)</f>
        <v>898.75</v>
      </c>
      <c r="I338" s="5">
        <f>IFERROR(__xludf.DUMMYFUNCTION("""COMPUTED_VALUE"""),3050.93)</f>
        <v>3050.93</v>
      </c>
      <c r="J338" s="5">
        <f>IFERROR(__xludf.DUMMYFUNCTION("""COMPUTED_VALUE"""),8264.18)</f>
        <v>8264.18</v>
      </c>
      <c r="K338" s="5">
        <f>IFERROR(__xludf.DUMMYFUNCTION("""COMPUTED_VALUE"""),5991.65)</f>
        <v>5991.65</v>
      </c>
      <c r="L338" s="4">
        <f>IFERROR(__xludf.DUMMYFUNCTION("""COMPUTED_VALUE"""),3.0)</f>
        <v>3</v>
      </c>
      <c r="M338" s="4">
        <f>IFERROR(__xludf.DUMMYFUNCTION("""COMPUTED_VALUE"""),62.0)</f>
        <v>62</v>
      </c>
      <c r="N338" s="2" t="str">
        <f>IFERROR(__xludf.DUMMYFUNCTION("""COMPUTED_VALUE"""),"VERDADERO")</f>
        <v>VERDADERO</v>
      </c>
    </row>
    <row r="339">
      <c r="A339" s="2">
        <f>IFERROR(__xludf.DUMMYFUNCTION("""COMPUTED_VALUE"""),338.0)</f>
        <v>338</v>
      </c>
      <c r="B339" s="2" t="str">
        <f>IFERROR(__xludf.DUMMYFUNCTION("""COMPUTED_VALUE"""),"Karlens Godrich")</f>
        <v>Karlens Godrich</v>
      </c>
      <c r="C339" s="2" t="str">
        <f>IFERROR(__xludf.DUMMYFUNCTION("""COMPUTED_VALUE"""),"kgodrich9e@creativecommons.org")</f>
        <v>kgodrich9e@creativecommons.org</v>
      </c>
      <c r="D339" s="4">
        <f>IFERROR(__xludf.DUMMYFUNCTION("""COMPUTED_VALUE"""),153.0)</f>
        <v>153</v>
      </c>
      <c r="E339" s="4">
        <f>IFERROR(__xludf.DUMMYFUNCTION("""COMPUTED_VALUE"""),64.0)</f>
        <v>64</v>
      </c>
      <c r="F339" s="4">
        <f>IFERROR(__xludf.DUMMYFUNCTION("""COMPUTED_VALUE"""),4.0)</f>
        <v>4</v>
      </c>
      <c r="G339" s="4">
        <f>IFERROR(__xludf.DUMMYFUNCTION("""COMPUTED_VALUE"""),1380.0)</f>
        <v>1380</v>
      </c>
      <c r="H339" s="5">
        <f>IFERROR(__xludf.DUMMYFUNCTION("""COMPUTED_VALUE"""),4533.66)</f>
        <v>4533.66</v>
      </c>
      <c r="I339" s="5">
        <f>IFERROR(__xludf.DUMMYFUNCTION("""COMPUTED_VALUE"""),7247.56)</f>
        <v>7247.56</v>
      </c>
      <c r="J339" s="5">
        <f>IFERROR(__xludf.DUMMYFUNCTION("""COMPUTED_VALUE"""),1660.75)</f>
        <v>1660.75</v>
      </c>
      <c r="K339" s="5">
        <f>IFERROR(__xludf.DUMMYFUNCTION("""COMPUTED_VALUE"""),4770.25)</f>
        <v>4770.25</v>
      </c>
      <c r="L339" s="4">
        <f>IFERROR(__xludf.DUMMYFUNCTION("""COMPUTED_VALUE"""),10.0)</f>
        <v>10</v>
      </c>
      <c r="M339" s="4">
        <f>IFERROR(__xludf.DUMMYFUNCTION("""COMPUTED_VALUE"""),70.0)</f>
        <v>70</v>
      </c>
      <c r="N339" s="2" t="str">
        <f>IFERROR(__xludf.DUMMYFUNCTION("""COMPUTED_VALUE"""),"VERDADERO")</f>
        <v>VERDADERO</v>
      </c>
    </row>
    <row r="340">
      <c r="A340" s="2">
        <f>IFERROR(__xludf.DUMMYFUNCTION("""COMPUTED_VALUE"""),339.0)</f>
        <v>339</v>
      </c>
      <c r="B340" s="2" t="str">
        <f>IFERROR(__xludf.DUMMYFUNCTION("""COMPUTED_VALUE"""),"Erv Maffezzoli")</f>
        <v>Erv Maffezzoli</v>
      </c>
      <c r="C340" s="2" t="str">
        <f>IFERROR(__xludf.DUMMYFUNCTION("""COMPUTED_VALUE"""),"emaffezzoli9f@pinterest.com")</f>
        <v>emaffezzoli9f@pinterest.com</v>
      </c>
      <c r="D340" s="4">
        <f>IFERROR(__xludf.DUMMYFUNCTION("""COMPUTED_VALUE"""),29.0)</f>
        <v>29</v>
      </c>
      <c r="E340" s="4">
        <f>IFERROR(__xludf.DUMMYFUNCTION("""COMPUTED_VALUE"""),81.0)</f>
        <v>81</v>
      </c>
      <c r="F340" s="4">
        <f>IFERROR(__xludf.DUMMYFUNCTION("""COMPUTED_VALUE"""),2.0)</f>
        <v>2</v>
      </c>
      <c r="G340" s="4">
        <f>IFERROR(__xludf.DUMMYFUNCTION("""COMPUTED_VALUE"""),620.0)</f>
        <v>620</v>
      </c>
      <c r="H340" s="5">
        <f>IFERROR(__xludf.DUMMYFUNCTION("""COMPUTED_VALUE"""),8591.12)</f>
        <v>8591.12</v>
      </c>
      <c r="I340" s="5">
        <f>IFERROR(__xludf.DUMMYFUNCTION("""COMPUTED_VALUE"""),1852.04)</f>
        <v>1852.04</v>
      </c>
      <c r="J340" s="5">
        <f>IFERROR(__xludf.DUMMYFUNCTION("""COMPUTED_VALUE"""),2801.44)</f>
        <v>2801.44</v>
      </c>
      <c r="K340" s="5">
        <f>IFERROR(__xludf.DUMMYFUNCTION("""COMPUTED_VALUE"""),4098.7)</f>
        <v>4098.7</v>
      </c>
      <c r="L340" s="4">
        <f>IFERROR(__xludf.DUMMYFUNCTION("""COMPUTED_VALUE"""),6.0)</f>
        <v>6</v>
      </c>
      <c r="M340" s="4">
        <f>IFERROR(__xludf.DUMMYFUNCTION("""COMPUTED_VALUE"""),2.0)</f>
        <v>2</v>
      </c>
      <c r="N340" s="2" t="str">
        <f>IFERROR(__xludf.DUMMYFUNCTION("""COMPUTED_VALUE"""),"FALSO")</f>
        <v>FALSO</v>
      </c>
    </row>
    <row r="341">
      <c r="A341" s="2">
        <f>IFERROR(__xludf.DUMMYFUNCTION("""COMPUTED_VALUE"""),340.0)</f>
        <v>340</v>
      </c>
      <c r="B341" s="2" t="str">
        <f>IFERROR(__xludf.DUMMYFUNCTION("""COMPUTED_VALUE"""),"Jory Lintott")</f>
        <v>Jory Lintott</v>
      </c>
      <c r="C341" s="2" t="str">
        <f>IFERROR(__xludf.DUMMYFUNCTION("""COMPUTED_VALUE"""),"jlintott9g@ycombinator.com")</f>
        <v>jlintott9g@ycombinator.com</v>
      </c>
      <c r="D341" s="4">
        <f>IFERROR(__xludf.DUMMYFUNCTION("""COMPUTED_VALUE"""),120.0)</f>
        <v>120</v>
      </c>
      <c r="E341" s="4">
        <f>IFERROR(__xludf.DUMMYFUNCTION("""COMPUTED_VALUE"""),81.0)</f>
        <v>81</v>
      </c>
      <c r="F341" s="4">
        <f>IFERROR(__xludf.DUMMYFUNCTION("""COMPUTED_VALUE"""),2.0)</f>
        <v>2</v>
      </c>
      <c r="G341" s="4">
        <f>IFERROR(__xludf.DUMMYFUNCTION("""COMPUTED_VALUE"""),216.0)</f>
        <v>216</v>
      </c>
      <c r="H341" s="5">
        <f>IFERROR(__xludf.DUMMYFUNCTION("""COMPUTED_VALUE"""),9218.38)</f>
        <v>9218.38</v>
      </c>
      <c r="I341" s="5">
        <f>IFERROR(__xludf.DUMMYFUNCTION("""COMPUTED_VALUE"""),4828.84)</f>
        <v>4828.84</v>
      </c>
      <c r="J341" s="5">
        <f>IFERROR(__xludf.DUMMYFUNCTION("""COMPUTED_VALUE"""),5619.72)</f>
        <v>5619.72</v>
      </c>
      <c r="K341" s="5">
        <f>IFERROR(__xludf.DUMMYFUNCTION("""COMPUTED_VALUE"""),4596.2)</f>
        <v>4596.2</v>
      </c>
      <c r="L341" s="4">
        <f>IFERROR(__xludf.DUMMYFUNCTION("""COMPUTED_VALUE"""),5.0)</f>
        <v>5</v>
      </c>
      <c r="M341" s="4">
        <f>IFERROR(__xludf.DUMMYFUNCTION("""COMPUTED_VALUE"""),37.0)</f>
        <v>37</v>
      </c>
      <c r="N341" s="2" t="str">
        <f>IFERROR(__xludf.DUMMYFUNCTION("""COMPUTED_VALUE"""),"FALSO")</f>
        <v>FALSO</v>
      </c>
    </row>
    <row r="342">
      <c r="A342" s="2">
        <f>IFERROR(__xludf.DUMMYFUNCTION("""COMPUTED_VALUE"""),341.0)</f>
        <v>341</v>
      </c>
      <c r="B342" s="2" t="str">
        <f>IFERROR(__xludf.DUMMYFUNCTION("""COMPUTED_VALUE"""),"Yoshi Haycock")</f>
        <v>Yoshi Haycock</v>
      </c>
      <c r="C342" s="2" t="str">
        <f>IFERROR(__xludf.DUMMYFUNCTION("""COMPUTED_VALUE"""),"yhaycock9h@washington.edu")</f>
        <v>yhaycock9h@washington.edu</v>
      </c>
      <c r="D342" s="4">
        <f>IFERROR(__xludf.DUMMYFUNCTION("""COMPUTED_VALUE"""),124.0)</f>
        <v>124</v>
      </c>
      <c r="E342" s="4">
        <f>IFERROR(__xludf.DUMMYFUNCTION("""COMPUTED_VALUE"""),62.0)</f>
        <v>62</v>
      </c>
      <c r="F342" s="4">
        <f>IFERROR(__xludf.DUMMYFUNCTION("""COMPUTED_VALUE"""),4.0)</f>
        <v>4</v>
      </c>
      <c r="G342" s="4">
        <f>IFERROR(__xludf.DUMMYFUNCTION("""COMPUTED_VALUE"""),1484.0)</f>
        <v>1484</v>
      </c>
      <c r="H342" s="5">
        <f>IFERROR(__xludf.DUMMYFUNCTION("""COMPUTED_VALUE"""),5201.86)</f>
        <v>5201.86</v>
      </c>
      <c r="I342" s="5">
        <f>IFERROR(__xludf.DUMMYFUNCTION("""COMPUTED_VALUE"""),6213.86)</f>
        <v>6213.86</v>
      </c>
      <c r="J342" s="5">
        <f>IFERROR(__xludf.DUMMYFUNCTION("""COMPUTED_VALUE"""),2216.62)</f>
        <v>2216.62</v>
      </c>
      <c r="K342" s="5">
        <f>IFERROR(__xludf.DUMMYFUNCTION("""COMPUTED_VALUE"""),3827.18)</f>
        <v>3827.18</v>
      </c>
      <c r="L342" s="4">
        <f>IFERROR(__xludf.DUMMYFUNCTION("""COMPUTED_VALUE"""),7.0)</f>
        <v>7</v>
      </c>
      <c r="M342" s="4">
        <f>IFERROR(__xludf.DUMMYFUNCTION("""COMPUTED_VALUE"""),49.0)</f>
        <v>49</v>
      </c>
      <c r="N342" s="2" t="str">
        <f>IFERROR(__xludf.DUMMYFUNCTION("""COMPUTED_VALUE"""),"FALSO")</f>
        <v>FALSO</v>
      </c>
    </row>
    <row r="343">
      <c r="A343" s="2">
        <f>IFERROR(__xludf.DUMMYFUNCTION("""COMPUTED_VALUE"""),342.0)</f>
        <v>342</v>
      </c>
      <c r="B343" s="2" t="str">
        <f>IFERROR(__xludf.DUMMYFUNCTION("""COMPUTED_VALUE"""),"Haley Ambrogiotti")</f>
        <v>Haley Ambrogiotti</v>
      </c>
      <c r="C343" s="2" t="str">
        <f>IFERROR(__xludf.DUMMYFUNCTION("""COMPUTED_VALUE"""),"hambrogiotti9i@angelfire.com")</f>
        <v>hambrogiotti9i@angelfire.com</v>
      </c>
      <c r="D343" s="4">
        <f>IFERROR(__xludf.DUMMYFUNCTION("""COMPUTED_VALUE"""),29.0)</f>
        <v>29</v>
      </c>
      <c r="E343" s="4">
        <f>IFERROR(__xludf.DUMMYFUNCTION("""COMPUTED_VALUE"""),85.0)</f>
        <v>85</v>
      </c>
      <c r="F343" s="4">
        <f>IFERROR(__xludf.DUMMYFUNCTION("""COMPUTED_VALUE"""),3.0)</f>
        <v>3</v>
      </c>
      <c r="G343" s="4">
        <f>IFERROR(__xludf.DUMMYFUNCTION("""COMPUTED_VALUE"""),489.0)</f>
        <v>489</v>
      </c>
      <c r="H343" s="5">
        <f>IFERROR(__xludf.DUMMYFUNCTION("""COMPUTED_VALUE"""),3178.04)</f>
        <v>3178.04</v>
      </c>
      <c r="I343" s="5">
        <f>IFERROR(__xludf.DUMMYFUNCTION("""COMPUTED_VALUE"""),8199.01)</f>
        <v>8199.01</v>
      </c>
      <c r="J343" s="5">
        <f>IFERROR(__xludf.DUMMYFUNCTION("""COMPUTED_VALUE"""),6928.32)</f>
        <v>6928.32</v>
      </c>
      <c r="K343" s="5">
        <f>IFERROR(__xludf.DUMMYFUNCTION("""COMPUTED_VALUE"""),1822.88)</f>
        <v>1822.88</v>
      </c>
      <c r="L343" s="4">
        <f>IFERROR(__xludf.DUMMYFUNCTION("""COMPUTED_VALUE"""),4.0)</f>
        <v>4</v>
      </c>
      <c r="M343" s="4">
        <f>IFERROR(__xludf.DUMMYFUNCTION("""COMPUTED_VALUE"""),9.0)</f>
        <v>9</v>
      </c>
      <c r="N343" s="2" t="str">
        <f>IFERROR(__xludf.DUMMYFUNCTION("""COMPUTED_VALUE"""),"FALSO")</f>
        <v>FALSO</v>
      </c>
    </row>
    <row r="344">
      <c r="A344" s="2">
        <f>IFERROR(__xludf.DUMMYFUNCTION("""COMPUTED_VALUE"""),343.0)</f>
        <v>343</v>
      </c>
      <c r="B344" s="2" t="str">
        <f>IFERROR(__xludf.DUMMYFUNCTION("""COMPUTED_VALUE"""),"Kimmie Bringloe")</f>
        <v>Kimmie Bringloe</v>
      </c>
      <c r="C344" s="2" t="str">
        <f>IFERROR(__xludf.DUMMYFUNCTION("""COMPUTED_VALUE"""),"kbringloe9j@joomla.org")</f>
        <v>kbringloe9j@joomla.org</v>
      </c>
      <c r="D344" s="4">
        <f>IFERROR(__xludf.DUMMYFUNCTION("""COMPUTED_VALUE"""),122.0)</f>
        <v>122</v>
      </c>
      <c r="E344" s="4">
        <f>IFERROR(__xludf.DUMMYFUNCTION("""COMPUTED_VALUE"""),81.0)</f>
        <v>81</v>
      </c>
      <c r="F344" s="4">
        <f>IFERROR(__xludf.DUMMYFUNCTION("""COMPUTED_VALUE"""),2.0)</f>
        <v>2</v>
      </c>
      <c r="G344" s="4">
        <f>IFERROR(__xludf.DUMMYFUNCTION("""COMPUTED_VALUE"""),1505.0)</f>
        <v>1505</v>
      </c>
      <c r="H344" s="5">
        <f>IFERROR(__xludf.DUMMYFUNCTION("""COMPUTED_VALUE"""),2765.62)</f>
        <v>2765.62</v>
      </c>
      <c r="I344" s="5">
        <f>IFERROR(__xludf.DUMMYFUNCTION("""COMPUTED_VALUE"""),5987.13)</f>
        <v>5987.13</v>
      </c>
      <c r="J344" s="5">
        <f>IFERROR(__xludf.DUMMYFUNCTION("""COMPUTED_VALUE"""),9878.91)</f>
        <v>9878.91</v>
      </c>
      <c r="K344" s="5">
        <f>IFERROR(__xludf.DUMMYFUNCTION("""COMPUTED_VALUE"""),8421.62)</f>
        <v>8421.62</v>
      </c>
      <c r="L344" s="4">
        <f>IFERROR(__xludf.DUMMYFUNCTION("""COMPUTED_VALUE"""),8.0)</f>
        <v>8</v>
      </c>
      <c r="M344" s="4">
        <f>IFERROR(__xludf.DUMMYFUNCTION("""COMPUTED_VALUE"""),87.0)</f>
        <v>87</v>
      </c>
      <c r="N344" s="2" t="str">
        <f>IFERROR(__xludf.DUMMYFUNCTION("""COMPUTED_VALUE"""),"FALSO")</f>
        <v>FALSO</v>
      </c>
    </row>
    <row r="345">
      <c r="A345" s="2">
        <f>IFERROR(__xludf.DUMMYFUNCTION("""COMPUTED_VALUE"""),344.0)</f>
        <v>344</v>
      </c>
      <c r="B345" s="2" t="str">
        <f>IFERROR(__xludf.DUMMYFUNCTION("""COMPUTED_VALUE"""),"Yoshiko Dewing")</f>
        <v>Yoshiko Dewing</v>
      </c>
      <c r="C345" s="2" t="str">
        <f>IFERROR(__xludf.DUMMYFUNCTION("""COMPUTED_VALUE"""),"ydewing9k@blogspot.com")</f>
        <v>ydewing9k@blogspot.com</v>
      </c>
      <c r="D345" s="4">
        <f>IFERROR(__xludf.DUMMYFUNCTION("""COMPUTED_VALUE"""),29.0)</f>
        <v>29</v>
      </c>
      <c r="E345" s="4">
        <f>IFERROR(__xludf.DUMMYFUNCTION("""COMPUTED_VALUE"""),107.0)</f>
        <v>107</v>
      </c>
      <c r="F345" s="4">
        <f>IFERROR(__xludf.DUMMYFUNCTION("""COMPUTED_VALUE"""),5.0)</f>
        <v>5</v>
      </c>
      <c r="G345" s="4">
        <f>IFERROR(__xludf.DUMMYFUNCTION("""COMPUTED_VALUE"""),559.0)</f>
        <v>559</v>
      </c>
      <c r="H345" s="5">
        <f>IFERROR(__xludf.DUMMYFUNCTION("""COMPUTED_VALUE"""),4844.34)</f>
        <v>4844.34</v>
      </c>
      <c r="I345" s="5">
        <f>IFERROR(__xludf.DUMMYFUNCTION("""COMPUTED_VALUE"""),1319.68)</f>
        <v>1319.68</v>
      </c>
      <c r="J345" s="5">
        <f>IFERROR(__xludf.DUMMYFUNCTION("""COMPUTED_VALUE"""),1508.76)</f>
        <v>1508.76</v>
      </c>
      <c r="K345" s="5">
        <f>IFERROR(__xludf.DUMMYFUNCTION("""COMPUTED_VALUE"""),4298.93)</f>
        <v>4298.93</v>
      </c>
      <c r="L345" s="4">
        <f>IFERROR(__xludf.DUMMYFUNCTION("""COMPUTED_VALUE"""),2.0)</f>
        <v>2</v>
      </c>
      <c r="M345" s="4">
        <f>IFERROR(__xludf.DUMMYFUNCTION("""COMPUTED_VALUE"""),64.0)</f>
        <v>64</v>
      </c>
      <c r="N345" s="2" t="str">
        <f>IFERROR(__xludf.DUMMYFUNCTION("""COMPUTED_VALUE"""),"FALSO")</f>
        <v>FALSO</v>
      </c>
    </row>
    <row r="346">
      <c r="A346" s="2">
        <f>IFERROR(__xludf.DUMMYFUNCTION("""COMPUTED_VALUE"""),345.0)</f>
        <v>345</v>
      </c>
      <c r="B346" s="2" t="str">
        <f>IFERROR(__xludf.DUMMYFUNCTION("""COMPUTED_VALUE"""),"Bobinette Youll")</f>
        <v>Bobinette Youll</v>
      </c>
      <c r="C346" s="2" t="str">
        <f>IFERROR(__xludf.DUMMYFUNCTION("""COMPUTED_VALUE"""),"byoull9l@live.com")</f>
        <v>byoull9l@live.com</v>
      </c>
      <c r="D346" s="4">
        <f>IFERROR(__xludf.DUMMYFUNCTION("""COMPUTED_VALUE"""),120.0)</f>
        <v>120</v>
      </c>
      <c r="E346" s="4">
        <f>IFERROR(__xludf.DUMMYFUNCTION("""COMPUTED_VALUE"""),81.0)</f>
        <v>81</v>
      </c>
      <c r="F346" s="4">
        <f>IFERROR(__xludf.DUMMYFUNCTION("""COMPUTED_VALUE"""),2.0)</f>
        <v>2</v>
      </c>
      <c r="G346" s="4">
        <f>IFERROR(__xludf.DUMMYFUNCTION("""COMPUTED_VALUE"""),165.0)</f>
        <v>165</v>
      </c>
      <c r="H346" s="5">
        <f>IFERROR(__xludf.DUMMYFUNCTION("""COMPUTED_VALUE"""),6600.95)</f>
        <v>6600.95</v>
      </c>
      <c r="I346" s="5">
        <f>IFERROR(__xludf.DUMMYFUNCTION("""COMPUTED_VALUE"""),4003.5)</f>
        <v>4003.5</v>
      </c>
      <c r="J346" s="5">
        <f>IFERROR(__xludf.DUMMYFUNCTION("""COMPUTED_VALUE"""),5254.7)</f>
        <v>5254.7</v>
      </c>
      <c r="K346" s="5">
        <f>IFERROR(__xludf.DUMMYFUNCTION("""COMPUTED_VALUE"""),2783.17)</f>
        <v>2783.17</v>
      </c>
      <c r="L346" s="4">
        <f>IFERROR(__xludf.DUMMYFUNCTION("""COMPUTED_VALUE"""),8.0)</f>
        <v>8</v>
      </c>
      <c r="M346" s="4">
        <f>IFERROR(__xludf.DUMMYFUNCTION("""COMPUTED_VALUE"""),90.0)</f>
        <v>90</v>
      </c>
      <c r="N346" s="2" t="str">
        <f>IFERROR(__xludf.DUMMYFUNCTION("""COMPUTED_VALUE"""),"VERDADERO")</f>
        <v>VERDADERO</v>
      </c>
    </row>
    <row r="347">
      <c r="A347" s="2">
        <f>IFERROR(__xludf.DUMMYFUNCTION("""COMPUTED_VALUE"""),346.0)</f>
        <v>346</v>
      </c>
      <c r="B347" s="2" t="str">
        <f>IFERROR(__xludf.DUMMYFUNCTION("""COMPUTED_VALUE"""),"Kerr Holyland")</f>
        <v>Kerr Holyland</v>
      </c>
      <c r="C347" s="2" t="str">
        <f>IFERROR(__xludf.DUMMYFUNCTION("""COMPUTED_VALUE"""),"kholyland9m@usgs.gov")</f>
        <v>kholyland9m@usgs.gov</v>
      </c>
      <c r="D347" s="4">
        <f>IFERROR(__xludf.DUMMYFUNCTION("""COMPUTED_VALUE"""),5.0)</f>
        <v>5</v>
      </c>
      <c r="E347" s="4">
        <f>IFERROR(__xludf.DUMMYFUNCTION("""COMPUTED_VALUE"""),119.0)</f>
        <v>119</v>
      </c>
      <c r="F347" s="4">
        <f>IFERROR(__xludf.DUMMYFUNCTION("""COMPUTED_VALUE"""),1.0)</f>
        <v>1</v>
      </c>
      <c r="G347" s="4">
        <f>IFERROR(__xludf.DUMMYFUNCTION("""COMPUTED_VALUE"""),894.0)</f>
        <v>894</v>
      </c>
      <c r="H347" s="5">
        <f>IFERROR(__xludf.DUMMYFUNCTION("""COMPUTED_VALUE"""),2172.56)</f>
        <v>2172.56</v>
      </c>
      <c r="I347" s="5">
        <f>IFERROR(__xludf.DUMMYFUNCTION("""COMPUTED_VALUE"""),1692.59)</f>
        <v>1692.59</v>
      </c>
      <c r="J347" s="5">
        <f>IFERROR(__xludf.DUMMYFUNCTION("""COMPUTED_VALUE"""),7528.74)</f>
        <v>7528.74</v>
      </c>
      <c r="K347" s="5">
        <f>IFERROR(__xludf.DUMMYFUNCTION("""COMPUTED_VALUE"""),5552.92)</f>
        <v>5552.92</v>
      </c>
      <c r="L347" s="4">
        <f>IFERROR(__xludf.DUMMYFUNCTION("""COMPUTED_VALUE"""),6.0)</f>
        <v>6</v>
      </c>
      <c r="M347" s="4">
        <f>IFERROR(__xludf.DUMMYFUNCTION("""COMPUTED_VALUE"""),60.0)</f>
        <v>60</v>
      </c>
      <c r="N347" s="2" t="str">
        <f>IFERROR(__xludf.DUMMYFUNCTION("""COMPUTED_VALUE"""),"VERDADERO")</f>
        <v>VERDADERO</v>
      </c>
    </row>
    <row r="348">
      <c r="A348" s="2">
        <f>IFERROR(__xludf.DUMMYFUNCTION("""COMPUTED_VALUE"""),347.0)</f>
        <v>347</v>
      </c>
      <c r="B348" s="2" t="str">
        <f>IFERROR(__xludf.DUMMYFUNCTION("""COMPUTED_VALUE"""),"Kendall Guppie")</f>
        <v>Kendall Guppie</v>
      </c>
      <c r="C348" s="2" t="str">
        <f>IFERROR(__xludf.DUMMYFUNCTION("""COMPUTED_VALUE"""),"kguppie9n@tmall.com")</f>
        <v>kguppie9n@tmall.com</v>
      </c>
      <c r="D348" s="4">
        <f>IFERROR(__xludf.DUMMYFUNCTION("""COMPUTED_VALUE"""),104.0)</f>
        <v>104</v>
      </c>
      <c r="E348" s="4">
        <f>IFERROR(__xludf.DUMMYFUNCTION("""COMPUTED_VALUE"""),16.0)</f>
        <v>16</v>
      </c>
      <c r="F348" s="4">
        <f>IFERROR(__xludf.DUMMYFUNCTION("""COMPUTED_VALUE"""),8.0)</f>
        <v>8</v>
      </c>
      <c r="G348" s="4">
        <f>IFERROR(__xludf.DUMMYFUNCTION("""COMPUTED_VALUE"""),187.0)</f>
        <v>187</v>
      </c>
      <c r="H348" s="5">
        <f>IFERROR(__xludf.DUMMYFUNCTION("""COMPUTED_VALUE"""),6905.05)</f>
        <v>6905.05</v>
      </c>
      <c r="I348" s="5">
        <f>IFERROR(__xludf.DUMMYFUNCTION("""COMPUTED_VALUE"""),172.77)</f>
        <v>172.77</v>
      </c>
      <c r="J348" s="5">
        <f>IFERROR(__xludf.DUMMYFUNCTION("""COMPUTED_VALUE"""),9441.62)</f>
        <v>9441.62</v>
      </c>
      <c r="K348" s="5">
        <f>IFERROR(__xludf.DUMMYFUNCTION("""COMPUTED_VALUE"""),1390.4)</f>
        <v>1390.4</v>
      </c>
      <c r="L348" s="4">
        <f>IFERROR(__xludf.DUMMYFUNCTION("""COMPUTED_VALUE"""),11.0)</f>
        <v>11</v>
      </c>
      <c r="M348" s="4">
        <f>IFERROR(__xludf.DUMMYFUNCTION("""COMPUTED_VALUE"""),63.0)</f>
        <v>63</v>
      </c>
      <c r="N348" s="2" t="str">
        <f>IFERROR(__xludf.DUMMYFUNCTION("""COMPUTED_VALUE"""),"VERDADERO")</f>
        <v>VERDADERO</v>
      </c>
    </row>
    <row r="349">
      <c r="A349" s="2">
        <f>IFERROR(__xludf.DUMMYFUNCTION("""COMPUTED_VALUE"""),348.0)</f>
        <v>348</v>
      </c>
      <c r="B349" s="2" t="str">
        <f>IFERROR(__xludf.DUMMYFUNCTION("""COMPUTED_VALUE"""),"Angelle Wethered")</f>
        <v>Angelle Wethered</v>
      </c>
      <c r="C349" s="2" t="str">
        <f>IFERROR(__xludf.DUMMYFUNCTION("""COMPUTED_VALUE"""),"awethered9o@w3.org")</f>
        <v>awethered9o@w3.org</v>
      </c>
      <c r="D349" s="4">
        <f>IFERROR(__xludf.DUMMYFUNCTION("""COMPUTED_VALUE"""),93.0)</f>
        <v>93</v>
      </c>
      <c r="E349" s="4">
        <f>IFERROR(__xludf.DUMMYFUNCTION("""COMPUTED_VALUE"""),67.0)</f>
        <v>67</v>
      </c>
      <c r="F349" s="4">
        <f>IFERROR(__xludf.DUMMYFUNCTION("""COMPUTED_VALUE"""),7.0)</f>
        <v>7</v>
      </c>
      <c r="G349" s="4">
        <f>IFERROR(__xludf.DUMMYFUNCTION("""COMPUTED_VALUE"""),442.0)</f>
        <v>442</v>
      </c>
      <c r="H349" s="5">
        <f>IFERROR(__xludf.DUMMYFUNCTION("""COMPUTED_VALUE"""),1794.22)</f>
        <v>1794.22</v>
      </c>
      <c r="I349" s="5">
        <f>IFERROR(__xludf.DUMMYFUNCTION("""COMPUTED_VALUE"""),4503.9)</f>
        <v>4503.9</v>
      </c>
      <c r="J349" s="5">
        <f>IFERROR(__xludf.DUMMYFUNCTION("""COMPUTED_VALUE"""),4203.62)</f>
        <v>4203.62</v>
      </c>
      <c r="K349" s="5">
        <f>IFERROR(__xludf.DUMMYFUNCTION("""COMPUTED_VALUE"""),9512.01)</f>
        <v>9512.01</v>
      </c>
      <c r="L349" s="4">
        <f>IFERROR(__xludf.DUMMYFUNCTION("""COMPUTED_VALUE"""),9.0)</f>
        <v>9</v>
      </c>
      <c r="M349" s="4">
        <f>IFERROR(__xludf.DUMMYFUNCTION("""COMPUTED_VALUE"""),1.0)</f>
        <v>1</v>
      </c>
      <c r="N349" s="2" t="str">
        <f>IFERROR(__xludf.DUMMYFUNCTION("""COMPUTED_VALUE"""),"FALSO")</f>
        <v>FALSO</v>
      </c>
    </row>
    <row r="350">
      <c r="A350" s="2">
        <f>IFERROR(__xludf.DUMMYFUNCTION("""COMPUTED_VALUE"""),349.0)</f>
        <v>349</v>
      </c>
      <c r="B350" s="2" t="str">
        <f>IFERROR(__xludf.DUMMYFUNCTION("""COMPUTED_VALUE"""),"Israel Russan")</f>
        <v>Israel Russan</v>
      </c>
      <c r="C350" s="2" t="str">
        <f>IFERROR(__xludf.DUMMYFUNCTION("""COMPUTED_VALUE"""),"irussan9p@bandcamp.com")</f>
        <v>irussan9p@bandcamp.com</v>
      </c>
      <c r="D350" s="4">
        <f>IFERROR(__xludf.DUMMYFUNCTION("""COMPUTED_VALUE"""),62.0)</f>
        <v>62</v>
      </c>
      <c r="E350" s="4">
        <f>IFERROR(__xludf.DUMMYFUNCTION("""COMPUTED_VALUE"""),64.0)</f>
        <v>64</v>
      </c>
      <c r="F350" s="4">
        <f>IFERROR(__xludf.DUMMYFUNCTION("""COMPUTED_VALUE"""),4.0)</f>
        <v>4</v>
      </c>
      <c r="G350" s="4">
        <f>IFERROR(__xludf.DUMMYFUNCTION("""COMPUTED_VALUE"""),358.0)</f>
        <v>358</v>
      </c>
      <c r="H350" s="5">
        <f>IFERROR(__xludf.DUMMYFUNCTION("""COMPUTED_VALUE"""),7721.91)</f>
        <v>7721.91</v>
      </c>
      <c r="I350" s="5">
        <f>IFERROR(__xludf.DUMMYFUNCTION("""COMPUTED_VALUE"""),4305.04)</f>
        <v>4305.04</v>
      </c>
      <c r="J350" s="5">
        <f>IFERROR(__xludf.DUMMYFUNCTION("""COMPUTED_VALUE"""),3247.85)</f>
        <v>3247.85</v>
      </c>
      <c r="K350" s="5">
        <f>IFERROR(__xludf.DUMMYFUNCTION("""COMPUTED_VALUE"""),183.77)</f>
        <v>183.77</v>
      </c>
      <c r="L350" s="4">
        <f>IFERROR(__xludf.DUMMYFUNCTION("""COMPUTED_VALUE"""),18.0)</f>
        <v>18</v>
      </c>
      <c r="M350" s="4">
        <f>IFERROR(__xludf.DUMMYFUNCTION("""COMPUTED_VALUE"""),18.0)</f>
        <v>18</v>
      </c>
      <c r="N350" s="2" t="str">
        <f>IFERROR(__xludf.DUMMYFUNCTION("""COMPUTED_VALUE"""),"FALSO")</f>
        <v>FALSO</v>
      </c>
    </row>
    <row r="351">
      <c r="A351" s="2">
        <f>IFERROR(__xludf.DUMMYFUNCTION("""COMPUTED_VALUE"""),350.0)</f>
        <v>350</v>
      </c>
      <c r="B351" s="2" t="str">
        <f>IFERROR(__xludf.DUMMYFUNCTION("""COMPUTED_VALUE"""),"Barbaraanne Richardt")</f>
        <v>Barbaraanne Richardt</v>
      </c>
      <c r="C351" s="2" t="str">
        <f>IFERROR(__xludf.DUMMYFUNCTION("""COMPUTED_VALUE"""),"brichardt9q@springer.com")</f>
        <v>brichardt9q@springer.com</v>
      </c>
      <c r="D351" s="4">
        <f>IFERROR(__xludf.DUMMYFUNCTION("""COMPUTED_VALUE"""),143.0)</f>
        <v>143</v>
      </c>
      <c r="E351" s="4">
        <f>IFERROR(__xludf.DUMMYFUNCTION("""COMPUTED_VALUE"""),81.0)</f>
        <v>81</v>
      </c>
      <c r="F351" s="4">
        <f>IFERROR(__xludf.DUMMYFUNCTION("""COMPUTED_VALUE"""),2.0)</f>
        <v>2</v>
      </c>
      <c r="G351" s="4">
        <f>IFERROR(__xludf.DUMMYFUNCTION("""COMPUTED_VALUE"""),680.0)</f>
        <v>680</v>
      </c>
      <c r="H351" s="5">
        <f>IFERROR(__xludf.DUMMYFUNCTION("""COMPUTED_VALUE"""),7880.65)</f>
        <v>7880.65</v>
      </c>
      <c r="I351" s="5">
        <f>IFERROR(__xludf.DUMMYFUNCTION("""COMPUTED_VALUE"""),5687.49)</f>
        <v>5687.49</v>
      </c>
      <c r="J351" s="5">
        <f>IFERROR(__xludf.DUMMYFUNCTION("""COMPUTED_VALUE"""),1673.54)</f>
        <v>1673.54</v>
      </c>
      <c r="K351" s="5">
        <f>IFERROR(__xludf.DUMMYFUNCTION("""COMPUTED_VALUE"""),2615.27)</f>
        <v>2615.27</v>
      </c>
      <c r="L351" s="4">
        <f>IFERROR(__xludf.DUMMYFUNCTION("""COMPUTED_VALUE"""),18.0)</f>
        <v>18</v>
      </c>
      <c r="M351" s="4">
        <f>IFERROR(__xludf.DUMMYFUNCTION("""COMPUTED_VALUE"""),51.0)</f>
        <v>51</v>
      </c>
      <c r="N351" s="2" t="str">
        <f>IFERROR(__xludf.DUMMYFUNCTION("""COMPUTED_VALUE"""),"FALSO")</f>
        <v>FALSO</v>
      </c>
    </row>
    <row r="352">
      <c r="A352" s="2">
        <f>IFERROR(__xludf.DUMMYFUNCTION("""COMPUTED_VALUE"""),351.0)</f>
        <v>351</v>
      </c>
      <c r="B352" s="2" t="str">
        <f>IFERROR(__xludf.DUMMYFUNCTION("""COMPUTED_VALUE"""),"Jodie Simpkins")</f>
        <v>Jodie Simpkins</v>
      </c>
      <c r="C352" s="2" t="str">
        <f>IFERROR(__xludf.DUMMYFUNCTION("""COMPUTED_VALUE"""),"jsimpkins9r@over-blog.com")</f>
        <v>jsimpkins9r@over-blog.com</v>
      </c>
      <c r="D352" s="4">
        <f>IFERROR(__xludf.DUMMYFUNCTION("""COMPUTED_VALUE"""),57.0)</f>
        <v>57</v>
      </c>
      <c r="E352" s="4">
        <f>IFERROR(__xludf.DUMMYFUNCTION("""COMPUTED_VALUE"""),66.0)</f>
        <v>66</v>
      </c>
      <c r="F352" s="4">
        <f>IFERROR(__xludf.DUMMYFUNCTION("""COMPUTED_VALUE"""),6.0)</f>
        <v>6</v>
      </c>
      <c r="G352" s="4">
        <f>IFERROR(__xludf.DUMMYFUNCTION("""COMPUTED_VALUE"""),196.0)</f>
        <v>196</v>
      </c>
      <c r="H352" s="5">
        <f>IFERROR(__xludf.DUMMYFUNCTION("""COMPUTED_VALUE"""),6880.76)</f>
        <v>6880.76</v>
      </c>
      <c r="I352" s="5">
        <f>IFERROR(__xludf.DUMMYFUNCTION("""COMPUTED_VALUE"""),1616.94)</f>
        <v>1616.94</v>
      </c>
      <c r="J352" s="5">
        <f>IFERROR(__xludf.DUMMYFUNCTION("""COMPUTED_VALUE"""),8485.82)</f>
        <v>8485.82</v>
      </c>
      <c r="K352" s="5">
        <f>IFERROR(__xludf.DUMMYFUNCTION("""COMPUTED_VALUE"""),7525.93)</f>
        <v>7525.93</v>
      </c>
      <c r="L352" s="4">
        <f>IFERROR(__xludf.DUMMYFUNCTION("""COMPUTED_VALUE"""),11.0)</f>
        <v>11</v>
      </c>
      <c r="M352" s="4">
        <f>IFERROR(__xludf.DUMMYFUNCTION("""COMPUTED_VALUE"""),10.0)</f>
        <v>10</v>
      </c>
      <c r="N352" s="2" t="str">
        <f>IFERROR(__xludf.DUMMYFUNCTION("""COMPUTED_VALUE"""),"FALSO")</f>
        <v>FALSO</v>
      </c>
    </row>
    <row r="353">
      <c r="A353" s="2">
        <f>IFERROR(__xludf.DUMMYFUNCTION("""COMPUTED_VALUE"""),352.0)</f>
        <v>352</v>
      </c>
      <c r="B353" s="2" t="str">
        <f>IFERROR(__xludf.DUMMYFUNCTION("""COMPUTED_VALUE"""),"Diane Tunkin")</f>
        <v>Diane Tunkin</v>
      </c>
      <c r="C353" s="2" t="str">
        <f>IFERROR(__xludf.DUMMYFUNCTION("""COMPUTED_VALUE"""),"dtunkin9s@japanpost.jp")</f>
        <v>dtunkin9s@japanpost.jp</v>
      </c>
      <c r="D353" s="4">
        <f>IFERROR(__xludf.DUMMYFUNCTION("""COMPUTED_VALUE"""),135.0)</f>
        <v>135</v>
      </c>
      <c r="E353" s="4">
        <f>IFERROR(__xludf.DUMMYFUNCTION("""COMPUTED_VALUE"""),120.0)</f>
        <v>120</v>
      </c>
      <c r="F353" s="4">
        <f>IFERROR(__xludf.DUMMYFUNCTION("""COMPUTED_VALUE"""),5.0)</f>
        <v>5</v>
      </c>
      <c r="G353" s="4">
        <f>IFERROR(__xludf.DUMMYFUNCTION("""COMPUTED_VALUE"""),254.0)</f>
        <v>254</v>
      </c>
      <c r="H353" s="5">
        <f>IFERROR(__xludf.DUMMYFUNCTION("""COMPUTED_VALUE"""),5397.91)</f>
        <v>5397.91</v>
      </c>
      <c r="I353" s="5">
        <f>IFERROR(__xludf.DUMMYFUNCTION("""COMPUTED_VALUE"""),3345.82)</f>
        <v>3345.82</v>
      </c>
      <c r="J353" s="5">
        <f>IFERROR(__xludf.DUMMYFUNCTION("""COMPUTED_VALUE"""),589.36)</f>
        <v>589.36</v>
      </c>
      <c r="K353" s="5">
        <f>IFERROR(__xludf.DUMMYFUNCTION("""COMPUTED_VALUE"""),2426.21)</f>
        <v>2426.21</v>
      </c>
      <c r="L353" s="4">
        <f>IFERROR(__xludf.DUMMYFUNCTION("""COMPUTED_VALUE"""),12.0)</f>
        <v>12</v>
      </c>
      <c r="M353" s="4">
        <f>IFERROR(__xludf.DUMMYFUNCTION("""COMPUTED_VALUE"""),75.0)</f>
        <v>75</v>
      </c>
      <c r="N353" s="2" t="str">
        <f>IFERROR(__xludf.DUMMYFUNCTION("""COMPUTED_VALUE"""),"FALSO")</f>
        <v>FALSO</v>
      </c>
    </row>
    <row r="354">
      <c r="A354" s="2">
        <f>IFERROR(__xludf.DUMMYFUNCTION("""COMPUTED_VALUE"""),353.0)</f>
        <v>353</v>
      </c>
      <c r="B354" s="2" t="str">
        <f>IFERROR(__xludf.DUMMYFUNCTION("""COMPUTED_VALUE"""),"Coleen Sans")</f>
        <v>Coleen Sans</v>
      </c>
      <c r="C354" s="2" t="str">
        <f>IFERROR(__xludf.DUMMYFUNCTION("""COMPUTED_VALUE"""),"csans9t@army.mil")</f>
        <v>csans9t@army.mil</v>
      </c>
      <c r="D354" s="4">
        <f>IFERROR(__xludf.DUMMYFUNCTION("""COMPUTED_VALUE"""),137.0)</f>
        <v>137</v>
      </c>
      <c r="E354" s="4">
        <f>IFERROR(__xludf.DUMMYFUNCTION("""COMPUTED_VALUE"""),8.0)</f>
        <v>8</v>
      </c>
      <c r="F354" s="4">
        <f>IFERROR(__xludf.DUMMYFUNCTION("""COMPUTED_VALUE"""),8.0)</f>
        <v>8</v>
      </c>
      <c r="G354" s="4">
        <f>IFERROR(__xludf.DUMMYFUNCTION("""COMPUTED_VALUE"""),150.0)</f>
        <v>150</v>
      </c>
      <c r="H354" s="5">
        <f>IFERROR(__xludf.DUMMYFUNCTION("""COMPUTED_VALUE"""),9471.88)</f>
        <v>9471.88</v>
      </c>
      <c r="I354" s="5">
        <f>IFERROR(__xludf.DUMMYFUNCTION("""COMPUTED_VALUE"""),6370.52)</f>
        <v>6370.52</v>
      </c>
      <c r="J354" s="5">
        <f>IFERROR(__xludf.DUMMYFUNCTION("""COMPUTED_VALUE"""),5029.79)</f>
        <v>5029.79</v>
      </c>
      <c r="K354" s="5">
        <f>IFERROR(__xludf.DUMMYFUNCTION("""COMPUTED_VALUE"""),5847.05)</f>
        <v>5847.05</v>
      </c>
      <c r="L354" s="4">
        <f>IFERROR(__xludf.DUMMYFUNCTION("""COMPUTED_VALUE"""),7.0)</f>
        <v>7</v>
      </c>
      <c r="M354" s="4">
        <f>IFERROR(__xludf.DUMMYFUNCTION("""COMPUTED_VALUE"""),29.0)</f>
        <v>29</v>
      </c>
      <c r="N354" s="2" t="str">
        <f>IFERROR(__xludf.DUMMYFUNCTION("""COMPUTED_VALUE"""),"VERDADERO")</f>
        <v>VERDADERO</v>
      </c>
    </row>
    <row r="355">
      <c r="A355" s="2">
        <f>IFERROR(__xludf.DUMMYFUNCTION("""COMPUTED_VALUE"""),354.0)</f>
        <v>354</v>
      </c>
      <c r="B355" s="2" t="str">
        <f>IFERROR(__xludf.DUMMYFUNCTION("""COMPUTED_VALUE"""),"Suzi Dewdeny")</f>
        <v>Suzi Dewdeny</v>
      </c>
      <c r="C355" s="2" t="str">
        <f>IFERROR(__xludf.DUMMYFUNCTION("""COMPUTED_VALUE"""),"sdewdeny9u@ft.com")</f>
        <v>sdewdeny9u@ft.com</v>
      </c>
      <c r="D355" s="4">
        <f>IFERROR(__xludf.DUMMYFUNCTION("""COMPUTED_VALUE"""),94.0)</f>
        <v>94</v>
      </c>
      <c r="E355" s="4">
        <f>IFERROR(__xludf.DUMMYFUNCTION("""COMPUTED_VALUE"""),21.0)</f>
        <v>21</v>
      </c>
      <c r="F355" s="4">
        <f>IFERROR(__xludf.DUMMYFUNCTION("""COMPUTED_VALUE"""),12.0)</f>
        <v>12</v>
      </c>
      <c r="G355" s="4">
        <f>IFERROR(__xludf.DUMMYFUNCTION("""COMPUTED_VALUE"""),1598.0)</f>
        <v>1598</v>
      </c>
      <c r="H355" s="5">
        <f>IFERROR(__xludf.DUMMYFUNCTION("""COMPUTED_VALUE"""),3655.76)</f>
        <v>3655.76</v>
      </c>
      <c r="I355" s="5">
        <f>IFERROR(__xludf.DUMMYFUNCTION("""COMPUTED_VALUE"""),3368.5)</f>
        <v>3368.5</v>
      </c>
      <c r="J355" s="5">
        <f>IFERROR(__xludf.DUMMYFUNCTION("""COMPUTED_VALUE"""),5583.27)</f>
        <v>5583.27</v>
      </c>
      <c r="K355" s="5">
        <f>IFERROR(__xludf.DUMMYFUNCTION("""COMPUTED_VALUE"""),3807.74)</f>
        <v>3807.74</v>
      </c>
      <c r="L355" s="4">
        <f>IFERROR(__xludf.DUMMYFUNCTION("""COMPUTED_VALUE"""),19.0)</f>
        <v>19</v>
      </c>
      <c r="M355" s="4">
        <f>IFERROR(__xludf.DUMMYFUNCTION("""COMPUTED_VALUE"""),26.0)</f>
        <v>26</v>
      </c>
      <c r="N355" s="2" t="str">
        <f>IFERROR(__xludf.DUMMYFUNCTION("""COMPUTED_VALUE"""),"FALSO")</f>
        <v>FALSO</v>
      </c>
    </row>
    <row r="356">
      <c r="A356" s="2">
        <f>IFERROR(__xludf.DUMMYFUNCTION("""COMPUTED_VALUE"""),355.0)</f>
        <v>355</v>
      </c>
      <c r="B356" s="2" t="str">
        <f>IFERROR(__xludf.DUMMYFUNCTION("""COMPUTED_VALUE"""),"Haroun Swalteridge")</f>
        <v>Haroun Swalteridge</v>
      </c>
      <c r="C356" s="2" t="str">
        <f>IFERROR(__xludf.DUMMYFUNCTION("""COMPUTED_VALUE"""),"hswalteridge9v@google.nl")</f>
        <v>hswalteridge9v@google.nl</v>
      </c>
      <c r="D356" s="4">
        <f>IFERROR(__xludf.DUMMYFUNCTION("""COMPUTED_VALUE"""),29.0)</f>
        <v>29</v>
      </c>
      <c r="E356" s="4">
        <f>IFERROR(__xludf.DUMMYFUNCTION("""COMPUTED_VALUE"""),25.0)</f>
        <v>25</v>
      </c>
      <c r="F356" s="4">
        <f>IFERROR(__xludf.DUMMYFUNCTION("""COMPUTED_VALUE"""),4.0)</f>
        <v>4</v>
      </c>
      <c r="G356" s="4">
        <f>IFERROR(__xludf.DUMMYFUNCTION("""COMPUTED_VALUE"""),779.0)</f>
        <v>779</v>
      </c>
      <c r="H356" s="5">
        <f>IFERROR(__xludf.DUMMYFUNCTION("""COMPUTED_VALUE"""),2588.49)</f>
        <v>2588.49</v>
      </c>
      <c r="I356" s="5">
        <f>IFERROR(__xludf.DUMMYFUNCTION("""COMPUTED_VALUE"""),9056.95)</f>
        <v>9056.95</v>
      </c>
      <c r="J356" s="5">
        <f>IFERROR(__xludf.DUMMYFUNCTION("""COMPUTED_VALUE"""),3342.77)</f>
        <v>3342.77</v>
      </c>
      <c r="K356" s="5">
        <f>IFERROR(__xludf.DUMMYFUNCTION("""COMPUTED_VALUE"""),9549.12)</f>
        <v>9549.12</v>
      </c>
      <c r="L356" s="4">
        <f>IFERROR(__xludf.DUMMYFUNCTION("""COMPUTED_VALUE"""),6.0)</f>
        <v>6</v>
      </c>
      <c r="M356" s="4">
        <f>IFERROR(__xludf.DUMMYFUNCTION("""COMPUTED_VALUE"""),88.0)</f>
        <v>88</v>
      </c>
      <c r="N356" s="2" t="str">
        <f>IFERROR(__xludf.DUMMYFUNCTION("""COMPUTED_VALUE"""),"FALSO")</f>
        <v>FALSO</v>
      </c>
    </row>
    <row r="357">
      <c r="A357" s="2">
        <f>IFERROR(__xludf.DUMMYFUNCTION("""COMPUTED_VALUE"""),356.0)</f>
        <v>356</v>
      </c>
      <c r="B357" s="2" t="str">
        <f>IFERROR(__xludf.DUMMYFUNCTION("""COMPUTED_VALUE"""),"Hunfredo Barthelet")</f>
        <v>Hunfredo Barthelet</v>
      </c>
      <c r="C357" s="2" t="str">
        <f>IFERROR(__xludf.DUMMYFUNCTION("""COMPUTED_VALUE"""),"hbarthelet9w@vinaora.com")</f>
        <v>hbarthelet9w@vinaora.com</v>
      </c>
      <c r="D357" s="4">
        <f>IFERROR(__xludf.DUMMYFUNCTION("""COMPUTED_VALUE"""),119.0)</f>
        <v>119</v>
      </c>
      <c r="E357" s="4">
        <f>IFERROR(__xludf.DUMMYFUNCTION("""COMPUTED_VALUE"""),64.0)</f>
        <v>64</v>
      </c>
      <c r="F357" s="4">
        <f>IFERROR(__xludf.DUMMYFUNCTION("""COMPUTED_VALUE"""),4.0)</f>
        <v>4</v>
      </c>
      <c r="G357" s="4">
        <f>IFERROR(__xludf.DUMMYFUNCTION("""COMPUTED_VALUE"""),1384.0)</f>
        <v>1384</v>
      </c>
      <c r="H357" s="5">
        <f>IFERROR(__xludf.DUMMYFUNCTION("""COMPUTED_VALUE"""),7241.93)</f>
        <v>7241.93</v>
      </c>
      <c r="I357" s="5">
        <f>IFERROR(__xludf.DUMMYFUNCTION("""COMPUTED_VALUE"""),956.76)</f>
        <v>956.76</v>
      </c>
      <c r="J357" s="5">
        <f>IFERROR(__xludf.DUMMYFUNCTION("""COMPUTED_VALUE"""),4020.07)</f>
        <v>4020.07</v>
      </c>
      <c r="K357" s="5">
        <f>IFERROR(__xludf.DUMMYFUNCTION("""COMPUTED_VALUE"""),6854.46)</f>
        <v>6854.46</v>
      </c>
      <c r="L357" s="4">
        <f>IFERROR(__xludf.DUMMYFUNCTION("""COMPUTED_VALUE"""),15.0)</f>
        <v>15</v>
      </c>
      <c r="M357" s="4">
        <f>IFERROR(__xludf.DUMMYFUNCTION("""COMPUTED_VALUE"""),91.0)</f>
        <v>91</v>
      </c>
      <c r="N357" s="2" t="str">
        <f>IFERROR(__xludf.DUMMYFUNCTION("""COMPUTED_VALUE"""),"FALSO")</f>
        <v>FALSO</v>
      </c>
    </row>
    <row r="358">
      <c r="A358" s="2">
        <f>IFERROR(__xludf.DUMMYFUNCTION("""COMPUTED_VALUE"""),357.0)</f>
        <v>357</v>
      </c>
      <c r="B358" s="2" t="str">
        <f>IFERROR(__xludf.DUMMYFUNCTION("""COMPUTED_VALUE"""),"Kaila Camois")</f>
        <v>Kaila Camois</v>
      </c>
      <c r="C358" s="2" t="str">
        <f>IFERROR(__xludf.DUMMYFUNCTION("""COMPUTED_VALUE"""),"kcamois9x@walmart.com")</f>
        <v>kcamois9x@walmart.com</v>
      </c>
      <c r="D358" s="4">
        <f>IFERROR(__xludf.DUMMYFUNCTION("""COMPUTED_VALUE"""),120.0)</f>
        <v>120</v>
      </c>
      <c r="E358" s="4">
        <f>IFERROR(__xludf.DUMMYFUNCTION("""COMPUTED_VALUE"""),54.0)</f>
        <v>54</v>
      </c>
      <c r="F358" s="4">
        <f>IFERROR(__xludf.DUMMYFUNCTION("""COMPUTED_VALUE"""),10.0)</f>
        <v>10</v>
      </c>
      <c r="G358" s="4">
        <f>IFERROR(__xludf.DUMMYFUNCTION("""COMPUTED_VALUE"""),1370.0)</f>
        <v>1370</v>
      </c>
      <c r="H358" s="5">
        <f>IFERROR(__xludf.DUMMYFUNCTION("""COMPUTED_VALUE"""),7563.63)</f>
        <v>7563.63</v>
      </c>
      <c r="I358" s="5">
        <f>IFERROR(__xludf.DUMMYFUNCTION("""COMPUTED_VALUE"""),2982.99)</f>
        <v>2982.99</v>
      </c>
      <c r="J358" s="5">
        <f>IFERROR(__xludf.DUMMYFUNCTION("""COMPUTED_VALUE"""),5137.14)</f>
        <v>5137.14</v>
      </c>
      <c r="K358" s="5">
        <f>IFERROR(__xludf.DUMMYFUNCTION("""COMPUTED_VALUE"""),1337.74)</f>
        <v>1337.74</v>
      </c>
      <c r="L358" s="4">
        <f>IFERROR(__xludf.DUMMYFUNCTION("""COMPUTED_VALUE"""),14.0)</f>
        <v>14</v>
      </c>
      <c r="M358" s="4">
        <f>IFERROR(__xludf.DUMMYFUNCTION("""COMPUTED_VALUE"""),1.0)</f>
        <v>1</v>
      </c>
      <c r="N358" s="2" t="str">
        <f>IFERROR(__xludf.DUMMYFUNCTION("""COMPUTED_VALUE"""),"VERDADERO")</f>
        <v>VERDADERO</v>
      </c>
    </row>
    <row r="359">
      <c r="A359" s="2">
        <f>IFERROR(__xludf.DUMMYFUNCTION("""COMPUTED_VALUE"""),358.0)</f>
        <v>358</v>
      </c>
      <c r="B359" s="2" t="str">
        <f>IFERROR(__xludf.DUMMYFUNCTION("""COMPUTED_VALUE"""),"Roby Shipp")</f>
        <v>Roby Shipp</v>
      </c>
      <c r="C359" s="2" t="str">
        <f>IFERROR(__xludf.DUMMYFUNCTION("""COMPUTED_VALUE"""),"rshipp9y@sohu.com")</f>
        <v>rshipp9y@sohu.com</v>
      </c>
      <c r="D359" s="4">
        <f>IFERROR(__xludf.DUMMYFUNCTION("""COMPUTED_VALUE"""),153.0)</f>
        <v>153</v>
      </c>
      <c r="E359" s="4">
        <f>IFERROR(__xludf.DUMMYFUNCTION("""COMPUTED_VALUE"""),81.0)</f>
        <v>81</v>
      </c>
      <c r="F359" s="4">
        <f>IFERROR(__xludf.DUMMYFUNCTION("""COMPUTED_VALUE"""),2.0)</f>
        <v>2</v>
      </c>
      <c r="G359" s="4">
        <f>IFERROR(__xludf.DUMMYFUNCTION("""COMPUTED_VALUE"""),1359.0)</f>
        <v>1359</v>
      </c>
      <c r="H359" s="5">
        <f>IFERROR(__xludf.DUMMYFUNCTION("""COMPUTED_VALUE"""),953.35)</f>
        <v>953.35</v>
      </c>
      <c r="I359" s="5">
        <f>IFERROR(__xludf.DUMMYFUNCTION("""COMPUTED_VALUE"""),1309.56)</f>
        <v>1309.56</v>
      </c>
      <c r="J359" s="5">
        <f>IFERROR(__xludf.DUMMYFUNCTION("""COMPUTED_VALUE"""),5495.88)</f>
        <v>5495.88</v>
      </c>
      <c r="K359" s="5">
        <f>IFERROR(__xludf.DUMMYFUNCTION("""COMPUTED_VALUE"""),1572.49)</f>
        <v>1572.49</v>
      </c>
      <c r="L359" s="4">
        <f>IFERROR(__xludf.DUMMYFUNCTION("""COMPUTED_VALUE"""),20.0)</f>
        <v>20</v>
      </c>
      <c r="M359" s="4">
        <f>IFERROR(__xludf.DUMMYFUNCTION("""COMPUTED_VALUE"""),49.0)</f>
        <v>49</v>
      </c>
      <c r="N359" s="2" t="str">
        <f>IFERROR(__xludf.DUMMYFUNCTION("""COMPUTED_VALUE"""),"VERDADERO")</f>
        <v>VERDADERO</v>
      </c>
    </row>
    <row r="360">
      <c r="A360" s="2">
        <f>IFERROR(__xludf.DUMMYFUNCTION("""COMPUTED_VALUE"""),359.0)</f>
        <v>359</v>
      </c>
      <c r="B360" s="2" t="str">
        <f>IFERROR(__xludf.DUMMYFUNCTION("""COMPUTED_VALUE"""),"Taite Alcido")</f>
        <v>Taite Alcido</v>
      </c>
      <c r="C360" s="2" t="str">
        <f>IFERROR(__xludf.DUMMYFUNCTION("""COMPUTED_VALUE"""),"talcido9z@ted.com")</f>
        <v>talcido9z@ted.com</v>
      </c>
      <c r="D360" s="4">
        <f>IFERROR(__xludf.DUMMYFUNCTION("""COMPUTED_VALUE"""),30.0)</f>
        <v>30</v>
      </c>
      <c r="E360" s="4">
        <f>IFERROR(__xludf.DUMMYFUNCTION("""COMPUTED_VALUE"""),81.0)</f>
        <v>81</v>
      </c>
      <c r="F360" s="4">
        <f>IFERROR(__xludf.DUMMYFUNCTION("""COMPUTED_VALUE"""),2.0)</f>
        <v>2</v>
      </c>
      <c r="G360" s="4">
        <f>IFERROR(__xludf.DUMMYFUNCTION("""COMPUTED_VALUE"""),44.0)</f>
        <v>44</v>
      </c>
      <c r="H360" s="5">
        <f>IFERROR(__xludf.DUMMYFUNCTION("""COMPUTED_VALUE"""),2952.44)</f>
        <v>2952.44</v>
      </c>
      <c r="I360" s="5">
        <f>IFERROR(__xludf.DUMMYFUNCTION("""COMPUTED_VALUE"""),962.03)</f>
        <v>962.03</v>
      </c>
      <c r="J360" s="5">
        <f>IFERROR(__xludf.DUMMYFUNCTION("""COMPUTED_VALUE"""),6782.63)</f>
        <v>6782.63</v>
      </c>
      <c r="K360" s="5">
        <f>IFERROR(__xludf.DUMMYFUNCTION("""COMPUTED_VALUE"""),5772.53)</f>
        <v>5772.53</v>
      </c>
      <c r="L360" s="4">
        <f>IFERROR(__xludf.DUMMYFUNCTION("""COMPUTED_VALUE"""),13.0)</f>
        <v>13</v>
      </c>
      <c r="M360" s="4">
        <f>IFERROR(__xludf.DUMMYFUNCTION("""COMPUTED_VALUE"""),40.0)</f>
        <v>40</v>
      </c>
      <c r="N360" s="2" t="str">
        <f>IFERROR(__xludf.DUMMYFUNCTION("""COMPUTED_VALUE"""),"VERDADERO")</f>
        <v>VERDADERO</v>
      </c>
    </row>
    <row r="361">
      <c r="A361" s="2">
        <f>IFERROR(__xludf.DUMMYFUNCTION("""COMPUTED_VALUE"""),360.0)</f>
        <v>360</v>
      </c>
      <c r="B361" s="2" t="str">
        <f>IFERROR(__xludf.DUMMYFUNCTION("""COMPUTED_VALUE"""),"Dominic Newlin")</f>
        <v>Dominic Newlin</v>
      </c>
      <c r="C361" s="2" t="str">
        <f>IFERROR(__xludf.DUMMYFUNCTION("""COMPUTED_VALUE"""),"dnewlina0@mtv.com")</f>
        <v>dnewlina0@mtv.com</v>
      </c>
      <c r="D361" s="4">
        <f>IFERROR(__xludf.DUMMYFUNCTION("""COMPUTED_VALUE"""),55.0)</f>
        <v>55</v>
      </c>
      <c r="E361" s="4">
        <f>IFERROR(__xludf.DUMMYFUNCTION("""COMPUTED_VALUE"""),107.0)</f>
        <v>107</v>
      </c>
      <c r="F361" s="4">
        <f>IFERROR(__xludf.DUMMYFUNCTION("""COMPUTED_VALUE"""),5.0)</f>
        <v>5</v>
      </c>
      <c r="G361" s="4">
        <f>IFERROR(__xludf.DUMMYFUNCTION("""COMPUTED_VALUE"""),1213.0)</f>
        <v>1213</v>
      </c>
      <c r="H361" s="5">
        <f>IFERROR(__xludf.DUMMYFUNCTION("""COMPUTED_VALUE"""),9781.92)</f>
        <v>9781.92</v>
      </c>
      <c r="I361" s="5">
        <f>IFERROR(__xludf.DUMMYFUNCTION("""COMPUTED_VALUE"""),9728.84)</f>
        <v>9728.84</v>
      </c>
      <c r="J361" s="5">
        <f>IFERROR(__xludf.DUMMYFUNCTION("""COMPUTED_VALUE"""),8362.89)</f>
        <v>8362.89</v>
      </c>
      <c r="K361" s="5">
        <f>IFERROR(__xludf.DUMMYFUNCTION("""COMPUTED_VALUE"""),4176.81)</f>
        <v>4176.81</v>
      </c>
      <c r="L361" s="4">
        <f>IFERROR(__xludf.DUMMYFUNCTION("""COMPUTED_VALUE"""),19.0)</f>
        <v>19</v>
      </c>
      <c r="M361" s="4">
        <f>IFERROR(__xludf.DUMMYFUNCTION("""COMPUTED_VALUE"""),31.0)</f>
        <v>31</v>
      </c>
      <c r="N361" s="2" t="str">
        <f>IFERROR(__xludf.DUMMYFUNCTION("""COMPUTED_VALUE"""),"VERDADERO")</f>
        <v>VERDADERO</v>
      </c>
    </row>
    <row r="362">
      <c r="A362" s="2">
        <f>IFERROR(__xludf.DUMMYFUNCTION("""COMPUTED_VALUE"""),361.0)</f>
        <v>361</v>
      </c>
      <c r="B362" s="2" t="str">
        <f>IFERROR(__xludf.DUMMYFUNCTION("""COMPUTED_VALUE"""),"Gerhardt Bloy")</f>
        <v>Gerhardt Bloy</v>
      </c>
      <c r="C362" s="2" t="str">
        <f>IFERROR(__xludf.DUMMYFUNCTION("""COMPUTED_VALUE"""),"gbloya1@fastcompany.com")</f>
        <v>gbloya1@fastcompany.com</v>
      </c>
      <c r="D362" s="4">
        <f>IFERROR(__xludf.DUMMYFUNCTION("""COMPUTED_VALUE"""),73.0)</f>
        <v>73</v>
      </c>
      <c r="E362" s="4">
        <f>IFERROR(__xludf.DUMMYFUNCTION("""COMPUTED_VALUE"""),67.0)</f>
        <v>67</v>
      </c>
      <c r="F362" s="4">
        <f>IFERROR(__xludf.DUMMYFUNCTION("""COMPUTED_VALUE"""),7.0)</f>
        <v>7</v>
      </c>
      <c r="G362" s="4">
        <f>IFERROR(__xludf.DUMMYFUNCTION("""COMPUTED_VALUE"""),1185.0)</f>
        <v>1185</v>
      </c>
      <c r="H362" s="5">
        <f>IFERROR(__xludf.DUMMYFUNCTION("""COMPUTED_VALUE"""),6827.76)</f>
        <v>6827.76</v>
      </c>
      <c r="I362" s="5">
        <f>IFERROR(__xludf.DUMMYFUNCTION("""COMPUTED_VALUE"""),3183.62)</f>
        <v>3183.62</v>
      </c>
      <c r="J362" s="5">
        <f>IFERROR(__xludf.DUMMYFUNCTION("""COMPUTED_VALUE"""),6704.73)</f>
        <v>6704.73</v>
      </c>
      <c r="K362" s="5">
        <f>IFERROR(__xludf.DUMMYFUNCTION("""COMPUTED_VALUE"""),4258.9)</f>
        <v>4258.9</v>
      </c>
      <c r="L362" s="4">
        <f>IFERROR(__xludf.DUMMYFUNCTION("""COMPUTED_VALUE"""),13.0)</f>
        <v>13</v>
      </c>
      <c r="M362" s="4">
        <f>IFERROR(__xludf.DUMMYFUNCTION("""COMPUTED_VALUE"""),20.0)</f>
        <v>20</v>
      </c>
      <c r="N362" s="2" t="str">
        <f>IFERROR(__xludf.DUMMYFUNCTION("""COMPUTED_VALUE"""),"VERDADERO")</f>
        <v>VERDADERO</v>
      </c>
    </row>
    <row r="363">
      <c r="A363" s="2">
        <f>IFERROR(__xludf.DUMMYFUNCTION("""COMPUTED_VALUE"""),362.0)</f>
        <v>362</v>
      </c>
      <c r="B363" s="2" t="str">
        <f>IFERROR(__xludf.DUMMYFUNCTION("""COMPUTED_VALUE"""),"Fonz Sysland")</f>
        <v>Fonz Sysland</v>
      </c>
      <c r="C363" s="2" t="str">
        <f>IFERROR(__xludf.DUMMYFUNCTION("""COMPUTED_VALUE"""),"fsyslanda2@samsung.com")</f>
        <v>fsyslanda2@samsung.com</v>
      </c>
      <c r="D363" s="4">
        <f>IFERROR(__xludf.DUMMYFUNCTION("""COMPUTED_VALUE"""),124.0)</f>
        <v>124</v>
      </c>
      <c r="E363" s="4">
        <f>IFERROR(__xludf.DUMMYFUNCTION("""COMPUTED_VALUE"""),107.0)</f>
        <v>107</v>
      </c>
      <c r="F363" s="4">
        <f>IFERROR(__xludf.DUMMYFUNCTION("""COMPUTED_VALUE"""),5.0)</f>
        <v>5</v>
      </c>
      <c r="G363" s="4">
        <f>IFERROR(__xludf.DUMMYFUNCTION("""COMPUTED_VALUE"""),643.0)</f>
        <v>643</v>
      </c>
      <c r="H363" s="5">
        <f>IFERROR(__xludf.DUMMYFUNCTION("""COMPUTED_VALUE"""),4149.34)</f>
        <v>4149.34</v>
      </c>
      <c r="I363" s="5">
        <f>IFERROR(__xludf.DUMMYFUNCTION("""COMPUTED_VALUE"""),7971.1)</f>
        <v>7971.1</v>
      </c>
      <c r="J363" s="5">
        <f>IFERROR(__xludf.DUMMYFUNCTION("""COMPUTED_VALUE"""),5154.81)</f>
        <v>5154.81</v>
      </c>
      <c r="K363" s="5">
        <f>IFERROR(__xludf.DUMMYFUNCTION("""COMPUTED_VALUE"""),7483.44)</f>
        <v>7483.44</v>
      </c>
      <c r="L363" s="4">
        <f>IFERROR(__xludf.DUMMYFUNCTION("""COMPUTED_VALUE"""),11.0)</f>
        <v>11</v>
      </c>
      <c r="M363" s="4">
        <f>IFERROR(__xludf.DUMMYFUNCTION("""COMPUTED_VALUE"""),39.0)</f>
        <v>39</v>
      </c>
      <c r="N363" s="2" t="str">
        <f>IFERROR(__xludf.DUMMYFUNCTION("""COMPUTED_VALUE"""),"FALSO")</f>
        <v>FALSO</v>
      </c>
    </row>
    <row r="364">
      <c r="A364" s="2">
        <f>IFERROR(__xludf.DUMMYFUNCTION("""COMPUTED_VALUE"""),363.0)</f>
        <v>363</v>
      </c>
      <c r="B364" s="2" t="str">
        <f>IFERROR(__xludf.DUMMYFUNCTION("""COMPUTED_VALUE"""),"Weylin McBeath")</f>
        <v>Weylin McBeath</v>
      </c>
      <c r="C364" s="2" t="str">
        <f>IFERROR(__xludf.DUMMYFUNCTION("""COMPUTED_VALUE"""),"wmcbeatha3@spiegel.de")</f>
        <v>wmcbeatha3@spiegel.de</v>
      </c>
      <c r="D364" s="4">
        <f>IFERROR(__xludf.DUMMYFUNCTION("""COMPUTED_VALUE"""),120.0)</f>
        <v>120</v>
      </c>
      <c r="E364" s="4">
        <f>IFERROR(__xludf.DUMMYFUNCTION("""COMPUTED_VALUE"""),63.0)</f>
        <v>63</v>
      </c>
      <c r="F364" s="4">
        <f>IFERROR(__xludf.DUMMYFUNCTION("""COMPUTED_VALUE"""),4.0)</f>
        <v>4</v>
      </c>
      <c r="G364" s="4">
        <f>IFERROR(__xludf.DUMMYFUNCTION("""COMPUTED_VALUE"""),29.0)</f>
        <v>29</v>
      </c>
      <c r="H364" s="5">
        <f>IFERROR(__xludf.DUMMYFUNCTION("""COMPUTED_VALUE"""),3476.49)</f>
        <v>3476.49</v>
      </c>
      <c r="I364" s="5">
        <f>IFERROR(__xludf.DUMMYFUNCTION("""COMPUTED_VALUE"""),1514.43)</f>
        <v>1514.43</v>
      </c>
      <c r="J364" s="5">
        <f>IFERROR(__xludf.DUMMYFUNCTION("""COMPUTED_VALUE"""),5334.36)</f>
        <v>5334.36</v>
      </c>
      <c r="K364" s="5">
        <f>IFERROR(__xludf.DUMMYFUNCTION("""COMPUTED_VALUE"""),1945.51)</f>
        <v>1945.51</v>
      </c>
      <c r="L364" s="4">
        <f>IFERROR(__xludf.DUMMYFUNCTION("""COMPUTED_VALUE"""),17.0)</f>
        <v>17</v>
      </c>
      <c r="M364" s="4">
        <f>IFERROR(__xludf.DUMMYFUNCTION("""COMPUTED_VALUE"""),74.0)</f>
        <v>74</v>
      </c>
      <c r="N364" s="2" t="str">
        <f>IFERROR(__xludf.DUMMYFUNCTION("""COMPUTED_VALUE"""),"VERDADERO")</f>
        <v>VERDADERO</v>
      </c>
    </row>
    <row r="365">
      <c r="A365" s="2">
        <f>IFERROR(__xludf.DUMMYFUNCTION("""COMPUTED_VALUE"""),364.0)</f>
        <v>364</v>
      </c>
      <c r="B365" s="2" t="str">
        <f>IFERROR(__xludf.DUMMYFUNCTION("""COMPUTED_VALUE"""),"Axe Skirvane")</f>
        <v>Axe Skirvane</v>
      </c>
      <c r="C365" s="2" t="str">
        <f>IFERROR(__xludf.DUMMYFUNCTION("""COMPUTED_VALUE"""),"askirvanea4@businesswire.com")</f>
        <v>askirvanea4@businesswire.com</v>
      </c>
      <c r="D365" s="4">
        <f>IFERROR(__xludf.DUMMYFUNCTION("""COMPUTED_VALUE"""),124.0)</f>
        <v>124</v>
      </c>
      <c r="E365" s="4">
        <f>IFERROR(__xludf.DUMMYFUNCTION("""COMPUTED_VALUE"""),66.0)</f>
        <v>66</v>
      </c>
      <c r="F365" s="4">
        <f>IFERROR(__xludf.DUMMYFUNCTION("""COMPUTED_VALUE"""),6.0)</f>
        <v>6</v>
      </c>
      <c r="G365" s="4">
        <f>IFERROR(__xludf.DUMMYFUNCTION("""COMPUTED_VALUE"""),438.0)</f>
        <v>438</v>
      </c>
      <c r="H365" s="5">
        <f>IFERROR(__xludf.DUMMYFUNCTION("""COMPUTED_VALUE"""),8103.34)</f>
        <v>8103.34</v>
      </c>
      <c r="I365" s="5">
        <f>IFERROR(__xludf.DUMMYFUNCTION("""COMPUTED_VALUE"""),3345.99)</f>
        <v>3345.99</v>
      </c>
      <c r="J365" s="5">
        <f>IFERROR(__xludf.DUMMYFUNCTION("""COMPUTED_VALUE"""),8611.25)</f>
        <v>8611.25</v>
      </c>
      <c r="K365" s="5">
        <f>IFERROR(__xludf.DUMMYFUNCTION("""COMPUTED_VALUE"""),6099.02)</f>
        <v>6099.02</v>
      </c>
      <c r="L365" s="4">
        <f>IFERROR(__xludf.DUMMYFUNCTION("""COMPUTED_VALUE"""),4.0)</f>
        <v>4</v>
      </c>
      <c r="M365" s="4">
        <f>IFERROR(__xludf.DUMMYFUNCTION("""COMPUTED_VALUE"""),95.0)</f>
        <v>95</v>
      </c>
      <c r="N365" s="2" t="str">
        <f>IFERROR(__xludf.DUMMYFUNCTION("""COMPUTED_VALUE"""),"FALSO")</f>
        <v>FALSO</v>
      </c>
    </row>
    <row r="366">
      <c r="A366" s="2">
        <f>IFERROR(__xludf.DUMMYFUNCTION("""COMPUTED_VALUE"""),365.0)</f>
        <v>365</v>
      </c>
      <c r="B366" s="2" t="str">
        <f>IFERROR(__xludf.DUMMYFUNCTION("""COMPUTED_VALUE"""),"Honey Dimitrijevic")</f>
        <v>Honey Dimitrijevic</v>
      </c>
      <c r="C366" s="2" t="str">
        <f>IFERROR(__xludf.DUMMYFUNCTION("""COMPUTED_VALUE"""),"hdimitrijevica5@amazon.de")</f>
        <v>hdimitrijevica5@amazon.de</v>
      </c>
      <c r="D366" s="4">
        <f>IFERROR(__xludf.DUMMYFUNCTION("""COMPUTED_VALUE"""),122.0)</f>
        <v>122</v>
      </c>
      <c r="E366" s="4">
        <f>IFERROR(__xludf.DUMMYFUNCTION("""COMPUTED_VALUE"""),120.0)</f>
        <v>120</v>
      </c>
      <c r="F366" s="4">
        <f>IFERROR(__xludf.DUMMYFUNCTION("""COMPUTED_VALUE"""),5.0)</f>
        <v>5</v>
      </c>
      <c r="G366" s="4">
        <f>IFERROR(__xludf.DUMMYFUNCTION("""COMPUTED_VALUE"""),863.0)</f>
        <v>863</v>
      </c>
      <c r="H366" s="5">
        <f>IFERROR(__xludf.DUMMYFUNCTION("""COMPUTED_VALUE"""),1153.16)</f>
        <v>1153.16</v>
      </c>
      <c r="I366" s="5">
        <f>IFERROR(__xludf.DUMMYFUNCTION("""COMPUTED_VALUE"""),8439.61)</f>
        <v>8439.61</v>
      </c>
      <c r="J366" s="5">
        <f>IFERROR(__xludf.DUMMYFUNCTION("""COMPUTED_VALUE"""),170.91)</f>
        <v>170.91</v>
      </c>
      <c r="K366" s="5">
        <f>IFERROR(__xludf.DUMMYFUNCTION("""COMPUTED_VALUE"""),4709.91)</f>
        <v>4709.91</v>
      </c>
      <c r="L366" s="4">
        <f>IFERROR(__xludf.DUMMYFUNCTION("""COMPUTED_VALUE"""),16.0)</f>
        <v>16</v>
      </c>
      <c r="M366" s="4">
        <f>IFERROR(__xludf.DUMMYFUNCTION("""COMPUTED_VALUE"""),65.0)</f>
        <v>65</v>
      </c>
      <c r="N366" s="2" t="str">
        <f>IFERROR(__xludf.DUMMYFUNCTION("""COMPUTED_VALUE"""),"VERDADERO")</f>
        <v>VERDADERO</v>
      </c>
    </row>
    <row r="367">
      <c r="A367" s="2">
        <f>IFERROR(__xludf.DUMMYFUNCTION("""COMPUTED_VALUE"""),366.0)</f>
        <v>366</v>
      </c>
      <c r="B367" s="2" t="str">
        <f>IFERROR(__xludf.DUMMYFUNCTION("""COMPUTED_VALUE"""),"Terese Kellaway")</f>
        <v>Terese Kellaway</v>
      </c>
      <c r="C367" s="2" t="str">
        <f>IFERROR(__xludf.DUMMYFUNCTION("""COMPUTED_VALUE"""),"tkellawaya6@rakuten.co.jp")</f>
        <v>tkellawaya6@rakuten.co.jp</v>
      </c>
      <c r="D367" s="4">
        <f>IFERROR(__xludf.DUMMYFUNCTION("""COMPUTED_VALUE"""),55.0)</f>
        <v>55</v>
      </c>
      <c r="E367" s="4">
        <f>IFERROR(__xludf.DUMMYFUNCTION("""COMPUTED_VALUE"""),113.0)</f>
        <v>113</v>
      </c>
      <c r="F367" s="4">
        <f>IFERROR(__xludf.DUMMYFUNCTION("""COMPUTED_VALUE"""),5.0)</f>
        <v>5</v>
      </c>
      <c r="G367" s="4">
        <f>IFERROR(__xludf.DUMMYFUNCTION("""COMPUTED_VALUE"""),770.0)</f>
        <v>770</v>
      </c>
      <c r="H367" s="5">
        <f>IFERROR(__xludf.DUMMYFUNCTION("""COMPUTED_VALUE"""),221.71)</f>
        <v>221.71</v>
      </c>
      <c r="I367" s="5">
        <f>IFERROR(__xludf.DUMMYFUNCTION("""COMPUTED_VALUE"""),1251.99)</f>
        <v>1251.99</v>
      </c>
      <c r="J367" s="5">
        <f>IFERROR(__xludf.DUMMYFUNCTION("""COMPUTED_VALUE"""),2782.01)</f>
        <v>2782.01</v>
      </c>
      <c r="K367" s="5">
        <f>IFERROR(__xludf.DUMMYFUNCTION("""COMPUTED_VALUE"""),4803.91)</f>
        <v>4803.91</v>
      </c>
      <c r="L367" s="4">
        <f>IFERROR(__xludf.DUMMYFUNCTION("""COMPUTED_VALUE"""),16.0)</f>
        <v>16</v>
      </c>
      <c r="M367" s="4">
        <f>IFERROR(__xludf.DUMMYFUNCTION("""COMPUTED_VALUE"""),31.0)</f>
        <v>31</v>
      </c>
      <c r="N367" s="2" t="str">
        <f>IFERROR(__xludf.DUMMYFUNCTION("""COMPUTED_VALUE"""),"FALSO")</f>
        <v>FALSO</v>
      </c>
    </row>
    <row r="368">
      <c r="A368" s="2">
        <f>IFERROR(__xludf.DUMMYFUNCTION("""COMPUTED_VALUE"""),367.0)</f>
        <v>367</v>
      </c>
      <c r="B368" s="2" t="str">
        <f>IFERROR(__xludf.DUMMYFUNCTION("""COMPUTED_VALUE"""),"Nikkie Matuszinski")</f>
        <v>Nikkie Matuszinski</v>
      </c>
      <c r="C368" s="2" t="str">
        <f>IFERROR(__xludf.DUMMYFUNCTION("""COMPUTED_VALUE"""),"nmatuszinskia7@soundcloud.com")</f>
        <v>nmatuszinskia7@soundcloud.com</v>
      </c>
      <c r="D368" s="4">
        <f>IFERROR(__xludf.DUMMYFUNCTION("""COMPUTED_VALUE"""),134.0)</f>
        <v>134</v>
      </c>
      <c r="E368" s="4">
        <f>IFERROR(__xludf.DUMMYFUNCTION("""COMPUTED_VALUE"""),21.0)</f>
        <v>21</v>
      </c>
      <c r="F368" s="4">
        <f>IFERROR(__xludf.DUMMYFUNCTION("""COMPUTED_VALUE"""),4.0)</f>
        <v>4</v>
      </c>
      <c r="G368" s="4">
        <f>IFERROR(__xludf.DUMMYFUNCTION("""COMPUTED_VALUE"""),661.0)</f>
        <v>661</v>
      </c>
      <c r="H368" s="5">
        <f>IFERROR(__xludf.DUMMYFUNCTION("""COMPUTED_VALUE"""),6112.37)</f>
        <v>6112.37</v>
      </c>
      <c r="I368" s="5">
        <f>IFERROR(__xludf.DUMMYFUNCTION("""COMPUTED_VALUE"""),4285.44)</f>
        <v>4285.44</v>
      </c>
      <c r="J368" s="5">
        <f>IFERROR(__xludf.DUMMYFUNCTION("""COMPUTED_VALUE"""),1473.94)</f>
        <v>1473.94</v>
      </c>
      <c r="K368" s="5">
        <f>IFERROR(__xludf.DUMMYFUNCTION("""COMPUTED_VALUE"""),8150.01)</f>
        <v>8150.01</v>
      </c>
      <c r="L368" s="4">
        <f>IFERROR(__xludf.DUMMYFUNCTION("""COMPUTED_VALUE"""),5.0)</f>
        <v>5</v>
      </c>
      <c r="M368" s="4">
        <f>IFERROR(__xludf.DUMMYFUNCTION("""COMPUTED_VALUE"""),90.0)</f>
        <v>90</v>
      </c>
      <c r="N368" s="2" t="str">
        <f>IFERROR(__xludf.DUMMYFUNCTION("""COMPUTED_VALUE"""),"FALSO")</f>
        <v>FALSO</v>
      </c>
    </row>
    <row r="369">
      <c r="A369" s="2">
        <f>IFERROR(__xludf.DUMMYFUNCTION("""COMPUTED_VALUE"""),368.0)</f>
        <v>368</v>
      </c>
      <c r="B369" s="2" t="str">
        <f>IFERROR(__xludf.DUMMYFUNCTION("""COMPUTED_VALUE"""),"Jorge Denial")</f>
        <v>Jorge Denial</v>
      </c>
      <c r="C369" s="2" t="str">
        <f>IFERROR(__xludf.DUMMYFUNCTION("""COMPUTED_VALUE"""),"jdeniala8@cornell.edu")</f>
        <v>jdeniala8@cornell.edu</v>
      </c>
      <c r="D369" s="4">
        <f>IFERROR(__xludf.DUMMYFUNCTION("""COMPUTED_VALUE"""),55.0)</f>
        <v>55</v>
      </c>
      <c r="E369" s="4">
        <f>IFERROR(__xludf.DUMMYFUNCTION("""COMPUTED_VALUE"""),81.0)</f>
        <v>81</v>
      </c>
      <c r="F369" s="4">
        <f>IFERROR(__xludf.DUMMYFUNCTION("""COMPUTED_VALUE"""),2.0)</f>
        <v>2</v>
      </c>
      <c r="G369" s="4">
        <f>IFERROR(__xludf.DUMMYFUNCTION("""COMPUTED_VALUE"""),27.0)</f>
        <v>27</v>
      </c>
      <c r="H369" s="5">
        <f>IFERROR(__xludf.DUMMYFUNCTION("""COMPUTED_VALUE"""),6249.46)</f>
        <v>6249.46</v>
      </c>
      <c r="I369" s="5">
        <f>IFERROR(__xludf.DUMMYFUNCTION("""COMPUTED_VALUE"""),2797.45)</f>
        <v>2797.45</v>
      </c>
      <c r="J369" s="5">
        <f>IFERROR(__xludf.DUMMYFUNCTION("""COMPUTED_VALUE"""),1193.8)</f>
        <v>1193.8</v>
      </c>
      <c r="K369" s="5">
        <f>IFERROR(__xludf.DUMMYFUNCTION("""COMPUTED_VALUE"""),1497.69)</f>
        <v>1497.69</v>
      </c>
      <c r="L369" s="4">
        <f>IFERROR(__xludf.DUMMYFUNCTION("""COMPUTED_VALUE"""),16.0)</f>
        <v>16</v>
      </c>
      <c r="M369" s="4">
        <f>IFERROR(__xludf.DUMMYFUNCTION("""COMPUTED_VALUE"""),76.0)</f>
        <v>76</v>
      </c>
      <c r="N369" s="2" t="str">
        <f>IFERROR(__xludf.DUMMYFUNCTION("""COMPUTED_VALUE"""),"FALSO")</f>
        <v>FALSO</v>
      </c>
    </row>
    <row r="370">
      <c r="A370" s="2">
        <f>IFERROR(__xludf.DUMMYFUNCTION("""COMPUTED_VALUE"""),369.0)</f>
        <v>369</v>
      </c>
      <c r="B370" s="2" t="str">
        <f>IFERROR(__xludf.DUMMYFUNCTION("""COMPUTED_VALUE"""),"Nikolai Hurdedge")</f>
        <v>Nikolai Hurdedge</v>
      </c>
      <c r="C370" s="2" t="str">
        <f>IFERROR(__xludf.DUMMYFUNCTION("""COMPUTED_VALUE"""),"nhurdedgea9@globo.com")</f>
        <v>nhurdedgea9@globo.com</v>
      </c>
      <c r="D370" s="4">
        <f>IFERROR(__xludf.DUMMYFUNCTION("""COMPUTED_VALUE"""),120.0)</f>
        <v>120</v>
      </c>
      <c r="E370" s="4">
        <f>IFERROR(__xludf.DUMMYFUNCTION("""COMPUTED_VALUE"""),65.0)</f>
        <v>65</v>
      </c>
      <c r="F370" s="4">
        <f>IFERROR(__xludf.DUMMYFUNCTION("""COMPUTED_VALUE"""),9.0)</f>
        <v>9</v>
      </c>
      <c r="G370" s="4">
        <f>IFERROR(__xludf.DUMMYFUNCTION("""COMPUTED_VALUE"""),595.0)</f>
        <v>595</v>
      </c>
      <c r="H370" s="5">
        <f>IFERROR(__xludf.DUMMYFUNCTION("""COMPUTED_VALUE"""),8186.32)</f>
        <v>8186.32</v>
      </c>
      <c r="I370" s="5">
        <f>IFERROR(__xludf.DUMMYFUNCTION("""COMPUTED_VALUE"""),8197.18)</f>
        <v>8197.18</v>
      </c>
      <c r="J370" s="5">
        <f>IFERROR(__xludf.DUMMYFUNCTION("""COMPUTED_VALUE"""),1303.69)</f>
        <v>1303.69</v>
      </c>
      <c r="K370" s="5">
        <f>IFERROR(__xludf.DUMMYFUNCTION("""COMPUTED_VALUE"""),3034.08)</f>
        <v>3034.08</v>
      </c>
      <c r="L370" s="4">
        <f>IFERROR(__xludf.DUMMYFUNCTION("""COMPUTED_VALUE"""),9.0)</f>
        <v>9</v>
      </c>
      <c r="M370" s="4">
        <f>IFERROR(__xludf.DUMMYFUNCTION("""COMPUTED_VALUE"""),38.0)</f>
        <v>38</v>
      </c>
      <c r="N370" s="2" t="str">
        <f>IFERROR(__xludf.DUMMYFUNCTION("""COMPUTED_VALUE"""),"FALSO")</f>
        <v>FALSO</v>
      </c>
    </row>
    <row r="371">
      <c r="A371" s="2">
        <f>IFERROR(__xludf.DUMMYFUNCTION("""COMPUTED_VALUE"""),370.0)</f>
        <v>370</v>
      </c>
      <c r="B371" s="2" t="str">
        <f>IFERROR(__xludf.DUMMYFUNCTION("""COMPUTED_VALUE"""),"Chandra Langstone")</f>
        <v>Chandra Langstone</v>
      </c>
      <c r="C371" s="2" t="str">
        <f>IFERROR(__xludf.DUMMYFUNCTION("""COMPUTED_VALUE"""),"clangstoneaa@wordpress.org")</f>
        <v>clangstoneaa@wordpress.org</v>
      </c>
      <c r="D371" s="4">
        <f>IFERROR(__xludf.DUMMYFUNCTION("""COMPUTED_VALUE"""),29.0)</f>
        <v>29</v>
      </c>
      <c r="E371" s="4">
        <f>IFERROR(__xludf.DUMMYFUNCTION("""COMPUTED_VALUE"""),81.0)</f>
        <v>81</v>
      </c>
      <c r="F371" s="4">
        <f>IFERROR(__xludf.DUMMYFUNCTION("""COMPUTED_VALUE"""),2.0)</f>
        <v>2</v>
      </c>
      <c r="G371" s="4">
        <f>IFERROR(__xludf.DUMMYFUNCTION("""COMPUTED_VALUE"""),339.0)</f>
        <v>339</v>
      </c>
      <c r="H371" s="5">
        <f>IFERROR(__xludf.DUMMYFUNCTION("""COMPUTED_VALUE"""),1410.16)</f>
        <v>1410.16</v>
      </c>
      <c r="I371" s="5">
        <f>IFERROR(__xludf.DUMMYFUNCTION("""COMPUTED_VALUE"""),2779.06)</f>
        <v>2779.06</v>
      </c>
      <c r="J371" s="5">
        <f>IFERROR(__xludf.DUMMYFUNCTION("""COMPUTED_VALUE"""),2766.64)</f>
        <v>2766.64</v>
      </c>
      <c r="K371" s="5">
        <f>IFERROR(__xludf.DUMMYFUNCTION("""COMPUTED_VALUE"""),6944.62)</f>
        <v>6944.62</v>
      </c>
      <c r="L371" s="4">
        <f>IFERROR(__xludf.DUMMYFUNCTION("""COMPUTED_VALUE"""),14.0)</f>
        <v>14</v>
      </c>
      <c r="M371" s="4">
        <f>IFERROR(__xludf.DUMMYFUNCTION("""COMPUTED_VALUE"""),46.0)</f>
        <v>46</v>
      </c>
      <c r="N371" s="2" t="str">
        <f>IFERROR(__xludf.DUMMYFUNCTION("""COMPUTED_VALUE"""),"FALSO")</f>
        <v>FALSO</v>
      </c>
    </row>
    <row r="372">
      <c r="A372" s="2">
        <f>IFERROR(__xludf.DUMMYFUNCTION("""COMPUTED_VALUE"""),371.0)</f>
        <v>371</v>
      </c>
      <c r="B372" s="2" t="str">
        <f>IFERROR(__xludf.DUMMYFUNCTION("""COMPUTED_VALUE"""),"Twila Heitz")</f>
        <v>Twila Heitz</v>
      </c>
      <c r="C372" s="2" t="str">
        <f>IFERROR(__xludf.DUMMYFUNCTION("""COMPUTED_VALUE"""),"theitzab@pcworld.com")</f>
        <v>theitzab@pcworld.com</v>
      </c>
      <c r="D372" s="4">
        <f>IFERROR(__xludf.DUMMYFUNCTION("""COMPUTED_VALUE"""),29.0)</f>
        <v>29</v>
      </c>
      <c r="E372" s="4">
        <f>IFERROR(__xludf.DUMMYFUNCTION("""COMPUTED_VALUE"""),85.0)</f>
        <v>85</v>
      </c>
      <c r="F372" s="4">
        <f>IFERROR(__xludf.DUMMYFUNCTION("""COMPUTED_VALUE"""),3.0)</f>
        <v>3</v>
      </c>
      <c r="G372" s="4">
        <f>IFERROR(__xludf.DUMMYFUNCTION("""COMPUTED_VALUE"""),299.0)</f>
        <v>299</v>
      </c>
      <c r="H372" s="5">
        <f>IFERROR(__xludf.DUMMYFUNCTION("""COMPUTED_VALUE"""),9767.7)</f>
        <v>9767.7</v>
      </c>
      <c r="I372" s="5">
        <f>IFERROR(__xludf.DUMMYFUNCTION("""COMPUTED_VALUE"""),4438.45)</f>
        <v>4438.45</v>
      </c>
      <c r="J372" s="5">
        <f>IFERROR(__xludf.DUMMYFUNCTION("""COMPUTED_VALUE"""),4879.19)</f>
        <v>4879.19</v>
      </c>
      <c r="K372" s="5">
        <f>IFERROR(__xludf.DUMMYFUNCTION("""COMPUTED_VALUE"""),5376.02)</f>
        <v>5376.02</v>
      </c>
      <c r="L372" s="4">
        <f>IFERROR(__xludf.DUMMYFUNCTION("""COMPUTED_VALUE"""),12.0)</f>
        <v>12</v>
      </c>
      <c r="M372" s="4">
        <f>IFERROR(__xludf.DUMMYFUNCTION("""COMPUTED_VALUE"""),60.0)</f>
        <v>60</v>
      </c>
      <c r="N372" s="2" t="str">
        <f>IFERROR(__xludf.DUMMYFUNCTION("""COMPUTED_VALUE"""),"FALSO")</f>
        <v>FALSO</v>
      </c>
    </row>
    <row r="373">
      <c r="A373" s="2">
        <f>IFERROR(__xludf.DUMMYFUNCTION("""COMPUTED_VALUE"""),372.0)</f>
        <v>372</v>
      </c>
      <c r="B373" s="2" t="str">
        <f>IFERROR(__xludf.DUMMYFUNCTION("""COMPUTED_VALUE"""),"Gretna Vescovo")</f>
        <v>Gretna Vescovo</v>
      </c>
      <c r="C373" s="2" t="str">
        <f>IFERROR(__xludf.DUMMYFUNCTION("""COMPUTED_VALUE"""),"gvescovoac@webs.com")</f>
        <v>gvescovoac@webs.com</v>
      </c>
      <c r="D373" s="4">
        <f>IFERROR(__xludf.DUMMYFUNCTION("""COMPUTED_VALUE"""),156.0)</f>
        <v>156</v>
      </c>
      <c r="E373" s="4">
        <f>IFERROR(__xludf.DUMMYFUNCTION("""COMPUTED_VALUE"""),92.0)</f>
        <v>92</v>
      </c>
      <c r="F373" s="4">
        <f>IFERROR(__xludf.DUMMYFUNCTION("""COMPUTED_VALUE"""),5.0)</f>
        <v>5</v>
      </c>
      <c r="G373" s="4">
        <f>IFERROR(__xludf.DUMMYFUNCTION("""COMPUTED_VALUE"""),707.0)</f>
        <v>707</v>
      </c>
      <c r="H373" s="5">
        <f>IFERROR(__xludf.DUMMYFUNCTION("""COMPUTED_VALUE"""),8704.83)</f>
        <v>8704.83</v>
      </c>
      <c r="I373" s="5">
        <f>IFERROR(__xludf.DUMMYFUNCTION("""COMPUTED_VALUE"""),5031.21)</f>
        <v>5031.21</v>
      </c>
      <c r="J373" s="5">
        <f>IFERROR(__xludf.DUMMYFUNCTION("""COMPUTED_VALUE"""),2066.6)</f>
        <v>2066.6</v>
      </c>
      <c r="K373" s="5">
        <f>IFERROR(__xludf.DUMMYFUNCTION("""COMPUTED_VALUE"""),2121.48)</f>
        <v>2121.48</v>
      </c>
      <c r="L373" s="4">
        <f>IFERROR(__xludf.DUMMYFUNCTION("""COMPUTED_VALUE"""),16.0)</f>
        <v>16</v>
      </c>
      <c r="M373" s="4">
        <f>IFERROR(__xludf.DUMMYFUNCTION("""COMPUTED_VALUE"""),59.0)</f>
        <v>59</v>
      </c>
      <c r="N373" s="2" t="str">
        <f>IFERROR(__xludf.DUMMYFUNCTION("""COMPUTED_VALUE"""),"VERDADERO")</f>
        <v>VERDADERO</v>
      </c>
    </row>
    <row r="374">
      <c r="A374" s="2">
        <f>IFERROR(__xludf.DUMMYFUNCTION("""COMPUTED_VALUE"""),373.0)</f>
        <v>373</v>
      </c>
      <c r="B374" s="2" t="str">
        <f>IFERROR(__xludf.DUMMYFUNCTION("""COMPUTED_VALUE"""),"Malanie Angric")</f>
        <v>Malanie Angric</v>
      </c>
      <c r="C374" s="2" t="str">
        <f>IFERROR(__xludf.DUMMYFUNCTION("""COMPUTED_VALUE"""),"mangricad@meetup.com")</f>
        <v>mangricad@meetup.com</v>
      </c>
      <c r="D374" s="4">
        <f>IFERROR(__xludf.DUMMYFUNCTION("""COMPUTED_VALUE"""),49.0)</f>
        <v>49</v>
      </c>
      <c r="E374" s="4">
        <f>IFERROR(__xludf.DUMMYFUNCTION("""COMPUTED_VALUE"""),81.0)</f>
        <v>81</v>
      </c>
      <c r="F374" s="4">
        <f>IFERROR(__xludf.DUMMYFUNCTION("""COMPUTED_VALUE"""),2.0)</f>
        <v>2</v>
      </c>
      <c r="G374" s="4">
        <f>IFERROR(__xludf.DUMMYFUNCTION("""COMPUTED_VALUE"""),442.0)</f>
        <v>442</v>
      </c>
      <c r="H374" s="5">
        <f>IFERROR(__xludf.DUMMYFUNCTION("""COMPUTED_VALUE"""),5033.29)</f>
        <v>5033.29</v>
      </c>
      <c r="I374" s="5">
        <f>IFERROR(__xludf.DUMMYFUNCTION("""COMPUTED_VALUE"""),792.47)</f>
        <v>792.47</v>
      </c>
      <c r="J374" s="5">
        <f>IFERROR(__xludf.DUMMYFUNCTION("""COMPUTED_VALUE"""),2817.32)</f>
        <v>2817.32</v>
      </c>
      <c r="K374" s="5">
        <f>IFERROR(__xludf.DUMMYFUNCTION("""COMPUTED_VALUE"""),1842.59)</f>
        <v>1842.59</v>
      </c>
      <c r="L374" s="4">
        <f>IFERROR(__xludf.DUMMYFUNCTION("""COMPUTED_VALUE"""),8.0)</f>
        <v>8</v>
      </c>
      <c r="M374" s="4">
        <f>IFERROR(__xludf.DUMMYFUNCTION("""COMPUTED_VALUE"""),5.0)</f>
        <v>5</v>
      </c>
      <c r="N374" s="2" t="str">
        <f>IFERROR(__xludf.DUMMYFUNCTION("""COMPUTED_VALUE"""),"FALSO")</f>
        <v>FALSO</v>
      </c>
    </row>
    <row r="375">
      <c r="A375" s="2">
        <f>IFERROR(__xludf.DUMMYFUNCTION("""COMPUTED_VALUE"""),374.0)</f>
        <v>374</v>
      </c>
      <c r="B375" s="2" t="str">
        <f>IFERROR(__xludf.DUMMYFUNCTION("""COMPUTED_VALUE"""),"Deanna Amis")</f>
        <v>Deanna Amis</v>
      </c>
      <c r="C375" s="2" t="str">
        <f>IFERROR(__xludf.DUMMYFUNCTION("""COMPUTED_VALUE"""),"damisae@hao123.com")</f>
        <v>damisae@hao123.com</v>
      </c>
      <c r="D375" s="4">
        <f>IFERROR(__xludf.DUMMYFUNCTION("""COMPUTED_VALUE"""),39.0)</f>
        <v>39</v>
      </c>
      <c r="E375" s="4">
        <f>IFERROR(__xludf.DUMMYFUNCTION("""COMPUTED_VALUE"""),81.0)</f>
        <v>81</v>
      </c>
      <c r="F375" s="4">
        <f>IFERROR(__xludf.DUMMYFUNCTION("""COMPUTED_VALUE"""),2.0)</f>
        <v>2</v>
      </c>
      <c r="G375" s="4">
        <f>IFERROR(__xludf.DUMMYFUNCTION("""COMPUTED_VALUE"""),874.0)</f>
        <v>874</v>
      </c>
      <c r="H375" s="5">
        <f>IFERROR(__xludf.DUMMYFUNCTION("""COMPUTED_VALUE"""),6579.07)</f>
        <v>6579.07</v>
      </c>
      <c r="I375" s="5">
        <f>IFERROR(__xludf.DUMMYFUNCTION("""COMPUTED_VALUE"""),830.13)</f>
        <v>830.13</v>
      </c>
      <c r="J375" s="5">
        <f>IFERROR(__xludf.DUMMYFUNCTION("""COMPUTED_VALUE"""),126.64)</f>
        <v>126.64</v>
      </c>
      <c r="K375" s="5">
        <f>IFERROR(__xludf.DUMMYFUNCTION("""COMPUTED_VALUE"""),7555.89)</f>
        <v>7555.89</v>
      </c>
      <c r="L375" s="4">
        <f>IFERROR(__xludf.DUMMYFUNCTION("""COMPUTED_VALUE"""),9.0)</f>
        <v>9</v>
      </c>
      <c r="M375" s="4">
        <f>IFERROR(__xludf.DUMMYFUNCTION("""COMPUTED_VALUE"""),62.0)</f>
        <v>62</v>
      </c>
      <c r="N375" s="2" t="str">
        <f>IFERROR(__xludf.DUMMYFUNCTION("""COMPUTED_VALUE"""),"VERDADERO")</f>
        <v>VERDADERO</v>
      </c>
    </row>
    <row r="376">
      <c r="A376" s="2">
        <f>IFERROR(__xludf.DUMMYFUNCTION("""COMPUTED_VALUE"""),375.0)</f>
        <v>375</v>
      </c>
      <c r="B376" s="2" t="str">
        <f>IFERROR(__xludf.DUMMYFUNCTION("""COMPUTED_VALUE"""),"Adriaens Mushrow")</f>
        <v>Adriaens Mushrow</v>
      </c>
      <c r="C376" s="2" t="str">
        <f>IFERROR(__xludf.DUMMYFUNCTION("""COMPUTED_VALUE"""),"amushrowaf@spiegel.de")</f>
        <v>amushrowaf@spiegel.de</v>
      </c>
      <c r="D376" s="4">
        <f>IFERROR(__xludf.DUMMYFUNCTION("""COMPUTED_VALUE"""),150.0)</f>
        <v>150</v>
      </c>
      <c r="E376" s="4">
        <f>IFERROR(__xludf.DUMMYFUNCTION("""COMPUTED_VALUE"""),81.0)</f>
        <v>81</v>
      </c>
      <c r="F376" s="4">
        <f>IFERROR(__xludf.DUMMYFUNCTION("""COMPUTED_VALUE"""),2.0)</f>
        <v>2</v>
      </c>
      <c r="G376" s="4">
        <f>IFERROR(__xludf.DUMMYFUNCTION("""COMPUTED_VALUE"""),335.0)</f>
        <v>335</v>
      </c>
      <c r="H376" s="5">
        <f>IFERROR(__xludf.DUMMYFUNCTION("""COMPUTED_VALUE"""),3800.0)</f>
        <v>3800</v>
      </c>
      <c r="I376" s="5">
        <f>IFERROR(__xludf.DUMMYFUNCTION("""COMPUTED_VALUE"""),9635.24)</f>
        <v>9635.24</v>
      </c>
      <c r="J376" s="5">
        <f>IFERROR(__xludf.DUMMYFUNCTION("""COMPUTED_VALUE"""),8571.67)</f>
        <v>8571.67</v>
      </c>
      <c r="K376" s="5">
        <f>IFERROR(__xludf.DUMMYFUNCTION("""COMPUTED_VALUE"""),849.75)</f>
        <v>849.75</v>
      </c>
      <c r="L376" s="4">
        <f>IFERROR(__xludf.DUMMYFUNCTION("""COMPUTED_VALUE"""),7.0)</f>
        <v>7</v>
      </c>
      <c r="M376" s="4">
        <f>IFERROR(__xludf.DUMMYFUNCTION("""COMPUTED_VALUE"""),59.0)</f>
        <v>59</v>
      </c>
      <c r="N376" s="2" t="str">
        <f>IFERROR(__xludf.DUMMYFUNCTION("""COMPUTED_VALUE"""),"VERDADERO")</f>
        <v>VERDADERO</v>
      </c>
    </row>
    <row r="377">
      <c r="A377" s="2">
        <f>IFERROR(__xludf.DUMMYFUNCTION("""COMPUTED_VALUE"""),376.0)</f>
        <v>376</v>
      </c>
      <c r="B377" s="2" t="str">
        <f>IFERROR(__xludf.DUMMYFUNCTION("""COMPUTED_VALUE"""),"Merwin Brumfitt")</f>
        <v>Merwin Brumfitt</v>
      </c>
      <c r="C377" s="2" t="str">
        <f>IFERROR(__xludf.DUMMYFUNCTION("""COMPUTED_VALUE"""),"mbrumfittag@ft.com")</f>
        <v>mbrumfittag@ft.com</v>
      </c>
      <c r="D377" s="4">
        <f>IFERROR(__xludf.DUMMYFUNCTION("""COMPUTED_VALUE"""),94.0)</f>
        <v>94</v>
      </c>
      <c r="E377" s="4">
        <f>IFERROR(__xludf.DUMMYFUNCTION("""COMPUTED_VALUE"""),90.0)</f>
        <v>90</v>
      </c>
      <c r="F377" s="4">
        <f>IFERROR(__xludf.DUMMYFUNCTION("""COMPUTED_VALUE"""),5.0)</f>
        <v>5</v>
      </c>
      <c r="G377" s="4">
        <f>IFERROR(__xludf.DUMMYFUNCTION("""COMPUTED_VALUE"""),236.0)</f>
        <v>236</v>
      </c>
      <c r="H377" s="5">
        <f>IFERROR(__xludf.DUMMYFUNCTION("""COMPUTED_VALUE"""),2849.66)</f>
        <v>2849.66</v>
      </c>
      <c r="I377" s="5">
        <f>IFERROR(__xludf.DUMMYFUNCTION("""COMPUTED_VALUE"""),412.99)</f>
        <v>412.99</v>
      </c>
      <c r="J377" s="5">
        <f>IFERROR(__xludf.DUMMYFUNCTION("""COMPUTED_VALUE"""),6050.35)</f>
        <v>6050.35</v>
      </c>
      <c r="K377" s="5">
        <f>IFERROR(__xludf.DUMMYFUNCTION("""COMPUTED_VALUE"""),3342.31)</f>
        <v>3342.31</v>
      </c>
      <c r="L377" s="4">
        <f>IFERROR(__xludf.DUMMYFUNCTION("""COMPUTED_VALUE"""),8.0)</f>
        <v>8</v>
      </c>
      <c r="M377" s="4">
        <f>IFERROR(__xludf.DUMMYFUNCTION("""COMPUTED_VALUE"""),44.0)</f>
        <v>44</v>
      </c>
      <c r="N377" s="2" t="str">
        <f>IFERROR(__xludf.DUMMYFUNCTION("""COMPUTED_VALUE"""),"VERDADERO")</f>
        <v>VERDADERO</v>
      </c>
    </row>
    <row r="378">
      <c r="A378" s="2">
        <f>IFERROR(__xludf.DUMMYFUNCTION("""COMPUTED_VALUE"""),377.0)</f>
        <v>377</v>
      </c>
      <c r="B378" s="2" t="str">
        <f>IFERROR(__xludf.DUMMYFUNCTION("""COMPUTED_VALUE"""),"Abigail Costall")</f>
        <v>Abigail Costall</v>
      </c>
      <c r="C378" s="2" t="str">
        <f>IFERROR(__xludf.DUMMYFUNCTION("""COMPUTED_VALUE"""),"acostallah@seesaa.net")</f>
        <v>acostallah@seesaa.net</v>
      </c>
      <c r="D378" s="4">
        <f>IFERROR(__xludf.DUMMYFUNCTION("""COMPUTED_VALUE"""),124.0)</f>
        <v>124</v>
      </c>
      <c r="E378" s="4">
        <f>IFERROR(__xludf.DUMMYFUNCTION("""COMPUTED_VALUE"""),81.0)</f>
        <v>81</v>
      </c>
      <c r="F378" s="4">
        <f>IFERROR(__xludf.DUMMYFUNCTION("""COMPUTED_VALUE"""),2.0)</f>
        <v>2</v>
      </c>
      <c r="G378" s="4">
        <f>IFERROR(__xludf.DUMMYFUNCTION("""COMPUTED_VALUE"""),819.0)</f>
        <v>819</v>
      </c>
      <c r="H378" s="5">
        <f>IFERROR(__xludf.DUMMYFUNCTION("""COMPUTED_VALUE"""),6522.84)</f>
        <v>6522.84</v>
      </c>
      <c r="I378" s="5">
        <f>IFERROR(__xludf.DUMMYFUNCTION("""COMPUTED_VALUE"""),411.3)</f>
        <v>411.3</v>
      </c>
      <c r="J378" s="5">
        <f>IFERROR(__xludf.DUMMYFUNCTION("""COMPUTED_VALUE"""),2709.95)</f>
        <v>2709.95</v>
      </c>
      <c r="K378" s="5">
        <f>IFERROR(__xludf.DUMMYFUNCTION("""COMPUTED_VALUE"""),2458.57)</f>
        <v>2458.57</v>
      </c>
      <c r="L378" s="4">
        <f>IFERROR(__xludf.DUMMYFUNCTION("""COMPUTED_VALUE"""),1.0)</f>
        <v>1</v>
      </c>
      <c r="M378" s="4">
        <f>IFERROR(__xludf.DUMMYFUNCTION("""COMPUTED_VALUE"""),6.0)</f>
        <v>6</v>
      </c>
      <c r="N378" s="2" t="str">
        <f>IFERROR(__xludf.DUMMYFUNCTION("""COMPUTED_VALUE"""),"VERDADERO")</f>
        <v>VERDADERO</v>
      </c>
    </row>
    <row r="379">
      <c r="A379" s="2">
        <f>IFERROR(__xludf.DUMMYFUNCTION("""COMPUTED_VALUE"""),378.0)</f>
        <v>378</v>
      </c>
      <c r="B379" s="2" t="str">
        <f>IFERROR(__xludf.DUMMYFUNCTION("""COMPUTED_VALUE"""),"Lawton Sillett")</f>
        <v>Lawton Sillett</v>
      </c>
      <c r="C379" s="2" t="str">
        <f>IFERROR(__xludf.DUMMYFUNCTION("""COMPUTED_VALUE"""),"lsillettai@uol.com.br")</f>
        <v>lsillettai@uol.com.br</v>
      </c>
      <c r="D379" s="4">
        <f>IFERROR(__xludf.DUMMYFUNCTION("""COMPUTED_VALUE"""),120.0)</f>
        <v>120</v>
      </c>
      <c r="E379" s="4">
        <f>IFERROR(__xludf.DUMMYFUNCTION("""COMPUTED_VALUE"""),60.0)</f>
        <v>60</v>
      </c>
      <c r="F379" s="4">
        <f>IFERROR(__xludf.DUMMYFUNCTION("""COMPUTED_VALUE"""),3.0)</f>
        <v>3</v>
      </c>
      <c r="G379" s="4">
        <f>IFERROR(__xludf.DUMMYFUNCTION("""COMPUTED_VALUE"""),265.0)</f>
        <v>265</v>
      </c>
      <c r="H379" s="5">
        <f>IFERROR(__xludf.DUMMYFUNCTION("""COMPUTED_VALUE"""),5860.89)</f>
        <v>5860.89</v>
      </c>
      <c r="I379" s="5">
        <f>IFERROR(__xludf.DUMMYFUNCTION("""COMPUTED_VALUE"""),4621.37)</f>
        <v>4621.37</v>
      </c>
      <c r="J379" s="5">
        <f>IFERROR(__xludf.DUMMYFUNCTION("""COMPUTED_VALUE"""),3400.14)</f>
        <v>3400.14</v>
      </c>
      <c r="K379" s="5">
        <f>IFERROR(__xludf.DUMMYFUNCTION("""COMPUTED_VALUE"""),5789.09)</f>
        <v>5789.09</v>
      </c>
      <c r="L379" s="4">
        <f>IFERROR(__xludf.DUMMYFUNCTION("""COMPUTED_VALUE"""),15.0)</f>
        <v>15</v>
      </c>
      <c r="M379" s="4">
        <f>IFERROR(__xludf.DUMMYFUNCTION("""COMPUTED_VALUE"""),48.0)</f>
        <v>48</v>
      </c>
      <c r="N379" s="2" t="str">
        <f>IFERROR(__xludf.DUMMYFUNCTION("""COMPUTED_VALUE"""),"FALSO")</f>
        <v>FALSO</v>
      </c>
    </row>
    <row r="380">
      <c r="A380" s="2">
        <f>IFERROR(__xludf.DUMMYFUNCTION("""COMPUTED_VALUE"""),379.0)</f>
        <v>379</v>
      </c>
      <c r="B380" s="2" t="str">
        <f>IFERROR(__xludf.DUMMYFUNCTION("""COMPUTED_VALUE"""),"Zelda Geddis")</f>
        <v>Zelda Geddis</v>
      </c>
      <c r="C380" s="2" t="str">
        <f>IFERROR(__xludf.DUMMYFUNCTION("""COMPUTED_VALUE"""),"zgeddisaj@buzzfeed.com")</f>
        <v>zgeddisaj@buzzfeed.com</v>
      </c>
      <c r="D380" s="4">
        <f>IFERROR(__xludf.DUMMYFUNCTION("""COMPUTED_VALUE"""),14.0)</f>
        <v>14</v>
      </c>
      <c r="E380" s="4">
        <f>IFERROR(__xludf.DUMMYFUNCTION("""COMPUTED_VALUE"""),71.0)</f>
        <v>71</v>
      </c>
      <c r="F380" s="4">
        <f>IFERROR(__xludf.DUMMYFUNCTION("""COMPUTED_VALUE"""),6.0)</f>
        <v>6</v>
      </c>
      <c r="G380" s="4">
        <f>IFERROR(__xludf.DUMMYFUNCTION("""COMPUTED_VALUE"""),781.0)</f>
        <v>781</v>
      </c>
      <c r="H380" s="5">
        <f>IFERROR(__xludf.DUMMYFUNCTION("""COMPUTED_VALUE"""),5578.4)</f>
        <v>5578.4</v>
      </c>
      <c r="I380" s="5">
        <f>IFERROR(__xludf.DUMMYFUNCTION("""COMPUTED_VALUE"""),5799.18)</f>
        <v>5799.18</v>
      </c>
      <c r="J380" s="5">
        <f>IFERROR(__xludf.DUMMYFUNCTION("""COMPUTED_VALUE"""),2659.86)</f>
        <v>2659.86</v>
      </c>
      <c r="K380" s="5">
        <f>IFERROR(__xludf.DUMMYFUNCTION("""COMPUTED_VALUE"""),1329.58)</f>
        <v>1329.58</v>
      </c>
      <c r="L380" s="4">
        <f>IFERROR(__xludf.DUMMYFUNCTION("""COMPUTED_VALUE"""),17.0)</f>
        <v>17</v>
      </c>
      <c r="M380" s="4">
        <f>IFERROR(__xludf.DUMMYFUNCTION("""COMPUTED_VALUE"""),68.0)</f>
        <v>68</v>
      </c>
      <c r="N380" s="2" t="str">
        <f>IFERROR(__xludf.DUMMYFUNCTION("""COMPUTED_VALUE"""),"FALSO")</f>
        <v>FALSO</v>
      </c>
    </row>
    <row r="381">
      <c r="A381" s="2">
        <f>IFERROR(__xludf.DUMMYFUNCTION("""COMPUTED_VALUE"""),380.0)</f>
        <v>380</v>
      </c>
      <c r="B381" s="2" t="str">
        <f>IFERROR(__xludf.DUMMYFUNCTION("""COMPUTED_VALUE"""),"Madonna Theuss")</f>
        <v>Madonna Theuss</v>
      </c>
      <c r="C381" s="2" t="str">
        <f>IFERROR(__xludf.DUMMYFUNCTION("""COMPUTED_VALUE"""),"mtheussak@bloglovin.com")</f>
        <v>mtheussak@bloglovin.com</v>
      </c>
      <c r="D381" s="4">
        <f>IFERROR(__xludf.DUMMYFUNCTION("""COMPUTED_VALUE"""),122.0)</f>
        <v>122</v>
      </c>
      <c r="E381" s="4">
        <f>IFERROR(__xludf.DUMMYFUNCTION("""COMPUTED_VALUE"""),66.0)</f>
        <v>66</v>
      </c>
      <c r="F381" s="4">
        <f>IFERROR(__xludf.DUMMYFUNCTION("""COMPUTED_VALUE"""),6.0)</f>
        <v>6</v>
      </c>
      <c r="G381" s="4">
        <f>IFERROR(__xludf.DUMMYFUNCTION("""COMPUTED_VALUE"""),1605.0)</f>
        <v>1605</v>
      </c>
      <c r="H381" s="5">
        <f>IFERROR(__xludf.DUMMYFUNCTION("""COMPUTED_VALUE"""),7282.6)</f>
        <v>7282.6</v>
      </c>
      <c r="I381" s="5">
        <f>IFERROR(__xludf.DUMMYFUNCTION("""COMPUTED_VALUE"""),2103.19)</f>
        <v>2103.19</v>
      </c>
      <c r="J381" s="5">
        <f>IFERROR(__xludf.DUMMYFUNCTION("""COMPUTED_VALUE"""),842.72)</f>
        <v>842.72</v>
      </c>
      <c r="K381" s="5">
        <f>IFERROR(__xludf.DUMMYFUNCTION("""COMPUTED_VALUE"""),2619.49)</f>
        <v>2619.49</v>
      </c>
      <c r="L381" s="4">
        <f>IFERROR(__xludf.DUMMYFUNCTION("""COMPUTED_VALUE"""),7.0)</f>
        <v>7</v>
      </c>
      <c r="M381" s="4">
        <f>IFERROR(__xludf.DUMMYFUNCTION("""COMPUTED_VALUE"""),18.0)</f>
        <v>18</v>
      </c>
      <c r="N381" s="2" t="str">
        <f>IFERROR(__xludf.DUMMYFUNCTION("""COMPUTED_VALUE"""),"VERDADERO")</f>
        <v>VERDADERO</v>
      </c>
    </row>
    <row r="382">
      <c r="A382" s="2">
        <f>IFERROR(__xludf.DUMMYFUNCTION("""COMPUTED_VALUE"""),381.0)</f>
        <v>381</v>
      </c>
      <c r="B382" s="2" t="str">
        <f>IFERROR(__xludf.DUMMYFUNCTION("""COMPUTED_VALUE"""),"Elka Giorgetti")</f>
        <v>Elka Giorgetti</v>
      </c>
      <c r="C382" s="2" t="str">
        <f>IFERROR(__xludf.DUMMYFUNCTION("""COMPUTED_VALUE"""),"egiorgettial@google.nl")</f>
        <v>egiorgettial@google.nl</v>
      </c>
      <c r="D382" s="4">
        <f>IFERROR(__xludf.DUMMYFUNCTION("""COMPUTED_VALUE"""),84.0)</f>
        <v>84</v>
      </c>
      <c r="E382" s="4">
        <f>IFERROR(__xludf.DUMMYFUNCTION("""COMPUTED_VALUE"""),124.0)</f>
        <v>124</v>
      </c>
      <c r="F382" s="4">
        <f>IFERROR(__xludf.DUMMYFUNCTION("""COMPUTED_VALUE"""),9.0)</f>
        <v>9</v>
      </c>
      <c r="G382" s="4">
        <f>IFERROR(__xludf.DUMMYFUNCTION("""COMPUTED_VALUE"""),1157.0)</f>
        <v>1157</v>
      </c>
      <c r="H382" s="5">
        <f>IFERROR(__xludf.DUMMYFUNCTION("""COMPUTED_VALUE"""),5302.36)</f>
        <v>5302.36</v>
      </c>
      <c r="I382" s="5">
        <f>IFERROR(__xludf.DUMMYFUNCTION("""COMPUTED_VALUE"""),188.84)</f>
        <v>188.84</v>
      </c>
      <c r="J382" s="5">
        <f>IFERROR(__xludf.DUMMYFUNCTION("""COMPUTED_VALUE"""),1759.02)</f>
        <v>1759.02</v>
      </c>
      <c r="K382" s="5">
        <f>IFERROR(__xludf.DUMMYFUNCTION("""COMPUTED_VALUE"""),8022.89)</f>
        <v>8022.89</v>
      </c>
      <c r="L382" s="4">
        <f>IFERROR(__xludf.DUMMYFUNCTION("""COMPUTED_VALUE"""),12.0)</f>
        <v>12</v>
      </c>
      <c r="M382" s="4">
        <f>IFERROR(__xludf.DUMMYFUNCTION("""COMPUTED_VALUE"""),99.0)</f>
        <v>99</v>
      </c>
      <c r="N382" s="2" t="str">
        <f>IFERROR(__xludf.DUMMYFUNCTION("""COMPUTED_VALUE"""),"FALSO")</f>
        <v>FALSO</v>
      </c>
    </row>
    <row r="383">
      <c r="A383" s="2">
        <f>IFERROR(__xludf.DUMMYFUNCTION("""COMPUTED_VALUE"""),382.0)</f>
        <v>382</v>
      </c>
      <c r="B383" s="2" t="str">
        <f>IFERROR(__xludf.DUMMYFUNCTION("""COMPUTED_VALUE"""),"Alika Vannoort")</f>
        <v>Alika Vannoort</v>
      </c>
      <c r="C383" s="2" t="str">
        <f>IFERROR(__xludf.DUMMYFUNCTION("""COMPUTED_VALUE"""),"avannoortam@soundcloud.com")</f>
        <v>avannoortam@soundcloud.com</v>
      </c>
      <c r="D383" s="4">
        <f>IFERROR(__xludf.DUMMYFUNCTION("""COMPUTED_VALUE"""),29.0)</f>
        <v>29</v>
      </c>
      <c r="E383" s="4">
        <f>IFERROR(__xludf.DUMMYFUNCTION("""COMPUTED_VALUE"""),65.0)</f>
        <v>65</v>
      </c>
      <c r="F383" s="4">
        <f>IFERROR(__xludf.DUMMYFUNCTION("""COMPUTED_VALUE"""),9.0)</f>
        <v>9</v>
      </c>
      <c r="G383" s="4">
        <f>IFERROR(__xludf.DUMMYFUNCTION("""COMPUTED_VALUE"""),1485.0)</f>
        <v>1485</v>
      </c>
      <c r="H383" s="5">
        <f>IFERROR(__xludf.DUMMYFUNCTION("""COMPUTED_VALUE"""),4413.64)</f>
        <v>4413.64</v>
      </c>
      <c r="I383" s="5">
        <f>IFERROR(__xludf.DUMMYFUNCTION("""COMPUTED_VALUE"""),4899.02)</f>
        <v>4899.02</v>
      </c>
      <c r="J383" s="5">
        <f>IFERROR(__xludf.DUMMYFUNCTION("""COMPUTED_VALUE"""),6336.1)</f>
        <v>6336.1</v>
      </c>
      <c r="K383" s="5">
        <f>IFERROR(__xludf.DUMMYFUNCTION("""COMPUTED_VALUE"""),2371.98)</f>
        <v>2371.98</v>
      </c>
      <c r="L383" s="4">
        <f>IFERROR(__xludf.DUMMYFUNCTION("""COMPUTED_VALUE"""),7.0)</f>
        <v>7</v>
      </c>
      <c r="M383" s="4">
        <f>IFERROR(__xludf.DUMMYFUNCTION("""COMPUTED_VALUE"""),14.0)</f>
        <v>14</v>
      </c>
      <c r="N383" s="2" t="str">
        <f>IFERROR(__xludf.DUMMYFUNCTION("""COMPUTED_VALUE"""),"VERDADERO")</f>
        <v>VERDADERO</v>
      </c>
    </row>
    <row r="384">
      <c r="A384" s="2">
        <f>IFERROR(__xludf.DUMMYFUNCTION("""COMPUTED_VALUE"""),383.0)</f>
        <v>383</v>
      </c>
      <c r="B384" s="2" t="str">
        <f>IFERROR(__xludf.DUMMYFUNCTION("""COMPUTED_VALUE"""),"Kerrie Demicoli")</f>
        <v>Kerrie Demicoli</v>
      </c>
      <c r="C384" s="2" t="str">
        <f>IFERROR(__xludf.DUMMYFUNCTION("""COMPUTED_VALUE"""),"kdemicolian@ning.com")</f>
        <v>kdemicolian@ning.com</v>
      </c>
      <c r="D384" s="4">
        <f>IFERROR(__xludf.DUMMYFUNCTION("""COMPUTED_VALUE"""),29.0)</f>
        <v>29</v>
      </c>
      <c r="E384" s="4">
        <f>IFERROR(__xludf.DUMMYFUNCTION("""COMPUTED_VALUE"""),106.0)</f>
        <v>106</v>
      </c>
      <c r="F384" s="4">
        <f>IFERROR(__xludf.DUMMYFUNCTION("""COMPUTED_VALUE"""),4.0)</f>
        <v>4</v>
      </c>
      <c r="G384" s="4">
        <f>IFERROR(__xludf.DUMMYFUNCTION("""COMPUTED_VALUE"""),45.0)</f>
        <v>45</v>
      </c>
      <c r="H384" s="5">
        <f>IFERROR(__xludf.DUMMYFUNCTION("""COMPUTED_VALUE"""),1214.95)</f>
        <v>1214.95</v>
      </c>
      <c r="I384" s="5">
        <f>IFERROR(__xludf.DUMMYFUNCTION("""COMPUTED_VALUE"""),2257.01)</f>
        <v>2257.01</v>
      </c>
      <c r="J384" s="5">
        <f>IFERROR(__xludf.DUMMYFUNCTION("""COMPUTED_VALUE"""),2656.55)</f>
        <v>2656.55</v>
      </c>
      <c r="K384" s="5">
        <f>IFERROR(__xludf.DUMMYFUNCTION("""COMPUTED_VALUE"""),4665.9)</f>
        <v>4665.9</v>
      </c>
      <c r="L384" s="4">
        <f>IFERROR(__xludf.DUMMYFUNCTION("""COMPUTED_VALUE"""),1.0)</f>
        <v>1</v>
      </c>
      <c r="M384" s="4">
        <f>IFERROR(__xludf.DUMMYFUNCTION("""COMPUTED_VALUE"""),62.0)</f>
        <v>62</v>
      </c>
      <c r="N384" s="2" t="str">
        <f>IFERROR(__xludf.DUMMYFUNCTION("""COMPUTED_VALUE"""),"FALSO")</f>
        <v>FALSO</v>
      </c>
    </row>
    <row r="385">
      <c r="A385" s="2">
        <f>IFERROR(__xludf.DUMMYFUNCTION("""COMPUTED_VALUE"""),384.0)</f>
        <v>384</v>
      </c>
      <c r="B385" s="2" t="str">
        <f>IFERROR(__xludf.DUMMYFUNCTION("""COMPUTED_VALUE"""),"Dacy Tenby")</f>
        <v>Dacy Tenby</v>
      </c>
      <c r="C385" s="2" t="str">
        <f>IFERROR(__xludf.DUMMYFUNCTION("""COMPUTED_VALUE"""),"dtenbyao@springer.com")</f>
        <v>dtenbyao@springer.com</v>
      </c>
      <c r="D385" s="4">
        <f>IFERROR(__xludf.DUMMYFUNCTION("""COMPUTED_VALUE"""),29.0)</f>
        <v>29</v>
      </c>
      <c r="E385" s="4">
        <f>IFERROR(__xludf.DUMMYFUNCTION("""COMPUTED_VALUE"""),119.0)</f>
        <v>119</v>
      </c>
      <c r="F385" s="4">
        <f>IFERROR(__xludf.DUMMYFUNCTION("""COMPUTED_VALUE"""),1.0)</f>
        <v>1</v>
      </c>
      <c r="G385" s="4">
        <f>IFERROR(__xludf.DUMMYFUNCTION("""COMPUTED_VALUE"""),628.0)</f>
        <v>628</v>
      </c>
      <c r="H385" s="5">
        <f>IFERROR(__xludf.DUMMYFUNCTION("""COMPUTED_VALUE"""),5348.44)</f>
        <v>5348.44</v>
      </c>
      <c r="I385" s="5">
        <f>IFERROR(__xludf.DUMMYFUNCTION("""COMPUTED_VALUE"""),7875.71)</f>
        <v>7875.71</v>
      </c>
      <c r="J385" s="5">
        <f>IFERROR(__xludf.DUMMYFUNCTION("""COMPUTED_VALUE"""),4730.04)</f>
        <v>4730.04</v>
      </c>
      <c r="K385" s="5">
        <f>IFERROR(__xludf.DUMMYFUNCTION("""COMPUTED_VALUE"""),8975.31)</f>
        <v>8975.31</v>
      </c>
      <c r="L385" s="4">
        <f>IFERROR(__xludf.DUMMYFUNCTION("""COMPUTED_VALUE"""),3.0)</f>
        <v>3</v>
      </c>
      <c r="M385" s="4">
        <f>IFERROR(__xludf.DUMMYFUNCTION("""COMPUTED_VALUE"""),90.0)</f>
        <v>90</v>
      </c>
      <c r="N385" s="2" t="str">
        <f>IFERROR(__xludf.DUMMYFUNCTION("""COMPUTED_VALUE"""),"FALSO")</f>
        <v>FALSO</v>
      </c>
    </row>
    <row r="386">
      <c r="A386" s="2">
        <f>IFERROR(__xludf.DUMMYFUNCTION("""COMPUTED_VALUE"""),385.0)</f>
        <v>385</v>
      </c>
      <c r="B386" s="2" t="str">
        <f>IFERROR(__xludf.DUMMYFUNCTION("""COMPUTED_VALUE"""),"Rickert Mainds")</f>
        <v>Rickert Mainds</v>
      </c>
      <c r="C386" s="2" t="str">
        <f>IFERROR(__xludf.DUMMYFUNCTION("""COMPUTED_VALUE"""),"rmaindsap@goo.gl")</f>
        <v>rmaindsap@goo.gl</v>
      </c>
      <c r="D386" s="4">
        <f>IFERROR(__xludf.DUMMYFUNCTION("""COMPUTED_VALUE"""),49.0)</f>
        <v>49</v>
      </c>
      <c r="E386" s="4">
        <f>IFERROR(__xludf.DUMMYFUNCTION("""COMPUTED_VALUE"""),40.0)</f>
        <v>40</v>
      </c>
      <c r="F386" s="4">
        <f>IFERROR(__xludf.DUMMYFUNCTION("""COMPUTED_VALUE"""),1.0)</f>
        <v>1</v>
      </c>
      <c r="G386" s="4">
        <f>IFERROR(__xludf.DUMMYFUNCTION("""COMPUTED_VALUE"""),1077.0)</f>
        <v>1077</v>
      </c>
      <c r="H386" s="5">
        <f>IFERROR(__xludf.DUMMYFUNCTION("""COMPUTED_VALUE"""),5935.69)</f>
        <v>5935.69</v>
      </c>
      <c r="I386" s="5">
        <f>IFERROR(__xludf.DUMMYFUNCTION("""COMPUTED_VALUE"""),7968.1)</f>
        <v>7968.1</v>
      </c>
      <c r="J386" s="5">
        <f>IFERROR(__xludf.DUMMYFUNCTION("""COMPUTED_VALUE"""),3626.37)</f>
        <v>3626.37</v>
      </c>
      <c r="K386" s="5">
        <f>IFERROR(__xludf.DUMMYFUNCTION("""COMPUTED_VALUE"""),3270.93)</f>
        <v>3270.93</v>
      </c>
      <c r="L386" s="4">
        <f>IFERROR(__xludf.DUMMYFUNCTION("""COMPUTED_VALUE"""),16.0)</f>
        <v>16</v>
      </c>
      <c r="M386" s="4">
        <f>IFERROR(__xludf.DUMMYFUNCTION("""COMPUTED_VALUE"""),92.0)</f>
        <v>92</v>
      </c>
      <c r="N386" s="2" t="str">
        <f>IFERROR(__xludf.DUMMYFUNCTION("""COMPUTED_VALUE"""),"VERDADERO")</f>
        <v>VERDADERO</v>
      </c>
    </row>
    <row r="387">
      <c r="A387" s="2">
        <f>IFERROR(__xludf.DUMMYFUNCTION("""COMPUTED_VALUE"""),386.0)</f>
        <v>386</v>
      </c>
      <c r="B387" s="2" t="str">
        <f>IFERROR(__xludf.DUMMYFUNCTION("""COMPUTED_VALUE"""),"Waverley Ferrao")</f>
        <v>Waverley Ferrao</v>
      </c>
      <c r="C387" s="2" t="str">
        <f>IFERROR(__xludf.DUMMYFUNCTION("""COMPUTED_VALUE"""),"wferraoaq@google.de")</f>
        <v>wferraoaq@google.de</v>
      </c>
      <c r="D387" s="4">
        <f>IFERROR(__xludf.DUMMYFUNCTION("""COMPUTED_VALUE"""),121.0)</f>
        <v>121</v>
      </c>
      <c r="E387" s="4">
        <f>IFERROR(__xludf.DUMMYFUNCTION("""COMPUTED_VALUE"""),64.0)</f>
        <v>64</v>
      </c>
      <c r="F387" s="4">
        <f>IFERROR(__xludf.DUMMYFUNCTION("""COMPUTED_VALUE"""),4.0)</f>
        <v>4</v>
      </c>
      <c r="G387" s="4">
        <f>IFERROR(__xludf.DUMMYFUNCTION("""COMPUTED_VALUE"""),1290.0)</f>
        <v>1290</v>
      </c>
      <c r="H387" s="5">
        <f>IFERROR(__xludf.DUMMYFUNCTION("""COMPUTED_VALUE"""),3427.1)</f>
        <v>3427.1</v>
      </c>
      <c r="I387" s="5">
        <f>IFERROR(__xludf.DUMMYFUNCTION("""COMPUTED_VALUE"""),5355.67)</f>
        <v>5355.67</v>
      </c>
      <c r="J387" s="5">
        <f>IFERROR(__xludf.DUMMYFUNCTION("""COMPUTED_VALUE"""),3153.06)</f>
        <v>3153.06</v>
      </c>
      <c r="K387" s="5">
        <f>IFERROR(__xludf.DUMMYFUNCTION("""COMPUTED_VALUE"""),2385.02)</f>
        <v>2385.02</v>
      </c>
      <c r="L387" s="4">
        <f>IFERROR(__xludf.DUMMYFUNCTION("""COMPUTED_VALUE"""),9.0)</f>
        <v>9</v>
      </c>
      <c r="M387" s="4">
        <f>IFERROR(__xludf.DUMMYFUNCTION("""COMPUTED_VALUE"""),84.0)</f>
        <v>84</v>
      </c>
      <c r="N387" s="2" t="str">
        <f>IFERROR(__xludf.DUMMYFUNCTION("""COMPUTED_VALUE"""),"FALSO")</f>
        <v>FALSO</v>
      </c>
    </row>
    <row r="388">
      <c r="A388" s="2">
        <f>IFERROR(__xludf.DUMMYFUNCTION("""COMPUTED_VALUE"""),387.0)</f>
        <v>387</v>
      </c>
      <c r="B388" s="2" t="str">
        <f>IFERROR(__xludf.DUMMYFUNCTION("""COMPUTED_VALUE"""),"Renato Jagiela")</f>
        <v>Renato Jagiela</v>
      </c>
      <c r="C388" s="2" t="str">
        <f>IFERROR(__xludf.DUMMYFUNCTION("""COMPUTED_VALUE"""),"rjagielaar@theglobeandmail.com")</f>
        <v>rjagielaar@theglobeandmail.com</v>
      </c>
      <c r="D388" s="4">
        <f>IFERROR(__xludf.DUMMYFUNCTION("""COMPUTED_VALUE"""),87.0)</f>
        <v>87</v>
      </c>
      <c r="E388" s="4">
        <f>IFERROR(__xludf.DUMMYFUNCTION("""COMPUTED_VALUE"""),64.0)</f>
        <v>64</v>
      </c>
      <c r="F388" s="4">
        <f>IFERROR(__xludf.DUMMYFUNCTION("""COMPUTED_VALUE"""),4.0)</f>
        <v>4</v>
      </c>
      <c r="G388" s="4">
        <f>IFERROR(__xludf.DUMMYFUNCTION("""COMPUTED_VALUE"""),1288.0)</f>
        <v>1288</v>
      </c>
      <c r="H388" s="5">
        <f>IFERROR(__xludf.DUMMYFUNCTION("""COMPUTED_VALUE"""),745.6)</f>
        <v>745.6</v>
      </c>
      <c r="I388" s="5">
        <f>IFERROR(__xludf.DUMMYFUNCTION("""COMPUTED_VALUE"""),5452.54)</f>
        <v>5452.54</v>
      </c>
      <c r="J388" s="5">
        <f>IFERROR(__xludf.DUMMYFUNCTION("""COMPUTED_VALUE"""),486.31)</f>
        <v>486.31</v>
      </c>
      <c r="K388" s="5">
        <f>IFERROR(__xludf.DUMMYFUNCTION("""COMPUTED_VALUE"""),9469.36)</f>
        <v>9469.36</v>
      </c>
      <c r="L388" s="4">
        <f>IFERROR(__xludf.DUMMYFUNCTION("""COMPUTED_VALUE"""),18.0)</f>
        <v>18</v>
      </c>
      <c r="M388" s="4">
        <f>IFERROR(__xludf.DUMMYFUNCTION("""COMPUTED_VALUE"""),6.0)</f>
        <v>6</v>
      </c>
      <c r="N388" s="2" t="str">
        <f>IFERROR(__xludf.DUMMYFUNCTION("""COMPUTED_VALUE"""),"VERDADERO")</f>
        <v>VERDADERO</v>
      </c>
    </row>
    <row r="389">
      <c r="A389" s="2">
        <f>IFERROR(__xludf.DUMMYFUNCTION("""COMPUTED_VALUE"""),388.0)</f>
        <v>388</v>
      </c>
      <c r="B389" s="2" t="str">
        <f>IFERROR(__xludf.DUMMYFUNCTION("""COMPUTED_VALUE"""),"Laird Very")</f>
        <v>Laird Very</v>
      </c>
      <c r="C389" s="2" t="str">
        <f>IFERROR(__xludf.DUMMYFUNCTION("""COMPUTED_VALUE"""),"lveryas@pagesperso-orange.fr")</f>
        <v>lveryas@pagesperso-orange.fr</v>
      </c>
      <c r="D389" s="4">
        <f>IFERROR(__xludf.DUMMYFUNCTION("""COMPUTED_VALUE"""),157.0)</f>
        <v>157</v>
      </c>
      <c r="E389" s="4">
        <f>IFERROR(__xludf.DUMMYFUNCTION("""COMPUTED_VALUE"""),62.0)</f>
        <v>62</v>
      </c>
      <c r="F389" s="4">
        <f>IFERROR(__xludf.DUMMYFUNCTION("""COMPUTED_VALUE"""),4.0)</f>
        <v>4</v>
      </c>
      <c r="G389" s="4">
        <f>IFERROR(__xludf.DUMMYFUNCTION("""COMPUTED_VALUE"""),81.0)</f>
        <v>81</v>
      </c>
      <c r="H389" s="5">
        <f>IFERROR(__xludf.DUMMYFUNCTION("""COMPUTED_VALUE"""),7533.07)</f>
        <v>7533.07</v>
      </c>
      <c r="I389" s="5">
        <f>IFERROR(__xludf.DUMMYFUNCTION("""COMPUTED_VALUE"""),9557.23)</f>
        <v>9557.23</v>
      </c>
      <c r="J389" s="5">
        <f>IFERROR(__xludf.DUMMYFUNCTION("""COMPUTED_VALUE"""),4253.2)</f>
        <v>4253.2</v>
      </c>
      <c r="K389" s="5">
        <f>IFERROR(__xludf.DUMMYFUNCTION("""COMPUTED_VALUE"""),348.15)</f>
        <v>348.15</v>
      </c>
      <c r="L389" s="4">
        <f>IFERROR(__xludf.DUMMYFUNCTION("""COMPUTED_VALUE"""),18.0)</f>
        <v>18</v>
      </c>
      <c r="M389" s="4">
        <f>IFERROR(__xludf.DUMMYFUNCTION("""COMPUTED_VALUE"""),62.0)</f>
        <v>62</v>
      </c>
      <c r="N389" s="2" t="str">
        <f>IFERROR(__xludf.DUMMYFUNCTION("""COMPUTED_VALUE"""),"FALSO")</f>
        <v>FALSO</v>
      </c>
    </row>
    <row r="390">
      <c r="A390" s="2">
        <f>IFERROR(__xludf.DUMMYFUNCTION("""COMPUTED_VALUE"""),389.0)</f>
        <v>389</v>
      </c>
      <c r="B390" s="2" t="str">
        <f>IFERROR(__xludf.DUMMYFUNCTION("""COMPUTED_VALUE"""),"Vinnie Pavy")</f>
        <v>Vinnie Pavy</v>
      </c>
      <c r="C390" s="2" t="str">
        <f>IFERROR(__xludf.DUMMYFUNCTION("""COMPUTED_VALUE"""),"vpavyat@g.co")</f>
        <v>vpavyat@g.co</v>
      </c>
      <c r="D390" s="4">
        <f>IFERROR(__xludf.DUMMYFUNCTION("""COMPUTED_VALUE"""),96.0)</f>
        <v>96</v>
      </c>
      <c r="E390" s="4">
        <f>IFERROR(__xludf.DUMMYFUNCTION("""COMPUTED_VALUE"""),81.0)</f>
        <v>81</v>
      </c>
      <c r="F390" s="4">
        <f>IFERROR(__xludf.DUMMYFUNCTION("""COMPUTED_VALUE"""),2.0)</f>
        <v>2</v>
      </c>
      <c r="G390" s="4">
        <f>IFERROR(__xludf.DUMMYFUNCTION("""COMPUTED_VALUE"""),1567.0)</f>
        <v>1567</v>
      </c>
      <c r="H390" s="5">
        <f>IFERROR(__xludf.DUMMYFUNCTION("""COMPUTED_VALUE"""),8827.81)</f>
        <v>8827.81</v>
      </c>
      <c r="I390" s="5">
        <f>IFERROR(__xludf.DUMMYFUNCTION("""COMPUTED_VALUE"""),7764.18)</f>
        <v>7764.18</v>
      </c>
      <c r="J390" s="5">
        <f>IFERROR(__xludf.DUMMYFUNCTION("""COMPUTED_VALUE"""),5598.29)</f>
        <v>5598.29</v>
      </c>
      <c r="K390" s="5">
        <f>IFERROR(__xludf.DUMMYFUNCTION("""COMPUTED_VALUE"""),9898.42)</f>
        <v>9898.42</v>
      </c>
      <c r="L390" s="4">
        <f>IFERROR(__xludf.DUMMYFUNCTION("""COMPUTED_VALUE"""),15.0)</f>
        <v>15</v>
      </c>
      <c r="M390" s="4">
        <f>IFERROR(__xludf.DUMMYFUNCTION("""COMPUTED_VALUE"""),54.0)</f>
        <v>54</v>
      </c>
      <c r="N390" s="2" t="str">
        <f>IFERROR(__xludf.DUMMYFUNCTION("""COMPUTED_VALUE"""),"VERDADERO")</f>
        <v>VERDADERO</v>
      </c>
    </row>
    <row r="391">
      <c r="A391" s="2">
        <f>IFERROR(__xludf.DUMMYFUNCTION("""COMPUTED_VALUE"""),390.0)</f>
        <v>390</v>
      </c>
      <c r="B391" s="2" t="str">
        <f>IFERROR(__xludf.DUMMYFUNCTION("""COMPUTED_VALUE"""),"Putnam Caig")</f>
        <v>Putnam Caig</v>
      </c>
      <c r="C391" s="2" t="str">
        <f>IFERROR(__xludf.DUMMYFUNCTION("""COMPUTED_VALUE"""),"pcaigau@about.com")</f>
        <v>pcaigau@about.com</v>
      </c>
      <c r="D391" s="4">
        <f>IFERROR(__xludf.DUMMYFUNCTION("""COMPUTED_VALUE"""),120.0)</f>
        <v>120</v>
      </c>
      <c r="E391" s="4">
        <f>IFERROR(__xludf.DUMMYFUNCTION("""COMPUTED_VALUE"""),119.0)</f>
        <v>119</v>
      </c>
      <c r="F391" s="4">
        <f>IFERROR(__xludf.DUMMYFUNCTION("""COMPUTED_VALUE"""),1.0)</f>
        <v>1</v>
      </c>
      <c r="G391" s="4">
        <f>IFERROR(__xludf.DUMMYFUNCTION("""COMPUTED_VALUE"""),857.0)</f>
        <v>857</v>
      </c>
      <c r="H391" s="5">
        <f>IFERROR(__xludf.DUMMYFUNCTION("""COMPUTED_VALUE"""),8130.43)</f>
        <v>8130.43</v>
      </c>
      <c r="I391" s="5">
        <f>IFERROR(__xludf.DUMMYFUNCTION("""COMPUTED_VALUE"""),8417.14)</f>
        <v>8417.14</v>
      </c>
      <c r="J391" s="5">
        <f>IFERROR(__xludf.DUMMYFUNCTION("""COMPUTED_VALUE"""),6218.82)</f>
        <v>6218.82</v>
      </c>
      <c r="K391" s="5">
        <f>IFERROR(__xludf.DUMMYFUNCTION("""COMPUTED_VALUE"""),72.45)</f>
        <v>72.45</v>
      </c>
      <c r="L391" s="4">
        <f>IFERROR(__xludf.DUMMYFUNCTION("""COMPUTED_VALUE"""),6.0)</f>
        <v>6</v>
      </c>
      <c r="M391" s="4">
        <f>IFERROR(__xludf.DUMMYFUNCTION("""COMPUTED_VALUE"""),94.0)</f>
        <v>94</v>
      </c>
      <c r="N391" s="2" t="str">
        <f>IFERROR(__xludf.DUMMYFUNCTION("""COMPUTED_VALUE"""),"VERDADERO")</f>
        <v>VERDADERO</v>
      </c>
    </row>
    <row r="392">
      <c r="A392" s="2">
        <f>IFERROR(__xludf.DUMMYFUNCTION("""COMPUTED_VALUE"""),391.0)</f>
        <v>391</v>
      </c>
      <c r="B392" s="2" t="str">
        <f>IFERROR(__xludf.DUMMYFUNCTION("""COMPUTED_VALUE"""),"Isabella Try")</f>
        <v>Isabella Try</v>
      </c>
      <c r="C392" s="2" t="str">
        <f>IFERROR(__xludf.DUMMYFUNCTION("""COMPUTED_VALUE"""),"itryav@shareasale.com")</f>
        <v>itryav@shareasale.com</v>
      </c>
      <c r="D392" s="4">
        <f>IFERROR(__xludf.DUMMYFUNCTION("""COMPUTED_VALUE"""),29.0)</f>
        <v>29</v>
      </c>
      <c r="E392" s="4">
        <f>IFERROR(__xludf.DUMMYFUNCTION("""COMPUTED_VALUE"""),66.0)</f>
        <v>66</v>
      </c>
      <c r="F392" s="4">
        <f>IFERROR(__xludf.DUMMYFUNCTION("""COMPUTED_VALUE"""),6.0)</f>
        <v>6</v>
      </c>
      <c r="G392" s="4">
        <f>IFERROR(__xludf.DUMMYFUNCTION("""COMPUTED_VALUE"""),1367.0)</f>
        <v>1367</v>
      </c>
      <c r="H392" s="5">
        <f>IFERROR(__xludf.DUMMYFUNCTION("""COMPUTED_VALUE"""),3332.86)</f>
        <v>3332.86</v>
      </c>
      <c r="I392" s="5">
        <f>IFERROR(__xludf.DUMMYFUNCTION("""COMPUTED_VALUE"""),7987.14)</f>
        <v>7987.14</v>
      </c>
      <c r="J392" s="5">
        <f>IFERROR(__xludf.DUMMYFUNCTION("""COMPUTED_VALUE"""),2777.82)</f>
        <v>2777.82</v>
      </c>
      <c r="K392" s="5">
        <f>IFERROR(__xludf.DUMMYFUNCTION("""COMPUTED_VALUE"""),4294.57)</f>
        <v>4294.57</v>
      </c>
      <c r="L392" s="4">
        <f>IFERROR(__xludf.DUMMYFUNCTION("""COMPUTED_VALUE"""),11.0)</f>
        <v>11</v>
      </c>
      <c r="M392" s="4">
        <f>IFERROR(__xludf.DUMMYFUNCTION("""COMPUTED_VALUE"""),37.0)</f>
        <v>37</v>
      </c>
      <c r="N392" s="2" t="str">
        <f>IFERROR(__xludf.DUMMYFUNCTION("""COMPUTED_VALUE"""),"FALSO")</f>
        <v>FALSO</v>
      </c>
    </row>
    <row r="393">
      <c r="A393" s="2">
        <f>IFERROR(__xludf.DUMMYFUNCTION("""COMPUTED_VALUE"""),392.0)</f>
        <v>392</v>
      </c>
      <c r="B393" s="2" t="str">
        <f>IFERROR(__xludf.DUMMYFUNCTION("""COMPUTED_VALUE"""),"Kellia Gibbieson")</f>
        <v>Kellia Gibbieson</v>
      </c>
      <c r="C393" s="2" t="str">
        <f>IFERROR(__xludf.DUMMYFUNCTION("""COMPUTED_VALUE"""),"kgibbiesonaw@nbcnews.com")</f>
        <v>kgibbiesonaw@nbcnews.com</v>
      </c>
      <c r="D393" s="4">
        <f>IFERROR(__xludf.DUMMYFUNCTION("""COMPUTED_VALUE"""),124.0)</f>
        <v>124</v>
      </c>
      <c r="E393" s="4">
        <f>IFERROR(__xludf.DUMMYFUNCTION("""COMPUTED_VALUE"""),53.0)</f>
        <v>53</v>
      </c>
      <c r="F393" s="4">
        <f>IFERROR(__xludf.DUMMYFUNCTION("""COMPUTED_VALUE"""),9.0)</f>
        <v>9</v>
      </c>
      <c r="G393" s="4">
        <f>IFERROR(__xludf.DUMMYFUNCTION("""COMPUTED_VALUE"""),803.0)</f>
        <v>803</v>
      </c>
      <c r="H393" s="5">
        <f>IFERROR(__xludf.DUMMYFUNCTION("""COMPUTED_VALUE"""),4329.83)</f>
        <v>4329.83</v>
      </c>
      <c r="I393" s="5">
        <f>IFERROR(__xludf.DUMMYFUNCTION("""COMPUTED_VALUE"""),3596.87)</f>
        <v>3596.87</v>
      </c>
      <c r="J393" s="5">
        <f>IFERROR(__xludf.DUMMYFUNCTION("""COMPUTED_VALUE"""),2013.64)</f>
        <v>2013.64</v>
      </c>
      <c r="K393" s="5">
        <f>IFERROR(__xludf.DUMMYFUNCTION("""COMPUTED_VALUE"""),9359.51)</f>
        <v>9359.51</v>
      </c>
      <c r="L393" s="4">
        <f>IFERROR(__xludf.DUMMYFUNCTION("""COMPUTED_VALUE"""),8.0)</f>
        <v>8</v>
      </c>
      <c r="M393" s="4">
        <f>IFERROR(__xludf.DUMMYFUNCTION("""COMPUTED_VALUE"""),27.0)</f>
        <v>27</v>
      </c>
      <c r="N393" s="2" t="str">
        <f>IFERROR(__xludf.DUMMYFUNCTION("""COMPUTED_VALUE"""),"VERDADERO")</f>
        <v>VERDADERO</v>
      </c>
    </row>
    <row r="394">
      <c r="A394" s="2">
        <f>IFERROR(__xludf.DUMMYFUNCTION("""COMPUTED_VALUE"""),393.0)</f>
        <v>393</v>
      </c>
      <c r="B394" s="2" t="str">
        <f>IFERROR(__xludf.DUMMYFUNCTION("""COMPUTED_VALUE"""),"Emma O' Hern")</f>
        <v>Emma O' Hern</v>
      </c>
      <c r="C394" s="2" t="str">
        <f>IFERROR(__xludf.DUMMYFUNCTION("""COMPUTED_VALUE"""),"eoax@adobe.com")</f>
        <v>eoax@adobe.com</v>
      </c>
      <c r="D394" s="4">
        <f>IFERROR(__xludf.DUMMYFUNCTION("""COMPUTED_VALUE"""),153.0)</f>
        <v>153</v>
      </c>
      <c r="E394" s="4">
        <f>IFERROR(__xludf.DUMMYFUNCTION("""COMPUTED_VALUE"""),81.0)</f>
        <v>81</v>
      </c>
      <c r="F394" s="4">
        <f>IFERROR(__xludf.DUMMYFUNCTION("""COMPUTED_VALUE"""),2.0)</f>
        <v>2</v>
      </c>
      <c r="G394" s="4">
        <f>IFERROR(__xludf.DUMMYFUNCTION("""COMPUTED_VALUE"""),1081.0)</f>
        <v>1081</v>
      </c>
      <c r="H394" s="5">
        <f>IFERROR(__xludf.DUMMYFUNCTION("""COMPUTED_VALUE"""),734.1)</f>
        <v>734.1</v>
      </c>
      <c r="I394" s="5">
        <f>IFERROR(__xludf.DUMMYFUNCTION("""COMPUTED_VALUE"""),4056.36)</f>
        <v>4056.36</v>
      </c>
      <c r="J394" s="5">
        <f>IFERROR(__xludf.DUMMYFUNCTION("""COMPUTED_VALUE"""),4788.08)</f>
        <v>4788.08</v>
      </c>
      <c r="K394" s="5">
        <f>IFERROR(__xludf.DUMMYFUNCTION("""COMPUTED_VALUE"""),3013.73)</f>
        <v>3013.73</v>
      </c>
      <c r="L394" s="4">
        <f>IFERROR(__xludf.DUMMYFUNCTION("""COMPUTED_VALUE"""),5.0)</f>
        <v>5</v>
      </c>
      <c r="M394" s="4">
        <f>IFERROR(__xludf.DUMMYFUNCTION("""COMPUTED_VALUE"""),97.0)</f>
        <v>97</v>
      </c>
      <c r="N394" s="2" t="str">
        <f>IFERROR(__xludf.DUMMYFUNCTION("""COMPUTED_VALUE"""),"VERDADERO")</f>
        <v>VERDADERO</v>
      </c>
    </row>
    <row r="395">
      <c r="A395" s="2">
        <f>IFERROR(__xludf.DUMMYFUNCTION("""COMPUTED_VALUE"""),394.0)</f>
        <v>394</v>
      </c>
      <c r="B395" s="2" t="str">
        <f>IFERROR(__xludf.DUMMYFUNCTION("""COMPUTED_VALUE"""),"Olag Spiby")</f>
        <v>Olag Spiby</v>
      </c>
      <c r="C395" s="2" t="str">
        <f>IFERROR(__xludf.DUMMYFUNCTION("""COMPUTED_VALUE"""),"ospibyay@furl.net")</f>
        <v>ospibyay@furl.net</v>
      </c>
      <c r="D395" s="4">
        <f>IFERROR(__xludf.DUMMYFUNCTION("""COMPUTED_VALUE"""),120.0)</f>
        <v>120</v>
      </c>
      <c r="E395" s="4">
        <f>IFERROR(__xludf.DUMMYFUNCTION("""COMPUTED_VALUE"""),81.0)</f>
        <v>81</v>
      </c>
      <c r="F395" s="4">
        <f>IFERROR(__xludf.DUMMYFUNCTION("""COMPUTED_VALUE"""),2.0)</f>
        <v>2</v>
      </c>
      <c r="G395" s="4">
        <f>IFERROR(__xludf.DUMMYFUNCTION("""COMPUTED_VALUE"""),1305.0)</f>
        <v>1305</v>
      </c>
      <c r="H395" s="5">
        <f>IFERROR(__xludf.DUMMYFUNCTION("""COMPUTED_VALUE"""),7816.01)</f>
        <v>7816.01</v>
      </c>
      <c r="I395" s="5">
        <f>IFERROR(__xludf.DUMMYFUNCTION("""COMPUTED_VALUE"""),7421.8)</f>
        <v>7421.8</v>
      </c>
      <c r="J395" s="5">
        <f>IFERROR(__xludf.DUMMYFUNCTION("""COMPUTED_VALUE"""),5412.08)</f>
        <v>5412.08</v>
      </c>
      <c r="K395" s="5">
        <f>IFERROR(__xludf.DUMMYFUNCTION("""COMPUTED_VALUE"""),8938.78)</f>
        <v>8938.78</v>
      </c>
      <c r="L395" s="4">
        <f>IFERROR(__xludf.DUMMYFUNCTION("""COMPUTED_VALUE"""),6.0)</f>
        <v>6</v>
      </c>
      <c r="M395" s="4">
        <f>IFERROR(__xludf.DUMMYFUNCTION("""COMPUTED_VALUE"""),53.0)</f>
        <v>53</v>
      </c>
      <c r="N395" s="2" t="str">
        <f>IFERROR(__xludf.DUMMYFUNCTION("""COMPUTED_VALUE"""),"FALSO")</f>
        <v>FALSO</v>
      </c>
    </row>
    <row r="396">
      <c r="A396" s="2">
        <f>IFERROR(__xludf.DUMMYFUNCTION("""COMPUTED_VALUE"""),395.0)</f>
        <v>395</v>
      </c>
      <c r="B396" s="2" t="str">
        <f>IFERROR(__xludf.DUMMYFUNCTION("""COMPUTED_VALUE"""),"Daron Reynalds")</f>
        <v>Daron Reynalds</v>
      </c>
      <c r="C396" s="2" t="str">
        <f>IFERROR(__xludf.DUMMYFUNCTION("""COMPUTED_VALUE"""),"dreynaldsaz@istockphoto.com")</f>
        <v>dreynaldsaz@istockphoto.com</v>
      </c>
      <c r="D396" s="4">
        <f>IFERROR(__xludf.DUMMYFUNCTION("""COMPUTED_VALUE"""),65.0)</f>
        <v>65</v>
      </c>
      <c r="E396" s="4">
        <f>IFERROR(__xludf.DUMMYFUNCTION("""COMPUTED_VALUE"""),64.0)</f>
        <v>64</v>
      </c>
      <c r="F396" s="4">
        <f>IFERROR(__xludf.DUMMYFUNCTION("""COMPUTED_VALUE"""),4.0)</f>
        <v>4</v>
      </c>
      <c r="G396" s="4">
        <f>IFERROR(__xludf.DUMMYFUNCTION("""COMPUTED_VALUE"""),1011.0)</f>
        <v>1011</v>
      </c>
      <c r="H396" s="5">
        <f>IFERROR(__xludf.DUMMYFUNCTION("""COMPUTED_VALUE"""),3508.91)</f>
        <v>3508.91</v>
      </c>
      <c r="I396" s="5">
        <f>IFERROR(__xludf.DUMMYFUNCTION("""COMPUTED_VALUE"""),589.55)</f>
        <v>589.55</v>
      </c>
      <c r="J396" s="5">
        <f>IFERROR(__xludf.DUMMYFUNCTION("""COMPUTED_VALUE"""),546.26)</f>
        <v>546.26</v>
      </c>
      <c r="K396" s="5">
        <f>IFERROR(__xludf.DUMMYFUNCTION("""COMPUTED_VALUE"""),7759.59)</f>
        <v>7759.59</v>
      </c>
      <c r="L396" s="4">
        <f>IFERROR(__xludf.DUMMYFUNCTION("""COMPUTED_VALUE"""),19.0)</f>
        <v>19</v>
      </c>
      <c r="M396" s="4">
        <f>IFERROR(__xludf.DUMMYFUNCTION("""COMPUTED_VALUE"""),56.0)</f>
        <v>56</v>
      </c>
      <c r="N396" s="2" t="str">
        <f>IFERROR(__xludf.DUMMYFUNCTION("""COMPUTED_VALUE"""),"FALSO")</f>
        <v>FALSO</v>
      </c>
    </row>
    <row r="397">
      <c r="A397" s="2">
        <f>IFERROR(__xludf.DUMMYFUNCTION("""COMPUTED_VALUE"""),396.0)</f>
        <v>396</v>
      </c>
      <c r="B397" s="2" t="str">
        <f>IFERROR(__xludf.DUMMYFUNCTION("""COMPUTED_VALUE"""),"Adella MacRierie")</f>
        <v>Adella MacRierie</v>
      </c>
      <c r="C397" s="2" t="str">
        <f>IFERROR(__xludf.DUMMYFUNCTION("""COMPUTED_VALUE"""),"amacrierieb0@uol.com.br")</f>
        <v>amacrierieb0@uol.com.br</v>
      </c>
      <c r="D397" s="4">
        <f>IFERROR(__xludf.DUMMYFUNCTION("""COMPUTED_VALUE"""),153.0)</f>
        <v>153</v>
      </c>
      <c r="E397" s="4">
        <f>IFERROR(__xludf.DUMMYFUNCTION("""COMPUTED_VALUE"""),82.0)</f>
        <v>82</v>
      </c>
      <c r="F397" s="4">
        <f>IFERROR(__xludf.DUMMYFUNCTION("""COMPUTED_VALUE"""),1.0)</f>
        <v>1</v>
      </c>
      <c r="G397" s="4">
        <f>IFERROR(__xludf.DUMMYFUNCTION("""COMPUTED_VALUE"""),1226.0)</f>
        <v>1226</v>
      </c>
      <c r="H397" s="5">
        <f>IFERROR(__xludf.DUMMYFUNCTION("""COMPUTED_VALUE"""),1234.6)</f>
        <v>1234.6</v>
      </c>
      <c r="I397" s="5">
        <f>IFERROR(__xludf.DUMMYFUNCTION("""COMPUTED_VALUE"""),371.98)</f>
        <v>371.98</v>
      </c>
      <c r="J397" s="5">
        <f>IFERROR(__xludf.DUMMYFUNCTION("""COMPUTED_VALUE"""),2658.05)</f>
        <v>2658.05</v>
      </c>
      <c r="K397" s="5">
        <f>IFERROR(__xludf.DUMMYFUNCTION("""COMPUTED_VALUE"""),5035.64)</f>
        <v>5035.64</v>
      </c>
      <c r="L397" s="4">
        <f>IFERROR(__xludf.DUMMYFUNCTION("""COMPUTED_VALUE"""),15.0)</f>
        <v>15</v>
      </c>
      <c r="M397" s="4">
        <f>IFERROR(__xludf.DUMMYFUNCTION("""COMPUTED_VALUE"""),69.0)</f>
        <v>69</v>
      </c>
      <c r="N397" s="2" t="str">
        <f>IFERROR(__xludf.DUMMYFUNCTION("""COMPUTED_VALUE"""),"VERDADERO")</f>
        <v>VERDADERO</v>
      </c>
    </row>
    <row r="398">
      <c r="A398" s="2">
        <f>IFERROR(__xludf.DUMMYFUNCTION("""COMPUTED_VALUE"""),397.0)</f>
        <v>397</v>
      </c>
      <c r="B398" s="2" t="str">
        <f>IFERROR(__xludf.DUMMYFUNCTION("""COMPUTED_VALUE"""),"Jamison Ber")</f>
        <v>Jamison Ber</v>
      </c>
      <c r="C398" s="2" t="str">
        <f>IFERROR(__xludf.DUMMYFUNCTION("""COMPUTED_VALUE"""),"jberb1@woothemes.com")</f>
        <v>jberb1@woothemes.com</v>
      </c>
      <c r="D398" s="4">
        <f>IFERROR(__xludf.DUMMYFUNCTION("""COMPUTED_VALUE"""),140.0)</f>
        <v>140</v>
      </c>
      <c r="E398" s="4">
        <f>IFERROR(__xludf.DUMMYFUNCTION("""COMPUTED_VALUE"""),81.0)</f>
        <v>81</v>
      </c>
      <c r="F398" s="4">
        <f>IFERROR(__xludf.DUMMYFUNCTION("""COMPUTED_VALUE"""),2.0)</f>
        <v>2</v>
      </c>
      <c r="G398" s="4">
        <f>IFERROR(__xludf.DUMMYFUNCTION("""COMPUTED_VALUE"""),888.0)</f>
        <v>888</v>
      </c>
      <c r="H398" s="5">
        <f>IFERROR(__xludf.DUMMYFUNCTION("""COMPUTED_VALUE"""),7793.2)</f>
        <v>7793.2</v>
      </c>
      <c r="I398" s="5">
        <f>IFERROR(__xludf.DUMMYFUNCTION("""COMPUTED_VALUE"""),8601.77)</f>
        <v>8601.77</v>
      </c>
      <c r="J398" s="5">
        <f>IFERROR(__xludf.DUMMYFUNCTION("""COMPUTED_VALUE"""),7233.59)</f>
        <v>7233.59</v>
      </c>
      <c r="K398" s="5">
        <f>IFERROR(__xludf.DUMMYFUNCTION("""COMPUTED_VALUE"""),6132.95)</f>
        <v>6132.95</v>
      </c>
      <c r="L398" s="4">
        <f>IFERROR(__xludf.DUMMYFUNCTION("""COMPUTED_VALUE"""),10.0)</f>
        <v>10</v>
      </c>
      <c r="M398" s="4">
        <f>IFERROR(__xludf.DUMMYFUNCTION("""COMPUTED_VALUE"""),22.0)</f>
        <v>22</v>
      </c>
      <c r="N398" s="2" t="str">
        <f>IFERROR(__xludf.DUMMYFUNCTION("""COMPUTED_VALUE"""),"FALSO")</f>
        <v>FALSO</v>
      </c>
    </row>
    <row r="399">
      <c r="A399" s="2">
        <f>IFERROR(__xludf.DUMMYFUNCTION("""COMPUTED_VALUE"""),398.0)</f>
        <v>398</v>
      </c>
      <c r="B399" s="2" t="str">
        <f>IFERROR(__xludf.DUMMYFUNCTION("""COMPUTED_VALUE"""),"Robinson Saltmarshe")</f>
        <v>Robinson Saltmarshe</v>
      </c>
      <c r="C399" s="2" t="str">
        <f>IFERROR(__xludf.DUMMYFUNCTION("""COMPUTED_VALUE"""),"rsaltmarsheb2@topsy.com")</f>
        <v>rsaltmarsheb2@topsy.com</v>
      </c>
      <c r="D399" s="4">
        <f>IFERROR(__xludf.DUMMYFUNCTION("""COMPUTED_VALUE"""),115.0)</f>
        <v>115</v>
      </c>
      <c r="E399" s="4">
        <f>IFERROR(__xludf.DUMMYFUNCTION("""COMPUTED_VALUE"""),81.0)</f>
        <v>81</v>
      </c>
      <c r="F399" s="4">
        <f>IFERROR(__xludf.DUMMYFUNCTION("""COMPUTED_VALUE"""),2.0)</f>
        <v>2</v>
      </c>
      <c r="G399" s="4">
        <f>IFERROR(__xludf.DUMMYFUNCTION("""COMPUTED_VALUE"""),1122.0)</f>
        <v>1122</v>
      </c>
      <c r="H399" s="5">
        <f>IFERROR(__xludf.DUMMYFUNCTION("""COMPUTED_VALUE"""),6780.21)</f>
        <v>6780.21</v>
      </c>
      <c r="I399" s="5">
        <f>IFERROR(__xludf.DUMMYFUNCTION("""COMPUTED_VALUE"""),8677.72)</f>
        <v>8677.72</v>
      </c>
      <c r="J399" s="5">
        <f>IFERROR(__xludf.DUMMYFUNCTION("""COMPUTED_VALUE"""),2619.17)</f>
        <v>2619.17</v>
      </c>
      <c r="K399" s="5">
        <f>IFERROR(__xludf.DUMMYFUNCTION("""COMPUTED_VALUE"""),6953.11)</f>
        <v>6953.11</v>
      </c>
      <c r="L399" s="4">
        <f>IFERROR(__xludf.DUMMYFUNCTION("""COMPUTED_VALUE"""),9.0)</f>
        <v>9</v>
      </c>
      <c r="M399" s="4">
        <f>IFERROR(__xludf.DUMMYFUNCTION("""COMPUTED_VALUE"""),42.0)</f>
        <v>42</v>
      </c>
      <c r="N399" s="2" t="str">
        <f>IFERROR(__xludf.DUMMYFUNCTION("""COMPUTED_VALUE"""),"FALSO")</f>
        <v>FALSO</v>
      </c>
    </row>
    <row r="400">
      <c r="A400" s="2">
        <f>IFERROR(__xludf.DUMMYFUNCTION("""COMPUTED_VALUE"""),399.0)</f>
        <v>399</v>
      </c>
      <c r="B400" s="2" t="str">
        <f>IFERROR(__xludf.DUMMYFUNCTION("""COMPUTED_VALUE"""),"Laryssa Blaase")</f>
        <v>Laryssa Blaase</v>
      </c>
      <c r="C400" s="2" t="str">
        <f>IFERROR(__xludf.DUMMYFUNCTION("""COMPUTED_VALUE"""),"lblaaseb3@myspace.com")</f>
        <v>lblaaseb3@myspace.com</v>
      </c>
      <c r="D400" s="4">
        <f>IFERROR(__xludf.DUMMYFUNCTION("""COMPUTED_VALUE"""),121.0)</f>
        <v>121</v>
      </c>
      <c r="E400" s="4">
        <f>IFERROR(__xludf.DUMMYFUNCTION("""COMPUTED_VALUE"""),102.0)</f>
        <v>102</v>
      </c>
      <c r="F400" s="4">
        <f>IFERROR(__xludf.DUMMYFUNCTION("""COMPUTED_VALUE"""),4.0)</f>
        <v>4</v>
      </c>
      <c r="G400" s="4">
        <f>IFERROR(__xludf.DUMMYFUNCTION("""COMPUTED_VALUE"""),516.0)</f>
        <v>516</v>
      </c>
      <c r="H400" s="5">
        <f>IFERROR(__xludf.DUMMYFUNCTION("""COMPUTED_VALUE"""),7835.28)</f>
        <v>7835.28</v>
      </c>
      <c r="I400" s="5">
        <f>IFERROR(__xludf.DUMMYFUNCTION("""COMPUTED_VALUE"""),5703.11)</f>
        <v>5703.11</v>
      </c>
      <c r="J400" s="5">
        <f>IFERROR(__xludf.DUMMYFUNCTION("""COMPUTED_VALUE"""),5703.5)</f>
        <v>5703.5</v>
      </c>
      <c r="K400" s="5">
        <f>IFERROR(__xludf.DUMMYFUNCTION("""COMPUTED_VALUE"""),865.54)</f>
        <v>865.54</v>
      </c>
      <c r="L400" s="4">
        <f>IFERROR(__xludf.DUMMYFUNCTION("""COMPUTED_VALUE"""),8.0)</f>
        <v>8</v>
      </c>
      <c r="M400" s="4">
        <f>IFERROR(__xludf.DUMMYFUNCTION("""COMPUTED_VALUE"""),92.0)</f>
        <v>92</v>
      </c>
      <c r="N400" s="2" t="str">
        <f>IFERROR(__xludf.DUMMYFUNCTION("""COMPUTED_VALUE"""),"VERDADERO")</f>
        <v>VERDADERO</v>
      </c>
    </row>
    <row r="401">
      <c r="A401" s="2">
        <f>IFERROR(__xludf.DUMMYFUNCTION("""COMPUTED_VALUE"""),400.0)</f>
        <v>400</v>
      </c>
      <c r="B401" s="2" t="str">
        <f>IFERROR(__xludf.DUMMYFUNCTION("""COMPUTED_VALUE"""),"Ainsley Ziem")</f>
        <v>Ainsley Ziem</v>
      </c>
      <c r="C401" s="2" t="str">
        <f>IFERROR(__xludf.DUMMYFUNCTION("""COMPUTED_VALUE"""),"aziemb4@over-blog.com")</f>
        <v>aziemb4@over-blog.com</v>
      </c>
      <c r="D401" s="4">
        <f>IFERROR(__xludf.DUMMYFUNCTION("""COMPUTED_VALUE"""),55.0)</f>
        <v>55</v>
      </c>
      <c r="E401" s="4">
        <f>IFERROR(__xludf.DUMMYFUNCTION("""COMPUTED_VALUE"""),81.0)</f>
        <v>81</v>
      </c>
      <c r="F401" s="4">
        <f>IFERROR(__xludf.DUMMYFUNCTION("""COMPUTED_VALUE"""),2.0)</f>
        <v>2</v>
      </c>
      <c r="G401" s="4">
        <f>IFERROR(__xludf.DUMMYFUNCTION("""COMPUTED_VALUE"""),116.0)</f>
        <v>116</v>
      </c>
      <c r="H401" s="5">
        <f>IFERROR(__xludf.DUMMYFUNCTION("""COMPUTED_VALUE"""),453.45)</f>
        <v>453.45</v>
      </c>
      <c r="I401" s="5">
        <f>IFERROR(__xludf.DUMMYFUNCTION("""COMPUTED_VALUE"""),7812.06)</f>
        <v>7812.06</v>
      </c>
      <c r="J401" s="5">
        <f>IFERROR(__xludf.DUMMYFUNCTION("""COMPUTED_VALUE"""),7952.76)</f>
        <v>7952.76</v>
      </c>
      <c r="K401" s="5">
        <f>IFERROR(__xludf.DUMMYFUNCTION("""COMPUTED_VALUE"""),8754.24)</f>
        <v>8754.24</v>
      </c>
      <c r="L401" s="4">
        <f>IFERROR(__xludf.DUMMYFUNCTION("""COMPUTED_VALUE"""),20.0)</f>
        <v>20</v>
      </c>
      <c r="M401" s="4">
        <f>IFERROR(__xludf.DUMMYFUNCTION("""COMPUTED_VALUE"""),60.0)</f>
        <v>60</v>
      </c>
      <c r="N401" s="2" t="str">
        <f>IFERROR(__xludf.DUMMYFUNCTION("""COMPUTED_VALUE"""),"VERDADERO")</f>
        <v>VERDADERO</v>
      </c>
    </row>
    <row r="402">
      <c r="A402" s="2">
        <f>IFERROR(__xludf.DUMMYFUNCTION("""COMPUTED_VALUE"""),401.0)</f>
        <v>401</v>
      </c>
      <c r="B402" s="2" t="str">
        <f>IFERROR(__xludf.DUMMYFUNCTION("""COMPUTED_VALUE"""),"Shirlene Witherdon")</f>
        <v>Shirlene Witherdon</v>
      </c>
      <c r="C402" s="2" t="str">
        <f>IFERROR(__xludf.DUMMYFUNCTION("""COMPUTED_VALUE"""),"switherdonb5@rambler.ru")</f>
        <v>switherdonb5@rambler.ru</v>
      </c>
      <c r="D402" s="4">
        <f>IFERROR(__xludf.DUMMYFUNCTION("""COMPUTED_VALUE"""),65.0)</f>
        <v>65</v>
      </c>
      <c r="E402" s="4">
        <f>IFERROR(__xludf.DUMMYFUNCTION("""COMPUTED_VALUE"""),95.0)</f>
        <v>95</v>
      </c>
      <c r="F402" s="4">
        <f>IFERROR(__xludf.DUMMYFUNCTION("""COMPUTED_VALUE"""),13.0)</f>
        <v>13</v>
      </c>
      <c r="G402" s="4">
        <f>IFERROR(__xludf.DUMMYFUNCTION("""COMPUTED_VALUE"""),821.0)</f>
        <v>821</v>
      </c>
      <c r="H402" s="5">
        <f>IFERROR(__xludf.DUMMYFUNCTION("""COMPUTED_VALUE"""),6626.84)</f>
        <v>6626.84</v>
      </c>
      <c r="I402" s="5">
        <f>IFERROR(__xludf.DUMMYFUNCTION("""COMPUTED_VALUE"""),2429.91)</f>
        <v>2429.91</v>
      </c>
      <c r="J402" s="5">
        <f>IFERROR(__xludf.DUMMYFUNCTION("""COMPUTED_VALUE"""),592.21)</f>
        <v>592.21</v>
      </c>
      <c r="K402" s="5">
        <f>IFERROR(__xludf.DUMMYFUNCTION("""COMPUTED_VALUE"""),7533.87)</f>
        <v>7533.87</v>
      </c>
      <c r="L402" s="4">
        <f>IFERROR(__xludf.DUMMYFUNCTION("""COMPUTED_VALUE"""),6.0)</f>
        <v>6</v>
      </c>
      <c r="M402" s="4">
        <f>IFERROR(__xludf.DUMMYFUNCTION("""COMPUTED_VALUE"""),85.0)</f>
        <v>85</v>
      </c>
      <c r="N402" s="2" t="str">
        <f>IFERROR(__xludf.DUMMYFUNCTION("""COMPUTED_VALUE"""),"VERDADERO")</f>
        <v>VERDADERO</v>
      </c>
    </row>
    <row r="403">
      <c r="A403" s="2">
        <f>IFERROR(__xludf.DUMMYFUNCTION("""COMPUTED_VALUE"""),402.0)</f>
        <v>402</v>
      </c>
      <c r="B403" s="2" t="str">
        <f>IFERROR(__xludf.DUMMYFUNCTION("""COMPUTED_VALUE"""),"Lulita O'Shea")</f>
        <v>Lulita O'Shea</v>
      </c>
      <c r="C403" s="2" t="str">
        <f>IFERROR(__xludf.DUMMYFUNCTION("""COMPUTED_VALUE"""),"losheab6@myspace.com")</f>
        <v>losheab6@myspace.com</v>
      </c>
      <c r="D403" s="4">
        <f>IFERROR(__xludf.DUMMYFUNCTION("""COMPUTED_VALUE"""),49.0)</f>
        <v>49</v>
      </c>
      <c r="E403" s="4">
        <f>IFERROR(__xludf.DUMMYFUNCTION("""COMPUTED_VALUE"""),64.0)</f>
        <v>64</v>
      </c>
      <c r="F403" s="4">
        <f>IFERROR(__xludf.DUMMYFUNCTION("""COMPUTED_VALUE"""),4.0)</f>
        <v>4</v>
      </c>
      <c r="G403" s="4">
        <f>IFERROR(__xludf.DUMMYFUNCTION("""COMPUTED_VALUE"""),362.0)</f>
        <v>362</v>
      </c>
      <c r="H403" s="5">
        <f>IFERROR(__xludf.DUMMYFUNCTION("""COMPUTED_VALUE"""),2177.3)</f>
        <v>2177.3</v>
      </c>
      <c r="I403" s="5">
        <f>IFERROR(__xludf.DUMMYFUNCTION("""COMPUTED_VALUE"""),6290.35)</f>
        <v>6290.35</v>
      </c>
      <c r="J403" s="5">
        <f>IFERROR(__xludf.DUMMYFUNCTION("""COMPUTED_VALUE"""),9532.17)</f>
        <v>9532.17</v>
      </c>
      <c r="K403" s="5">
        <f>IFERROR(__xludf.DUMMYFUNCTION("""COMPUTED_VALUE"""),7100.36)</f>
        <v>7100.36</v>
      </c>
      <c r="L403" s="4">
        <f>IFERROR(__xludf.DUMMYFUNCTION("""COMPUTED_VALUE"""),1.0)</f>
        <v>1</v>
      </c>
      <c r="M403" s="4">
        <f>IFERROR(__xludf.DUMMYFUNCTION("""COMPUTED_VALUE"""),38.0)</f>
        <v>38</v>
      </c>
      <c r="N403" s="2" t="str">
        <f>IFERROR(__xludf.DUMMYFUNCTION("""COMPUTED_VALUE"""),"FALSO")</f>
        <v>FALSO</v>
      </c>
    </row>
    <row r="404">
      <c r="A404" s="2">
        <f>IFERROR(__xludf.DUMMYFUNCTION("""COMPUTED_VALUE"""),403.0)</f>
        <v>403</v>
      </c>
      <c r="B404" s="2" t="str">
        <f>IFERROR(__xludf.DUMMYFUNCTION("""COMPUTED_VALUE"""),"Nikki Chaffen")</f>
        <v>Nikki Chaffen</v>
      </c>
      <c r="C404" s="2" t="str">
        <f>IFERROR(__xludf.DUMMYFUNCTION("""COMPUTED_VALUE"""),"nchaffenb7@hugedomains.com")</f>
        <v>nchaffenb7@hugedomains.com</v>
      </c>
      <c r="D404" s="4">
        <f>IFERROR(__xludf.DUMMYFUNCTION("""COMPUTED_VALUE"""),17.0)</f>
        <v>17</v>
      </c>
      <c r="E404" s="4">
        <f>IFERROR(__xludf.DUMMYFUNCTION("""COMPUTED_VALUE"""),70.0)</f>
        <v>70</v>
      </c>
      <c r="F404" s="4">
        <f>IFERROR(__xludf.DUMMYFUNCTION("""COMPUTED_VALUE"""),6.0)</f>
        <v>6</v>
      </c>
      <c r="G404" s="4">
        <f>IFERROR(__xludf.DUMMYFUNCTION("""COMPUTED_VALUE"""),1497.0)</f>
        <v>1497</v>
      </c>
      <c r="H404" s="5">
        <f>IFERROR(__xludf.DUMMYFUNCTION("""COMPUTED_VALUE"""),5762.15)</f>
        <v>5762.15</v>
      </c>
      <c r="I404" s="5">
        <f>IFERROR(__xludf.DUMMYFUNCTION("""COMPUTED_VALUE"""),8335.78)</f>
        <v>8335.78</v>
      </c>
      <c r="J404" s="5">
        <f>IFERROR(__xludf.DUMMYFUNCTION("""COMPUTED_VALUE"""),2109.38)</f>
        <v>2109.38</v>
      </c>
      <c r="K404" s="5">
        <f>IFERROR(__xludf.DUMMYFUNCTION("""COMPUTED_VALUE"""),3146.54)</f>
        <v>3146.54</v>
      </c>
      <c r="L404" s="4">
        <f>IFERROR(__xludf.DUMMYFUNCTION("""COMPUTED_VALUE"""),2.0)</f>
        <v>2</v>
      </c>
      <c r="M404" s="4">
        <f>IFERROR(__xludf.DUMMYFUNCTION("""COMPUTED_VALUE"""),52.0)</f>
        <v>52</v>
      </c>
      <c r="N404" s="2" t="str">
        <f>IFERROR(__xludf.DUMMYFUNCTION("""COMPUTED_VALUE"""),"FALSO")</f>
        <v>FALSO</v>
      </c>
    </row>
    <row r="405">
      <c r="A405" s="2">
        <f>IFERROR(__xludf.DUMMYFUNCTION("""COMPUTED_VALUE"""),404.0)</f>
        <v>404</v>
      </c>
      <c r="B405" s="2" t="str">
        <f>IFERROR(__xludf.DUMMYFUNCTION("""COMPUTED_VALUE"""),"Louie Koeppke")</f>
        <v>Louie Koeppke</v>
      </c>
      <c r="C405" s="2" t="str">
        <f>IFERROR(__xludf.DUMMYFUNCTION("""COMPUTED_VALUE"""),"lkoeppkeb8@vimeo.com")</f>
        <v>lkoeppkeb8@vimeo.com</v>
      </c>
      <c r="D405" s="4">
        <f>IFERROR(__xludf.DUMMYFUNCTION("""COMPUTED_VALUE"""),29.0)</f>
        <v>29</v>
      </c>
      <c r="E405" s="4">
        <f>IFERROR(__xludf.DUMMYFUNCTION("""COMPUTED_VALUE"""),106.0)</f>
        <v>106</v>
      </c>
      <c r="F405" s="4">
        <f>IFERROR(__xludf.DUMMYFUNCTION("""COMPUTED_VALUE"""),4.0)</f>
        <v>4</v>
      </c>
      <c r="G405" s="4">
        <f>IFERROR(__xludf.DUMMYFUNCTION("""COMPUTED_VALUE"""),750.0)</f>
        <v>750</v>
      </c>
      <c r="H405" s="5">
        <f>IFERROR(__xludf.DUMMYFUNCTION("""COMPUTED_VALUE"""),6271.34)</f>
        <v>6271.34</v>
      </c>
      <c r="I405" s="5">
        <f>IFERROR(__xludf.DUMMYFUNCTION("""COMPUTED_VALUE"""),9236.45)</f>
        <v>9236.45</v>
      </c>
      <c r="J405" s="5">
        <f>IFERROR(__xludf.DUMMYFUNCTION("""COMPUTED_VALUE"""),4449.23)</f>
        <v>4449.23</v>
      </c>
      <c r="K405" s="5">
        <f>IFERROR(__xludf.DUMMYFUNCTION("""COMPUTED_VALUE"""),5474.58)</f>
        <v>5474.58</v>
      </c>
      <c r="L405" s="4">
        <f>IFERROR(__xludf.DUMMYFUNCTION("""COMPUTED_VALUE"""),6.0)</f>
        <v>6</v>
      </c>
      <c r="M405" s="4">
        <f>IFERROR(__xludf.DUMMYFUNCTION("""COMPUTED_VALUE"""),5.0)</f>
        <v>5</v>
      </c>
      <c r="N405" s="2" t="str">
        <f>IFERROR(__xludf.DUMMYFUNCTION("""COMPUTED_VALUE"""),"VERDADERO")</f>
        <v>VERDADERO</v>
      </c>
    </row>
    <row r="406">
      <c r="A406" s="2">
        <f>IFERROR(__xludf.DUMMYFUNCTION("""COMPUTED_VALUE"""),405.0)</f>
        <v>405</v>
      </c>
      <c r="B406" s="2" t="str">
        <f>IFERROR(__xludf.DUMMYFUNCTION("""COMPUTED_VALUE"""),"Chuck Chatband")</f>
        <v>Chuck Chatband</v>
      </c>
      <c r="C406" s="2" t="str">
        <f>IFERROR(__xludf.DUMMYFUNCTION("""COMPUTED_VALUE"""),"cchatbandb9@chron.com")</f>
        <v>cchatbandb9@chron.com</v>
      </c>
      <c r="D406" s="4">
        <f>IFERROR(__xludf.DUMMYFUNCTION("""COMPUTED_VALUE"""),65.0)</f>
        <v>65</v>
      </c>
      <c r="E406" s="4">
        <f>IFERROR(__xludf.DUMMYFUNCTION("""COMPUTED_VALUE"""),81.0)</f>
        <v>81</v>
      </c>
      <c r="F406" s="4">
        <f>IFERROR(__xludf.DUMMYFUNCTION("""COMPUTED_VALUE"""),2.0)</f>
        <v>2</v>
      </c>
      <c r="G406" s="4">
        <f>IFERROR(__xludf.DUMMYFUNCTION("""COMPUTED_VALUE"""),1573.0)</f>
        <v>1573</v>
      </c>
      <c r="H406" s="5">
        <f>IFERROR(__xludf.DUMMYFUNCTION("""COMPUTED_VALUE"""),4418.87)</f>
        <v>4418.87</v>
      </c>
      <c r="I406" s="5">
        <f>IFERROR(__xludf.DUMMYFUNCTION("""COMPUTED_VALUE"""),3460.35)</f>
        <v>3460.35</v>
      </c>
      <c r="J406" s="5">
        <f>IFERROR(__xludf.DUMMYFUNCTION("""COMPUTED_VALUE"""),2684.11)</f>
        <v>2684.11</v>
      </c>
      <c r="K406" s="5">
        <f>IFERROR(__xludf.DUMMYFUNCTION("""COMPUTED_VALUE"""),1394.02)</f>
        <v>1394.02</v>
      </c>
      <c r="L406" s="4">
        <f>IFERROR(__xludf.DUMMYFUNCTION("""COMPUTED_VALUE"""),14.0)</f>
        <v>14</v>
      </c>
      <c r="M406" s="4">
        <f>IFERROR(__xludf.DUMMYFUNCTION("""COMPUTED_VALUE"""),16.0)</f>
        <v>16</v>
      </c>
      <c r="N406" s="2" t="str">
        <f>IFERROR(__xludf.DUMMYFUNCTION("""COMPUTED_VALUE"""),"VERDADERO")</f>
        <v>VERDADERO</v>
      </c>
    </row>
    <row r="407">
      <c r="A407" s="2">
        <f>IFERROR(__xludf.DUMMYFUNCTION("""COMPUTED_VALUE"""),406.0)</f>
        <v>406</v>
      </c>
      <c r="B407" s="2" t="str">
        <f>IFERROR(__xludf.DUMMYFUNCTION("""COMPUTED_VALUE"""),"Lodovico Robertsen")</f>
        <v>Lodovico Robertsen</v>
      </c>
      <c r="C407" s="2" t="str">
        <f>IFERROR(__xludf.DUMMYFUNCTION("""COMPUTED_VALUE"""),"lrobertsenba@gmpg.org")</f>
        <v>lrobertsenba@gmpg.org</v>
      </c>
      <c r="D407" s="4">
        <f>IFERROR(__xludf.DUMMYFUNCTION("""COMPUTED_VALUE"""),122.0)</f>
        <v>122</v>
      </c>
      <c r="E407" s="4">
        <f>IFERROR(__xludf.DUMMYFUNCTION("""COMPUTED_VALUE"""),107.0)</f>
        <v>107</v>
      </c>
      <c r="F407" s="4">
        <f>IFERROR(__xludf.DUMMYFUNCTION("""COMPUTED_VALUE"""),5.0)</f>
        <v>5</v>
      </c>
      <c r="G407" s="4">
        <f>IFERROR(__xludf.DUMMYFUNCTION("""COMPUTED_VALUE"""),1254.0)</f>
        <v>1254</v>
      </c>
      <c r="H407" s="5">
        <f>IFERROR(__xludf.DUMMYFUNCTION("""COMPUTED_VALUE"""),5285.4)</f>
        <v>5285.4</v>
      </c>
      <c r="I407" s="5">
        <f>IFERROR(__xludf.DUMMYFUNCTION("""COMPUTED_VALUE"""),3464.52)</f>
        <v>3464.52</v>
      </c>
      <c r="J407" s="5">
        <f>IFERROR(__xludf.DUMMYFUNCTION("""COMPUTED_VALUE"""),385.14)</f>
        <v>385.14</v>
      </c>
      <c r="K407" s="5">
        <f>IFERROR(__xludf.DUMMYFUNCTION("""COMPUTED_VALUE"""),1487.63)</f>
        <v>1487.63</v>
      </c>
      <c r="L407" s="4">
        <f>IFERROR(__xludf.DUMMYFUNCTION("""COMPUTED_VALUE"""),8.0)</f>
        <v>8</v>
      </c>
      <c r="M407" s="4">
        <f>IFERROR(__xludf.DUMMYFUNCTION("""COMPUTED_VALUE"""),3.0)</f>
        <v>3</v>
      </c>
      <c r="N407" s="2" t="str">
        <f>IFERROR(__xludf.DUMMYFUNCTION("""COMPUTED_VALUE"""),"VERDADERO")</f>
        <v>VERDADERO</v>
      </c>
    </row>
    <row r="408">
      <c r="A408" s="2">
        <f>IFERROR(__xludf.DUMMYFUNCTION("""COMPUTED_VALUE"""),407.0)</f>
        <v>407</v>
      </c>
      <c r="B408" s="2" t="str">
        <f>IFERROR(__xludf.DUMMYFUNCTION("""COMPUTED_VALUE"""),"Jinny Presslee")</f>
        <v>Jinny Presslee</v>
      </c>
      <c r="C408" s="2" t="str">
        <f>IFERROR(__xludf.DUMMYFUNCTION("""COMPUTED_VALUE"""),"jpressleebb@bandcamp.com")</f>
        <v>jpressleebb@bandcamp.com</v>
      </c>
      <c r="D408" s="4">
        <f>IFERROR(__xludf.DUMMYFUNCTION("""COMPUTED_VALUE"""),137.0)</f>
        <v>137</v>
      </c>
      <c r="E408" s="4">
        <f>IFERROR(__xludf.DUMMYFUNCTION("""COMPUTED_VALUE"""),64.0)</f>
        <v>64</v>
      </c>
      <c r="F408" s="4">
        <f>IFERROR(__xludf.DUMMYFUNCTION("""COMPUTED_VALUE"""),4.0)</f>
        <v>4</v>
      </c>
      <c r="G408" s="4">
        <f>IFERROR(__xludf.DUMMYFUNCTION("""COMPUTED_VALUE"""),287.0)</f>
        <v>287</v>
      </c>
      <c r="H408" s="5">
        <f>IFERROR(__xludf.DUMMYFUNCTION("""COMPUTED_VALUE"""),7730.81)</f>
        <v>7730.81</v>
      </c>
      <c r="I408" s="5">
        <f>IFERROR(__xludf.DUMMYFUNCTION("""COMPUTED_VALUE"""),6566.58)</f>
        <v>6566.58</v>
      </c>
      <c r="J408" s="5">
        <f>IFERROR(__xludf.DUMMYFUNCTION("""COMPUTED_VALUE"""),3218.51)</f>
        <v>3218.51</v>
      </c>
      <c r="K408" s="5">
        <f>IFERROR(__xludf.DUMMYFUNCTION("""COMPUTED_VALUE"""),9029.95)</f>
        <v>9029.95</v>
      </c>
      <c r="L408" s="4">
        <f>IFERROR(__xludf.DUMMYFUNCTION("""COMPUTED_VALUE"""),11.0)</f>
        <v>11</v>
      </c>
      <c r="M408" s="4">
        <f>IFERROR(__xludf.DUMMYFUNCTION("""COMPUTED_VALUE"""),84.0)</f>
        <v>84</v>
      </c>
      <c r="N408" s="2" t="str">
        <f>IFERROR(__xludf.DUMMYFUNCTION("""COMPUTED_VALUE"""),"VERDADERO")</f>
        <v>VERDADERO</v>
      </c>
    </row>
    <row r="409">
      <c r="A409" s="2">
        <f>IFERROR(__xludf.DUMMYFUNCTION("""COMPUTED_VALUE"""),408.0)</f>
        <v>408</v>
      </c>
      <c r="B409" s="2" t="str">
        <f>IFERROR(__xludf.DUMMYFUNCTION("""COMPUTED_VALUE"""),"Peter Caldeyroux")</f>
        <v>Peter Caldeyroux</v>
      </c>
      <c r="C409" s="2" t="str">
        <f>IFERROR(__xludf.DUMMYFUNCTION("""COMPUTED_VALUE"""),"pcaldeyrouxbc@quantcast.com")</f>
        <v>pcaldeyrouxbc@quantcast.com</v>
      </c>
      <c r="D409" s="4">
        <f>IFERROR(__xludf.DUMMYFUNCTION("""COMPUTED_VALUE"""),29.0)</f>
        <v>29</v>
      </c>
      <c r="E409" s="4">
        <f>IFERROR(__xludf.DUMMYFUNCTION("""COMPUTED_VALUE"""),71.0)</f>
        <v>71</v>
      </c>
      <c r="F409" s="4">
        <f>IFERROR(__xludf.DUMMYFUNCTION("""COMPUTED_VALUE"""),6.0)</f>
        <v>6</v>
      </c>
      <c r="G409" s="4">
        <f>IFERROR(__xludf.DUMMYFUNCTION("""COMPUTED_VALUE"""),58.0)</f>
        <v>58</v>
      </c>
      <c r="H409" s="5">
        <f>IFERROR(__xludf.DUMMYFUNCTION("""COMPUTED_VALUE"""),4935.28)</f>
        <v>4935.28</v>
      </c>
      <c r="I409" s="5">
        <f>IFERROR(__xludf.DUMMYFUNCTION("""COMPUTED_VALUE"""),7540.84)</f>
        <v>7540.84</v>
      </c>
      <c r="J409" s="5">
        <f>IFERROR(__xludf.DUMMYFUNCTION("""COMPUTED_VALUE"""),7005.08)</f>
        <v>7005.08</v>
      </c>
      <c r="K409" s="5">
        <f>IFERROR(__xludf.DUMMYFUNCTION("""COMPUTED_VALUE"""),305.84)</f>
        <v>305.84</v>
      </c>
      <c r="L409" s="4">
        <f>IFERROR(__xludf.DUMMYFUNCTION("""COMPUTED_VALUE"""),20.0)</f>
        <v>20</v>
      </c>
      <c r="M409" s="4">
        <f>IFERROR(__xludf.DUMMYFUNCTION("""COMPUTED_VALUE"""),59.0)</f>
        <v>59</v>
      </c>
      <c r="N409" s="2" t="str">
        <f>IFERROR(__xludf.DUMMYFUNCTION("""COMPUTED_VALUE"""),"VERDADERO")</f>
        <v>VERDADERO</v>
      </c>
    </row>
    <row r="410">
      <c r="A410" s="2">
        <f>IFERROR(__xludf.DUMMYFUNCTION("""COMPUTED_VALUE"""),409.0)</f>
        <v>409</v>
      </c>
      <c r="B410" s="2" t="str">
        <f>IFERROR(__xludf.DUMMYFUNCTION("""COMPUTED_VALUE"""),"Chelsy Suett")</f>
        <v>Chelsy Suett</v>
      </c>
      <c r="C410" s="2" t="str">
        <f>IFERROR(__xludf.DUMMYFUNCTION("""COMPUTED_VALUE"""),"csuettbd@tiny.cc")</f>
        <v>csuettbd@tiny.cc</v>
      </c>
      <c r="D410" s="4">
        <f>IFERROR(__xludf.DUMMYFUNCTION("""COMPUTED_VALUE"""),80.0)</f>
        <v>80</v>
      </c>
      <c r="E410" s="4">
        <f>IFERROR(__xludf.DUMMYFUNCTION("""COMPUTED_VALUE"""),67.0)</f>
        <v>67</v>
      </c>
      <c r="F410" s="4">
        <f>IFERROR(__xludf.DUMMYFUNCTION("""COMPUTED_VALUE"""),7.0)</f>
        <v>7</v>
      </c>
      <c r="G410" s="4">
        <f>IFERROR(__xludf.DUMMYFUNCTION("""COMPUTED_VALUE"""),1322.0)</f>
        <v>1322</v>
      </c>
      <c r="H410" s="5">
        <f>IFERROR(__xludf.DUMMYFUNCTION("""COMPUTED_VALUE"""),4186.24)</f>
        <v>4186.24</v>
      </c>
      <c r="I410" s="5">
        <f>IFERROR(__xludf.DUMMYFUNCTION("""COMPUTED_VALUE"""),1045.03)</f>
        <v>1045.03</v>
      </c>
      <c r="J410" s="5">
        <f>IFERROR(__xludf.DUMMYFUNCTION("""COMPUTED_VALUE"""),753.45)</f>
        <v>753.45</v>
      </c>
      <c r="K410" s="5">
        <f>IFERROR(__xludf.DUMMYFUNCTION("""COMPUTED_VALUE"""),9424.62)</f>
        <v>9424.62</v>
      </c>
      <c r="L410" s="4">
        <f>IFERROR(__xludf.DUMMYFUNCTION("""COMPUTED_VALUE"""),8.0)</f>
        <v>8</v>
      </c>
      <c r="M410" s="4">
        <f>IFERROR(__xludf.DUMMYFUNCTION("""COMPUTED_VALUE"""),34.0)</f>
        <v>34</v>
      </c>
      <c r="N410" s="2" t="str">
        <f>IFERROR(__xludf.DUMMYFUNCTION("""COMPUTED_VALUE"""),"VERDADERO")</f>
        <v>VERDADERO</v>
      </c>
    </row>
    <row r="411">
      <c r="A411" s="2">
        <f>IFERROR(__xludf.DUMMYFUNCTION("""COMPUTED_VALUE"""),410.0)</f>
        <v>410</v>
      </c>
      <c r="B411" s="2" t="str">
        <f>IFERROR(__xludf.DUMMYFUNCTION("""COMPUTED_VALUE"""),"Mayor Oldman")</f>
        <v>Mayor Oldman</v>
      </c>
      <c r="C411" s="2" t="str">
        <f>IFERROR(__xludf.DUMMYFUNCTION("""COMPUTED_VALUE"""),"moldmanbe@washingtonpost.com")</f>
        <v>moldmanbe@washingtonpost.com</v>
      </c>
      <c r="D411" s="4">
        <f>IFERROR(__xludf.DUMMYFUNCTION("""COMPUTED_VALUE"""),65.0)</f>
        <v>65</v>
      </c>
      <c r="E411" s="4">
        <f>IFERROR(__xludf.DUMMYFUNCTION("""COMPUTED_VALUE"""),81.0)</f>
        <v>81</v>
      </c>
      <c r="F411" s="4">
        <f>IFERROR(__xludf.DUMMYFUNCTION("""COMPUTED_VALUE"""),2.0)</f>
        <v>2</v>
      </c>
      <c r="G411" s="4">
        <f>IFERROR(__xludf.DUMMYFUNCTION("""COMPUTED_VALUE"""),1488.0)</f>
        <v>1488</v>
      </c>
      <c r="H411" s="5">
        <f>IFERROR(__xludf.DUMMYFUNCTION("""COMPUTED_VALUE"""),7675.34)</f>
        <v>7675.34</v>
      </c>
      <c r="I411" s="5">
        <f>IFERROR(__xludf.DUMMYFUNCTION("""COMPUTED_VALUE"""),4091.17)</f>
        <v>4091.17</v>
      </c>
      <c r="J411" s="5">
        <f>IFERROR(__xludf.DUMMYFUNCTION("""COMPUTED_VALUE"""),3231.23)</f>
        <v>3231.23</v>
      </c>
      <c r="K411" s="5">
        <f>IFERROR(__xludf.DUMMYFUNCTION("""COMPUTED_VALUE"""),7968.66)</f>
        <v>7968.66</v>
      </c>
      <c r="L411" s="4">
        <f>IFERROR(__xludf.DUMMYFUNCTION("""COMPUTED_VALUE"""),4.0)</f>
        <v>4</v>
      </c>
      <c r="M411" s="4">
        <f>IFERROR(__xludf.DUMMYFUNCTION("""COMPUTED_VALUE"""),81.0)</f>
        <v>81</v>
      </c>
      <c r="N411" s="2" t="str">
        <f>IFERROR(__xludf.DUMMYFUNCTION("""COMPUTED_VALUE"""),"VERDADERO")</f>
        <v>VERDADERO</v>
      </c>
    </row>
    <row r="412">
      <c r="A412" s="2">
        <f>IFERROR(__xludf.DUMMYFUNCTION("""COMPUTED_VALUE"""),411.0)</f>
        <v>411</v>
      </c>
      <c r="B412" s="2" t="str">
        <f>IFERROR(__xludf.DUMMYFUNCTION("""COMPUTED_VALUE"""),"Debera Lysaght")</f>
        <v>Debera Lysaght</v>
      </c>
      <c r="C412" s="2" t="str">
        <f>IFERROR(__xludf.DUMMYFUNCTION("""COMPUTED_VALUE"""),"dlysaghtbf@npr.org")</f>
        <v>dlysaghtbf@npr.org</v>
      </c>
      <c r="D412" s="4">
        <f>IFERROR(__xludf.DUMMYFUNCTION("""COMPUTED_VALUE"""),29.0)</f>
        <v>29</v>
      </c>
      <c r="E412" s="4">
        <f>IFERROR(__xludf.DUMMYFUNCTION("""COMPUTED_VALUE"""),66.0)</f>
        <v>66</v>
      </c>
      <c r="F412" s="4">
        <f>IFERROR(__xludf.DUMMYFUNCTION("""COMPUTED_VALUE"""),6.0)</f>
        <v>6</v>
      </c>
      <c r="G412" s="4">
        <f>IFERROR(__xludf.DUMMYFUNCTION("""COMPUTED_VALUE"""),133.0)</f>
        <v>133</v>
      </c>
      <c r="H412" s="5">
        <f>IFERROR(__xludf.DUMMYFUNCTION("""COMPUTED_VALUE"""),8714.78)</f>
        <v>8714.78</v>
      </c>
      <c r="I412" s="5">
        <f>IFERROR(__xludf.DUMMYFUNCTION("""COMPUTED_VALUE"""),396.53)</f>
        <v>396.53</v>
      </c>
      <c r="J412" s="5">
        <f>IFERROR(__xludf.DUMMYFUNCTION("""COMPUTED_VALUE"""),6911.46)</f>
        <v>6911.46</v>
      </c>
      <c r="K412" s="5">
        <f>IFERROR(__xludf.DUMMYFUNCTION("""COMPUTED_VALUE"""),8492.46)</f>
        <v>8492.46</v>
      </c>
      <c r="L412" s="4">
        <f>IFERROR(__xludf.DUMMYFUNCTION("""COMPUTED_VALUE"""),16.0)</f>
        <v>16</v>
      </c>
      <c r="M412" s="4">
        <f>IFERROR(__xludf.DUMMYFUNCTION("""COMPUTED_VALUE"""),57.0)</f>
        <v>57</v>
      </c>
      <c r="N412" s="2" t="str">
        <f>IFERROR(__xludf.DUMMYFUNCTION("""COMPUTED_VALUE"""),"FALSO")</f>
        <v>FALSO</v>
      </c>
    </row>
    <row r="413">
      <c r="A413" s="2">
        <f>IFERROR(__xludf.DUMMYFUNCTION("""COMPUTED_VALUE"""),412.0)</f>
        <v>412</v>
      </c>
      <c r="B413" s="2" t="str">
        <f>IFERROR(__xludf.DUMMYFUNCTION("""COMPUTED_VALUE"""),"Andonis Privost")</f>
        <v>Andonis Privost</v>
      </c>
      <c r="C413" s="2" t="str">
        <f>IFERROR(__xludf.DUMMYFUNCTION("""COMPUTED_VALUE"""),"aprivostbg@behance.net")</f>
        <v>aprivostbg@behance.net</v>
      </c>
      <c r="D413" s="4">
        <f>IFERROR(__xludf.DUMMYFUNCTION("""COMPUTED_VALUE"""),2.0)</f>
        <v>2</v>
      </c>
      <c r="E413" s="4">
        <f>IFERROR(__xludf.DUMMYFUNCTION("""COMPUTED_VALUE"""),104.0)</f>
        <v>104</v>
      </c>
      <c r="F413" s="4">
        <f>IFERROR(__xludf.DUMMYFUNCTION("""COMPUTED_VALUE"""),11.0)</f>
        <v>11</v>
      </c>
      <c r="G413" s="4">
        <f>IFERROR(__xludf.DUMMYFUNCTION("""COMPUTED_VALUE"""),1092.0)</f>
        <v>1092</v>
      </c>
      <c r="H413" s="5">
        <f>IFERROR(__xludf.DUMMYFUNCTION("""COMPUTED_VALUE"""),5205.98)</f>
        <v>5205.98</v>
      </c>
      <c r="I413" s="5">
        <f>IFERROR(__xludf.DUMMYFUNCTION("""COMPUTED_VALUE"""),2694.24)</f>
        <v>2694.24</v>
      </c>
      <c r="J413" s="5">
        <f>IFERROR(__xludf.DUMMYFUNCTION("""COMPUTED_VALUE"""),4964.83)</f>
        <v>4964.83</v>
      </c>
      <c r="K413" s="5">
        <f>IFERROR(__xludf.DUMMYFUNCTION("""COMPUTED_VALUE"""),6665.41)</f>
        <v>6665.41</v>
      </c>
      <c r="L413" s="4">
        <f>IFERROR(__xludf.DUMMYFUNCTION("""COMPUTED_VALUE"""),17.0)</f>
        <v>17</v>
      </c>
      <c r="M413" s="4">
        <f>IFERROR(__xludf.DUMMYFUNCTION("""COMPUTED_VALUE"""),90.0)</f>
        <v>90</v>
      </c>
      <c r="N413" s="2" t="str">
        <f>IFERROR(__xludf.DUMMYFUNCTION("""COMPUTED_VALUE"""),"VERDADERO")</f>
        <v>VERDADERO</v>
      </c>
    </row>
    <row r="414">
      <c r="A414" s="2">
        <f>IFERROR(__xludf.DUMMYFUNCTION("""COMPUTED_VALUE"""),413.0)</f>
        <v>413</v>
      </c>
      <c r="B414" s="2" t="str">
        <f>IFERROR(__xludf.DUMMYFUNCTION("""COMPUTED_VALUE"""),"Codee Hicks")</f>
        <v>Codee Hicks</v>
      </c>
      <c r="C414" s="2" t="str">
        <f>IFERROR(__xludf.DUMMYFUNCTION("""COMPUTED_VALUE"""),"chicksbh@sciencedirect.com")</f>
        <v>chicksbh@sciencedirect.com</v>
      </c>
      <c r="D414" s="4">
        <f>IFERROR(__xludf.DUMMYFUNCTION("""COMPUTED_VALUE"""),17.0)</f>
        <v>17</v>
      </c>
      <c r="E414" s="4">
        <f>IFERROR(__xludf.DUMMYFUNCTION("""COMPUTED_VALUE"""),21.0)</f>
        <v>21</v>
      </c>
      <c r="F414" s="4">
        <f>IFERROR(__xludf.DUMMYFUNCTION("""COMPUTED_VALUE"""),12.0)</f>
        <v>12</v>
      </c>
      <c r="G414" s="4">
        <f>IFERROR(__xludf.DUMMYFUNCTION("""COMPUTED_VALUE"""),1231.0)</f>
        <v>1231</v>
      </c>
      <c r="H414" s="5">
        <f>IFERROR(__xludf.DUMMYFUNCTION("""COMPUTED_VALUE"""),2735.67)</f>
        <v>2735.67</v>
      </c>
      <c r="I414" s="5">
        <f>IFERROR(__xludf.DUMMYFUNCTION("""COMPUTED_VALUE"""),6154.23)</f>
        <v>6154.23</v>
      </c>
      <c r="J414" s="5">
        <f>IFERROR(__xludf.DUMMYFUNCTION("""COMPUTED_VALUE"""),9434.17)</f>
        <v>9434.17</v>
      </c>
      <c r="K414" s="5">
        <f>IFERROR(__xludf.DUMMYFUNCTION("""COMPUTED_VALUE"""),5709.68)</f>
        <v>5709.68</v>
      </c>
      <c r="L414" s="4">
        <f>IFERROR(__xludf.DUMMYFUNCTION("""COMPUTED_VALUE"""),12.0)</f>
        <v>12</v>
      </c>
      <c r="M414" s="4">
        <f>IFERROR(__xludf.DUMMYFUNCTION("""COMPUTED_VALUE"""),94.0)</f>
        <v>94</v>
      </c>
      <c r="N414" s="2" t="str">
        <f>IFERROR(__xludf.DUMMYFUNCTION("""COMPUTED_VALUE"""),"FALSO")</f>
        <v>FALSO</v>
      </c>
    </row>
    <row r="415">
      <c r="A415" s="2">
        <f>IFERROR(__xludf.DUMMYFUNCTION("""COMPUTED_VALUE"""),414.0)</f>
        <v>414</v>
      </c>
      <c r="B415" s="2" t="str">
        <f>IFERROR(__xludf.DUMMYFUNCTION("""COMPUTED_VALUE"""),"Caroline Conaghy")</f>
        <v>Caroline Conaghy</v>
      </c>
      <c r="C415" s="2" t="str">
        <f>IFERROR(__xludf.DUMMYFUNCTION("""COMPUTED_VALUE"""),"cconaghybi@bluehost.com")</f>
        <v>cconaghybi@bluehost.com</v>
      </c>
      <c r="D415" s="4">
        <f>IFERROR(__xludf.DUMMYFUNCTION("""COMPUTED_VALUE"""),42.0)</f>
        <v>42</v>
      </c>
      <c r="E415" s="4">
        <f>IFERROR(__xludf.DUMMYFUNCTION("""COMPUTED_VALUE"""),64.0)</f>
        <v>64</v>
      </c>
      <c r="F415" s="4">
        <f>IFERROR(__xludf.DUMMYFUNCTION("""COMPUTED_VALUE"""),4.0)</f>
        <v>4</v>
      </c>
      <c r="G415" s="4">
        <f>IFERROR(__xludf.DUMMYFUNCTION("""COMPUTED_VALUE"""),1235.0)</f>
        <v>1235</v>
      </c>
      <c r="H415" s="5">
        <f>IFERROR(__xludf.DUMMYFUNCTION("""COMPUTED_VALUE"""),5175.63)</f>
        <v>5175.63</v>
      </c>
      <c r="I415" s="5">
        <f>IFERROR(__xludf.DUMMYFUNCTION("""COMPUTED_VALUE"""),6652.26)</f>
        <v>6652.26</v>
      </c>
      <c r="J415" s="5">
        <f>IFERROR(__xludf.DUMMYFUNCTION("""COMPUTED_VALUE"""),1322.78)</f>
        <v>1322.78</v>
      </c>
      <c r="K415" s="5">
        <f>IFERROR(__xludf.DUMMYFUNCTION("""COMPUTED_VALUE"""),7094.6)</f>
        <v>7094.6</v>
      </c>
      <c r="L415" s="4">
        <f>IFERROR(__xludf.DUMMYFUNCTION("""COMPUTED_VALUE"""),10.0)</f>
        <v>10</v>
      </c>
      <c r="M415" s="4">
        <f>IFERROR(__xludf.DUMMYFUNCTION("""COMPUTED_VALUE"""),4.0)</f>
        <v>4</v>
      </c>
      <c r="N415" s="2" t="str">
        <f>IFERROR(__xludf.DUMMYFUNCTION("""COMPUTED_VALUE"""),"VERDADERO")</f>
        <v>VERDADERO</v>
      </c>
    </row>
    <row r="416">
      <c r="A416" s="2">
        <f>IFERROR(__xludf.DUMMYFUNCTION("""COMPUTED_VALUE"""),415.0)</f>
        <v>415</v>
      </c>
      <c r="B416" s="2" t="str">
        <f>IFERROR(__xludf.DUMMYFUNCTION("""COMPUTED_VALUE"""),"Alina Newhouse")</f>
        <v>Alina Newhouse</v>
      </c>
      <c r="C416" s="2" t="str">
        <f>IFERROR(__xludf.DUMMYFUNCTION("""COMPUTED_VALUE"""),"anewhousebj@sohu.com")</f>
        <v>anewhousebj@sohu.com</v>
      </c>
      <c r="D416" s="4">
        <f>IFERROR(__xludf.DUMMYFUNCTION("""COMPUTED_VALUE"""),55.0)</f>
        <v>55</v>
      </c>
      <c r="E416" s="4">
        <f>IFERROR(__xludf.DUMMYFUNCTION("""COMPUTED_VALUE"""),64.0)</f>
        <v>64</v>
      </c>
      <c r="F416" s="4">
        <f>IFERROR(__xludf.DUMMYFUNCTION("""COMPUTED_VALUE"""),4.0)</f>
        <v>4</v>
      </c>
      <c r="G416" s="4">
        <f>IFERROR(__xludf.DUMMYFUNCTION("""COMPUTED_VALUE"""),677.0)</f>
        <v>677</v>
      </c>
      <c r="H416" s="5">
        <f>IFERROR(__xludf.DUMMYFUNCTION("""COMPUTED_VALUE"""),2628.65)</f>
        <v>2628.65</v>
      </c>
      <c r="I416" s="5">
        <f>IFERROR(__xludf.DUMMYFUNCTION("""COMPUTED_VALUE"""),3780.15)</f>
        <v>3780.15</v>
      </c>
      <c r="J416" s="5">
        <f>IFERROR(__xludf.DUMMYFUNCTION("""COMPUTED_VALUE"""),731.07)</f>
        <v>731.07</v>
      </c>
      <c r="K416" s="5">
        <f>IFERROR(__xludf.DUMMYFUNCTION("""COMPUTED_VALUE"""),1534.9)</f>
        <v>1534.9</v>
      </c>
      <c r="L416" s="4">
        <f>IFERROR(__xludf.DUMMYFUNCTION("""COMPUTED_VALUE"""),8.0)</f>
        <v>8</v>
      </c>
      <c r="M416" s="4">
        <f>IFERROR(__xludf.DUMMYFUNCTION("""COMPUTED_VALUE"""),69.0)</f>
        <v>69</v>
      </c>
      <c r="N416" s="2" t="str">
        <f>IFERROR(__xludf.DUMMYFUNCTION("""COMPUTED_VALUE"""),"VERDADERO")</f>
        <v>VERDADERO</v>
      </c>
    </row>
    <row r="417">
      <c r="A417" s="2">
        <f>IFERROR(__xludf.DUMMYFUNCTION("""COMPUTED_VALUE"""),416.0)</f>
        <v>416</v>
      </c>
      <c r="B417" s="2" t="str">
        <f>IFERROR(__xludf.DUMMYFUNCTION("""COMPUTED_VALUE"""),"Maryl Gingles")</f>
        <v>Maryl Gingles</v>
      </c>
      <c r="C417" s="2" t="str">
        <f>IFERROR(__xludf.DUMMYFUNCTION("""COMPUTED_VALUE"""),"mginglesbk@vkontakte.ru")</f>
        <v>mginglesbk@vkontakte.ru</v>
      </c>
      <c r="D417" s="4">
        <f>IFERROR(__xludf.DUMMYFUNCTION("""COMPUTED_VALUE"""),24.0)</f>
        <v>24</v>
      </c>
      <c r="E417" s="4">
        <f>IFERROR(__xludf.DUMMYFUNCTION("""COMPUTED_VALUE"""),48.0)</f>
        <v>48</v>
      </c>
      <c r="F417" s="4">
        <f>IFERROR(__xludf.DUMMYFUNCTION("""COMPUTED_VALUE"""),4.0)</f>
        <v>4</v>
      </c>
      <c r="G417" s="4">
        <f>IFERROR(__xludf.DUMMYFUNCTION("""COMPUTED_VALUE"""),1331.0)</f>
        <v>1331</v>
      </c>
      <c r="H417" s="5">
        <f>IFERROR(__xludf.DUMMYFUNCTION("""COMPUTED_VALUE"""),2103.08)</f>
        <v>2103.08</v>
      </c>
      <c r="I417" s="5">
        <f>IFERROR(__xludf.DUMMYFUNCTION("""COMPUTED_VALUE"""),1037.02)</f>
        <v>1037.02</v>
      </c>
      <c r="J417" s="5">
        <f>IFERROR(__xludf.DUMMYFUNCTION("""COMPUTED_VALUE"""),9602.92)</f>
        <v>9602.92</v>
      </c>
      <c r="K417" s="5">
        <f>IFERROR(__xludf.DUMMYFUNCTION("""COMPUTED_VALUE"""),3187.63)</f>
        <v>3187.63</v>
      </c>
      <c r="L417" s="4">
        <f>IFERROR(__xludf.DUMMYFUNCTION("""COMPUTED_VALUE"""),8.0)</f>
        <v>8</v>
      </c>
      <c r="M417" s="4">
        <f>IFERROR(__xludf.DUMMYFUNCTION("""COMPUTED_VALUE"""),94.0)</f>
        <v>94</v>
      </c>
      <c r="N417" s="2" t="str">
        <f>IFERROR(__xludf.DUMMYFUNCTION("""COMPUTED_VALUE"""),"VERDADERO")</f>
        <v>VERDADERO</v>
      </c>
    </row>
    <row r="418">
      <c r="A418" s="2">
        <f>IFERROR(__xludf.DUMMYFUNCTION("""COMPUTED_VALUE"""),417.0)</f>
        <v>417</v>
      </c>
      <c r="B418" s="2" t="str">
        <f>IFERROR(__xludf.DUMMYFUNCTION("""COMPUTED_VALUE"""),"Regan Haizelden")</f>
        <v>Regan Haizelden</v>
      </c>
      <c r="C418" s="2" t="str">
        <f>IFERROR(__xludf.DUMMYFUNCTION("""COMPUTED_VALUE"""),"rhaizeldenbl@nih.gov")</f>
        <v>rhaizeldenbl@nih.gov</v>
      </c>
      <c r="D418" s="4">
        <f>IFERROR(__xludf.DUMMYFUNCTION("""COMPUTED_VALUE"""),29.0)</f>
        <v>29</v>
      </c>
      <c r="E418" s="4">
        <f>IFERROR(__xludf.DUMMYFUNCTION("""COMPUTED_VALUE"""),67.0)</f>
        <v>67</v>
      </c>
      <c r="F418" s="4">
        <f>IFERROR(__xludf.DUMMYFUNCTION("""COMPUTED_VALUE"""),5.0)</f>
        <v>5</v>
      </c>
      <c r="G418" s="4">
        <f>IFERROR(__xludf.DUMMYFUNCTION("""COMPUTED_VALUE"""),1202.0)</f>
        <v>1202</v>
      </c>
      <c r="H418" s="5">
        <f>IFERROR(__xludf.DUMMYFUNCTION("""COMPUTED_VALUE"""),3620.8)</f>
        <v>3620.8</v>
      </c>
      <c r="I418" s="5">
        <f>IFERROR(__xludf.DUMMYFUNCTION("""COMPUTED_VALUE"""),4632.65)</f>
        <v>4632.65</v>
      </c>
      <c r="J418" s="5">
        <f>IFERROR(__xludf.DUMMYFUNCTION("""COMPUTED_VALUE"""),6571.45)</f>
        <v>6571.45</v>
      </c>
      <c r="K418" s="5">
        <f>IFERROR(__xludf.DUMMYFUNCTION("""COMPUTED_VALUE"""),9171.78)</f>
        <v>9171.78</v>
      </c>
      <c r="L418" s="4">
        <f>IFERROR(__xludf.DUMMYFUNCTION("""COMPUTED_VALUE"""),19.0)</f>
        <v>19</v>
      </c>
      <c r="M418" s="4">
        <f>IFERROR(__xludf.DUMMYFUNCTION("""COMPUTED_VALUE"""),71.0)</f>
        <v>71</v>
      </c>
      <c r="N418" s="2" t="str">
        <f>IFERROR(__xludf.DUMMYFUNCTION("""COMPUTED_VALUE"""),"FALSO")</f>
        <v>FALSO</v>
      </c>
    </row>
    <row r="419">
      <c r="A419" s="2">
        <f>IFERROR(__xludf.DUMMYFUNCTION("""COMPUTED_VALUE"""),418.0)</f>
        <v>418</v>
      </c>
      <c r="B419" s="2" t="str">
        <f>IFERROR(__xludf.DUMMYFUNCTION("""COMPUTED_VALUE"""),"Gracia Huett")</f>
        <v>Gracia Huett</v>
      </c>
      <c r="C419" s="2" t="str">
        <f>IFERROR(__xludf.DUMMYFUNCTION("""COMPUTED_VALUE"""),"ghuettbm@tamu.edu")</f>
        <v>ghuettbm@tamu.edu</v>
      </c>
      <c r="D419" s="4">
        <f>IFERROR(__xludf.DUMMYFUNCTION("""COMPUTED_VALUE"""),29.0)</f>
        <v>29</v>
      </c>
      <c r="E419" s="4">
        <f>IFERROR(__xludf.DUMMYFUNCTION("""COMPUTED_VALUE"""),81.0)</f>
        <v>81</v>
      </c>
      <c r="F419" s="4">
        <f>IFERROR(__xludf.DUMMYFUNCTION("""COMPUTED_VALUE"""),2.0)</f>
        <v>2</v>
      </c>
      <c r="G419" s="4">
        <f>IFERROR(__xludf.DUMMYFUNCTION("""COMPUTED_VALUE"""),433.0)</f>
        <v>433</v>
      </c>
      <c r="H419" s="5">
        <f>IFERROR(__xludf.DUMMYFUNCTION("""COMPUTED_VALUE"""),2065.8)</f>
        <v>2065.8</v>
      </c>
      <c r="I419" s="5">
        <f>IFERROR(__xludf.DUMMYFUNCTION("""COMPUTED_VALUE"""),91.96)</f>
        <v>91.96</v>
      </c>
      <c r="J419" s="5">
        <f>IFERROR(__xludf.DUMMYFUNCTION("""COMPUTED_VALUE"""),9991.63)</f>
        <v>9991.63</v>
      </c>
      <c r="K419" s="5">
        <f>IFERROR(__xludf.DUMMYFUNCTION("""COMPUTED_VALUE"""),7760.87)</f>
        <v>7760.87</v>
      </c>
      <c r="L419" s="4">
        <f>IFERROR(__xludf.DUMMYFUNCTION("""COMPUTED_VALUE"""),18.0)</f>
        <v>18</v>
      </c>
      <c r="M419" s="4">
        <f>IFERROR(__xludf.DUMMYFUNCTION("""COMPUTED_VALUE"""),60.0)</f>
        <v>60</v>
      </c>
      <c r="N419" s="2" t="str">
        <f>IFERROR(__xludf.DUMMYFUNCTION("""COMPUTED_VALUE"""),"VERDADERO")</f>
        <v>VERDADERO</v>
      </c>
    </row>
    <row r="420">
      <c r="A420" s="2">
        <f>IFERROR(__xludf.DUMMYFUNCTION("""COMPUTED_VALUE"""),419.0)</f>
        <v>419</v>
      </c>
      <c r="B420" s="2" t="str">
        <f>IFERROR(__xludf.DUMMYFUNCTION("""COMPUTED_VALUE"""),"Fionna Lambart")</f>
        <v>Fionna Lambart</v>
      </c>
      <c r="C420" s="2" t="str">
        <f>IFERROR(__xludf.DUMMYFUNCTION("""COMPUTED_VALUE"""),"flambartbn@example.com")</f>
        <v>flambartbn@example.com</v>
      </c>
      <c r="D420" s="4">
        <f>IFERROR(__xludf.DUMMYFUNCTION("""COMPUTED_VALUE"""),65.0)</f>
        <v>65</v>
      </c>
      <c r="E420" s="4">
        <f>IFERROR(__xludf.DUMMYFUNCTION("""COMPUTED_VALUE"""),81.0)</f>
        <v>81</v>
      </c>
      <c r="F420" s="4">
        <f>IFERROR(__xludf.DUMMYFUNCTION("""COMPUTED_VALUE"""),2.0)</f>
        <v>2</v>
      </c>
      <c r="G420" s="4">
        <f>IFERROR(__xludf.DUMMYFUNCTION("""COMPUTED_VALUE"""),807.0)</f>
        <v>807</v>
      </c>
      <c r="H420" s="5">
        <f>IFERROR(__xludf.DUMMYFUNCTION("""COMPUTED_VALUE"""),2856.35)</f>
        <v>2856.35</v>
      </c>
      <c r="I420" s="5">
        <f>IFERROR(__xludf.DUMMYFUNCTION("""COMPUTED_VALUE"""),242.22)</f>
        <v>242.22</v>
      </c>
      <c r="J420" s="5">
        <f>IFERROR(__xludf.DUMMYFUNCTION("""COMPUTED_VALUE"""),1926.35)</f>
        <v>1926.35</v>
      </c>
      <c r="K420" s="5">
        <f>IFERROR(__xludf.DUMMYFUNCTION("""COMPUTED_VALUE"""),8441.73)</f>
        <v>8441.73</v>
      </c>
      <c r="L420" s="4">
        <f>IFERROR(__xludf.DUMMYFUNCTION("""COMPUTED_VALUE"""),7.0)</f>
        <v>7</v>
      </c>
      <c r="M420" s="4">
        <f>IFERROR(__xludf.DUMMYFUNCTION("""COMPUTED_VALUE"""),34.0)</f>
        <v>34</v>
      </c>
      <c r="N420" s="2" t="str">
        <f>IFERROR(__xludf.DUMMYFUNCTION("""COMPUTED_VALUE"""),"FALSO")</f>
        <v>FALSO</v>
      </c>
    </row>
    <row r="421">
      <c r="A421" s="2">
        <f>IFERROR(__xludf.DUMMYFUNCTION("""COMPUTED_VALUE"""),420.0)</f>
        <v>420</v>
      </c>
      <c r="B421" s="2" t="str">
        <f>IFERROR(__xludf.DUMMYFUNCTION("""COMPUTED_VALUE"""),"Gennifer Callicott")</f>
        <v>Gennifer Callicott</v>
      </c>
      <c r="C421" s="2" t="str">
        <f>IFERROR(__xludf.DUMMYFUNCTION("""COMPUTED_VALUE"""),"gcallicottbo@taobao.com")</f>
        <v>gcallicottbo@taobao.com</v>
      </c>
      <c r="D421" s="4">
        <f>IFERROR(__xludf.DUMMYFUNCTION("""COMPUTED_VALUE"""),29.0)</f>
        <v>29</v>
      </c>
      <c r="E421" s="4">
        <f>IFERROR(__xludf.DUMMYFUNCTION("""COMPUTED_VALUE"""),21.0)</f>
        <v>21</v>
      </c>
      <c r="F421" s="4">
        <f>IFERROR(__xludf.DUMMYFUNCTION("""COMPUTED_VALUE"""),12.0)</f>
        <v>12</v>
      </c>
      <c r="G421" s="4">
        <f>IFERROR(__xludf.DUMMYFUNCTION("""COMPUTED_VALUE"""),1198.0)</f>
        <v>1198</v>
      </c>
      <c r="H421" s="5">
        <f>IFERROR(__xludf.DUMMYFUNCTION("""COMPUTED_VALUE"""),3668.43)</f>
        <v>3668.43</v>
      </c>
      <c r="I421" s="5">
        <f>IFERROR(__xludf.DUMMYFUNCTION("""COMPUTED_VALUE"""),3252.67)</f>
        <v>3252.67</v>
      </c>
      <c r="J421" s="5">
        <f>IFERROR(__xludf.DUMMYFUNCTION("""COMPUTED_VALUE"""),8584.65)</f>
        <v>8584.65</v>
      </c>
      <c r="K421" s="5">
        <f>IFERROR(__xludf.DUMMYFUNCTION("""COMPUTED_VALUE"""),1835.21)</f>
        <v>1835.21</v>
      </c>
      <c r="L421" s="4">
        <f>IFERROR(__xludf.DUMMYFUNCTION("""COMPUTED_VALUE"""),3.0)</f>
        <v>3</v>
      </c>
      <c r="M421" s="4">
        <f>IFERROR(__xludf.DUMMYFUNCTION("""COMPUTED_VALUE"""),46.0)</f>
        <v>46</v>
      </c>
      <c r="N421" s="2" t="str">
        <f>IFERROR(__xludf.DUMMYFUNCTION("""COMPUTED_VALUE"""),"FALSO")</f>
        <v>FALSO</v>
      </c>
    </row>
    <row r="422">
      <c r="A422" s="2">
        <f>IFERROR(__xludf.DUMMYFUNCTION("""COMPUTED_VALUE"""),421.0)</f>
        <v>421</v>
      </c>
      <c r="B422" s="2" t="str">
        <f>IFERROR(__xludf.DUMMYFUNCTION("""COMPUTED_VALUE"""),"Evelyn Arnald")</f>
        <v>Evelyn Arnald</v>
      </c>
      <c r="C422" s="2" t="str">
        <f>IFERROR(__xludf.DUMMYFUNCTION("""COMPUTED_VALUE"""),"earnaldbp@nydailynews.com")</f>
        <v>earnaldbp@nydailynews.com</v>
      </c>
      <c r="D422" s="4">
        <f>IFERROR(__xludf.DUMMYFUNCTION("""COMPUTED_VALUE"""),120.0)</f>
        <v>120</v>
      </c>
      <c r="E422" s="4">
        <f>IFERROR(__xludf.DUMMYFUNCTION("""COMPUTED_VALUE"""),81.0)</f>
        <v>81</v>
      </c>
      <c r="F422" s="4">
        <f>IFERROR(__xludf.DUMMYFUNCTION("""COMPUTED_VALUE"""),2.0)</f>
        <v>2</v>
      </c>
      <c r="G422" s="4">
        <f>IFERROR(__xludf.DUMMYFUNCTION("""COMPUTED_VALUE"""),586.0)</f>
        <v>586</v>
      </c>
      <c r="H422" s="5">
        <f>IFERROR(__xludf.DUMMYFUNCTION("""COMPUTED_VALUE"""),3993.36)</f>
        <v>3993.36</v>
      </c>
      <c r="I422" s="5">
        <f>IFERROR(__xludf.DUMMYFUNCTION("""COMPUTED_VALUE"""),5089.67)</f>
        <v>5089.67</v>
      </c>
      <c r="J422" s="5">
        <f>IFERROR(__xludf.DUMMYFUNCTION("""COMPUTED_VALUE"""),4209.1)</f>
        <v>4209.1</v>
      </c>
      <c r="K422" s="5">
        <f>IFERROR(__xludf.DUMMYFUNCTION("""COMPUTED_VALUE"""),5919.16)</f>
        <v>5919.16</v>
      </c>
      <c r="L422" s="4">
        <f>IFERROR(__xludf.DUMMYFUNCTION("""COMPUTED_VALUE"""),5.0)</f>
        <v>5</v>
      </c>
      <c r="M422" s="4">
        <f>IFERROR(__xludf.DUMMYFUNCTION("""COMPUTED_VALUE"""),23.0)</f>
        <v>23</v>
      </c>
      <c r="N422" s="2" t="str">
        <f>IFERROR(__xludf.DUMMYFUNCTION("""COMPUTED_VALUE"""),"VERDADERO")</f>
        <v>VERDADERO</v>
      </c>
    </row>
    <row r="423">
      <c r="A423" s="2">
        <f>IFERROR(__xludf.DUMMYFUNCTION("""COMPUTED_VALUE"""),422.0)</f>
        <v>422</v>
      </c>
      <c r="B423" s="2" t="str">
        <f>IFERROR(__xludf.DUMMYFUNCTION("""COMPUTED_VALUE"""),"Blakeley Turvie")</f>
        <v>Blakeley Turvie</v>
      </c>
      <c r="C423" s="2" t="str">
        <f>IFERROR(__xludf.DUMMYFUNCTION("""COMPUTED_VALUE"""),"bturviebq@huffingtonpost.com")</f>
        <v>bturviebq@huffingtonpost.com</v>
      </c>
      <c r="D423" s="4">
        <f>IFERROR(__xludf.DUMMYFUNCTION("""COMPUTED_VALUE"""),120.0)</f>
        <v>120</v>
      </c>
      <c r="E423" s="4">
        <f>IFERROR(__xludf.DUMMYFUNCTION("""COMPUTED_VALUE"""),21.0)</f>
        <v>21</v>
      </c>
      <c r="F423" s="4">
        <f>IFERROR(__xludf.DUMMYFUNCTION("""COMPUTED_VALUE"""),12.0)</f>
        <v>12</v>
      </c>
      <c r="G423" s="4">
        <f>IFERROR(__xludf.DUMMYFUNCTION("""COMPUTED_VALUE"""),962.0)</f>
        <v>962</v>
      </c>
      <c r="H423" s="5">
        <f>IFERROR(__xludf.DUMMYFUNCTION("""COMPUTED_VALUE"""),5093.56)</f>
        <v>5093.56</v>
      </c>
      <c r="I423" s="5">
        <f>IFERROR(__xludf.DUMMYFUNCTION("""COMPUTED_VALUE"""),8027.56)</f>
        <v>8027.56</v>
      </c>
      <c r="J423" s="5">
        <f>IFERROR(__xludf.DUMMYFUNCTION("""COMPUTED_VALUE"""),6043.64)</f>
        <v>6043.64</v>
      </c>
      <c r="K423" s="5">
        <f>IFERROR(__xludf.DUMMYFUNCTION("""COMPUTED_VALUE"""),6329.87)</f>
        <v>6329.87</v>
      </c>
      <c r="L423" s="4">
        <f>IFERROR(__xludf.DUMMYFUNCTION("""COMPUTED_VALUE"""),3.0)</f>
        <v>3</v>
      </c>
      <c r="M423" s="4">
        <f>IFERROR(__xludf.DUMMYFUNCTION("""COMPUTED_VALUE"""),56.0)</f>
        <v>56</v>
      </c>
      <c r="N423" s="2" t="str">
        <f>IFERROR(__xludf.DUMMYFUNCTION("""COMPUTED_VALUE"""),"FALSO")</f>
        <v>FALSO</v>
      </c>
    </row>
    <row r="424">
      <c r="A424" s="2">
        <f>IFERROR(__xludf.DUMMYFUNCTION("""COMPUTED_VALUE"""),423.0)</f>
        <v>423</v>
      </c>
      <c r="B424" s="2" t="str">
        <f>IFERROR(__xludf.DUMMYFUNCTION("""COMPUTED_VALUE"""),"Joyce Hinge")</f>
        <v>Joyce Hinge</v>
      </c>
      <c r="C424" s="2" t="str">
        <f>IFERROR(__xludf.DUMMYFUNCTION("""COMPUTED_VALUE"""),"jhingebr@domainmarket.com")</f>
        <v>jhingebr@domainmarket.com</v>
      </c>
      <c r="D424" s="4">
        <f>IFERROR(__xludf.DUMMYFUNCTION("""COMPUTED_VALUE"""),71.0)</f>
        <v>71</v>
      </c>
      <c r="E424" s="4">
        <f>IFERROR(__xludf.DUMMYFUNCTION("""COMPUTED_VALUE"""),12.0)</f>
        <v>12</v>
      </c>
      <c r="F424" s="4">
        <f>IFERROR(__xludf.DUMMYFUNCTION("""COMPUTED_VALUE"""),6.0)</f>
        <v>6</v>
      </c>
      <c r="G424" s="4">
        <f>IFERROR(__xludf.DUMMYFUNCTION("""COMPUTED_VALUE"""),145.0)</f>
        <v>145</v>
      </c>
      <c r="H424" s="5">
        <f>IFERROR(__xludf.DUMMYFUNCTION("""COMPUTED_VALUE"""),4542.29)</f>
        <v>4542.29</v>
      </c>
      <c r="I424" s="5">
        <f>IFERROR(__xludf.DUMMYFUNCTION("""COMPUTED_VALUE"""),3113.46)</f>
        <v>3113.46</v>
      </c>
      <c r="J424" s="5">
        <f>IFERROR(__xludf.DUMMYFUNCTION("""COMPUTED_VALUE"""),3704.06)</f>
        <v>3704.06</v>
      </c>
      <c r="K424" s="5">
        <f>IFERROR(__xludf.DUMMYFUNCTION("""COMPUTED_VALUE"""),1954.84)</f>
        <v>1954.84</v>
      </c>
      <c r="L424" s="4">
        <f>IFERROR(__xludf.DUMMYFUNCTION("""COMPUTED_VALUE"""),8.0)</f>
        <v>8</v>
      </c>
      <c r="M424" s="4">
        <f>IFERROR(__xludf.DUMMYFUNCTION("""COMPUTED_VALUE"""),59.0)</f>
        <v>59</v>
      </c>
      <c r="N424" s="2" t="str">
        <f>IFERROR(__xludf.DUMMYFUNCTION("""COMPUTED_VALUE"""),"VERDADERO")</f>
        <v>VERDADERO</v>
      </c>
    </row>
    <row r="425">
      <c r="A425" s="2">
        <f>IFERROR(__xludf.DUMMYFUNCTION("""COMPUTED_VALUE"""),424.0)</f>
        <v>424</v>
      </c>
      <c r="B425" s="2" t="str">
        <f>IFERROR(__xludf.DUMMYFUNCTION("""COMPUTED_VALUE"""),"Lesly Lindermann")</f>
        <v>Lesly Lindermann</v>
      </c>
      <c r="C425" s="2" t="str">
        <f>IFERROR(__xludf.DUMMYFUNCTION("""COMPUTED_VALUE"""),"llindermannbs@ibm.com")</f>
        <v>llindermannbs@ibm.com</v>
      </c>
      <c r="D425" s="4">
        <f>IFERROR(__xludf.DUMMYFUNCTION("""COMPUTED_VALUE"""),29.0)</f>
        <v>29</v>
      </c>
      <c r="E425" s="4">
        <f>IFERROR(__xludf.DUMMYFUNCTION("""COMPUTED_VALUE"""),46.0)</f>
        <v>46</v>
      </c>
      <c r="F425" s="4">
        <f>IFERROR(__xludf.DUMMYFUNCTION("""COMPUTED_VALUE"""),13.0)</f>
        <v>13</v>
      </c>
      <c r="G425" s="4">
        <f>IFERROR(__xludf.DUMMYFUNCTION("""COMPUTED_VALUE"""),19.0)</f>
        <v>19</v>
      </c>
      <c r="H425" s="5">
        <f>IFERROR(__xludf.DUMMYFUNCTION("""COMPUTED_VALUE"""),6301.44)</f>
        <v>6301.44</v>
      </c>
      <c r="I425" s="5">
        <f>IFERROR(__xludf.DUMMYFUNCTION("""COMPUTED_VALUE"""),3489.7)</f>
        <v>3489.7</v>
      </c>
      <c r="J425" s="5">
        <f>IFERROR(__xludf.DUMMYFUNCTION("""COMPUTED_VALUE"""),4436.29)</f>
        <v>4436.29</v>
      </c>
      <c r="K425" s="5">
        <f>IFERROR(__xludf.DUMMYFUNCTION("""COMPUTED_VALUE"""),7469.95)</f>
        <v>7469.95</v>
      </c>
      <c r="L425" s="4">
        <f>IFERROR(__xludf.DUMMYFUNCTION("""COMPUTED_VALUE"""),17.0)</f>
        <v>17</v>
      </c>
      <c r="M425" s="4">
        <f>IFERROR(__xludf.DUMMYFUNCTION("""COMPUTED_VALUE"""),37.0)</f>
        <v>37</v>
      </c>
      <c r="N425" s="2" t="str">
        <f>IFERROR(__xludf.DUMMYFUNCTION("""COMPUTED_VALUE"""),"VERDADERO")</f>
        <v>VERDADERO</v>
      </c>
    </row>
    <row r="426">
      <c r="A426" s="2">
        <f>IFERROR(__xludf.DUMMYFUNCTION("""COMPUTED_VALUE"""),425.0)</f>
        <v>425</v>
      </c>
      <c r="B426" s="2" t="str">
        <f>IFERROR(__xludf.DUMMYFUNCTION("""COMPUTED_VALUE"""),"Caprice Huish")</f>
        <v>Caprice Huish</v>
      </c>
      <c r="C426" s="2" t="str">
        <f>IFERROR(__xludf.DUMMYFUNCTION("""COMPUTED_VALUE"""),"chuishbt@fda.gov")</f>
        <v>chuishbt@fda.gov</v>
      </c>
      <c r="D426" s="4">
        <f>IFERROR(__xludf.DUMMYFUNCTION("""COMPUTED_VALUE"""),156.0)</f>
        <v>156</v>
      </c>
      <c r="E426" s="4">
        <f>IFERROR(__xludf.DUMMYFUNCTION("""COMPUTED_VALUE"""),119.0)</f>
        <v>119</v>
      </c>
      <c r="F426" s="4">
        <f>IFERROR(__xludf.DUMMYFUNCTION("""COMPUTED_VALUE"""),9.0)</f>
        <v>9</v>
      </c>
      <c r="G426" s="4">
        <f>IFERROR(__xludf.DUMMYFUNCTION("""COMPUTED_VALUE"""),1069.0)</f>
        <v>1069</v>
      </c>
      <c r="H426" s="5">
        <f>IFERROR(__xludf.DUMMYFUNCTION("""COMPUTED_VALUE"""),2263.71)</f>
        <v>2263.71</v>
      </c>
      <c r="I426" s="5">
        <f>IFERROR(__xludf.DUMMYFUNCTION("""COMPUTED_VALUE"""),6588.58)</f>
        <v>6588.58</v>
      </c>
      <c r="J426" s="5">
        <f>IFERROR(__xludf.DUMMYFUNCTION("""COMPUTED_VALUE"""),3279.4)</f>
        <v>3279.4</v>
      </c>
      <c r="K426" s="5">
        <f>IFERROR(__xludf.DUMMYFUNCTION("""COMPUTED_VALUE"""),8746.33)</f>
        <v>8746.33</v>
      </c>
      <c r="L426" s="4">
        <f>IFERROR(__xludf.DUMMYFUNCTION("""COMPUTED_VALUE"""),3.0)</f>
        <v>3</v>
      </c>
      <c r="M426" s="4">
        <f>IFERROR(__xludf.DUMMYFUNCTION("""COMPUTED_VALUE"""),97.0)</f>
        <v>97</v>
      </c>
      <c r="N426" s="2" t="str">
        <f>IFERROR(__xludf.DUMMYFUNCTION("""COMPUTED_VALUE"""),"VERDADERO")</f>
        <v>VERDADERO</v>
      </c>
    </row>
    <row r="427">
      <c r="A427" s="2">
        <f>IFERROR(__xludf.DUMMYFUNCTION("""COMPUTED_VALUE"""),426.0)</f>
        <v>426</v>
      </c>
      <c r="B427" s="2" t="str">
        <f>IFERROR(__xludf.DUMMYFUNCTION("""COMPUTED_VALUE"""),"Guillaume Matteini")</f>
        <v>Guillaume Matteini</v>
      </c>
      <c r="C427" s="2" t="str">
        <f>IFERROR(__xludf.DUMMYFUNCTION("""COMPUTED_VALUE"""),"gmatteinibu@xinhuanet.com")</f>
        <v>gmatteinibu@xinhuanet.com</v>
      </c>
      <c r="D427" s="4">
        <f>IFERROR(__xludf.DUMMYFUNCTION("""COMPUTED_VALUE"""),141.0)</f>
        <v>141</v>
      </c>
      <c r="E427" s="4">
        <f>IFERROR(__xludf.DUMMYFUNCTION("""COMPUTED_VALUE"""),81.0)</f>
        <v>81</v>
      </c>
      <c r="F427" s="4">
        <f>IFERROR(__xludf.DUMMYFUNCTION("""COMPUTED_VALUE"""),2.0)</f>
        <v>2</v>
      </c>
      <c r="G427" s="4">
        <f>IFERROR(__xludf.DUMMYFUNCTION("""COMPUTED_VALUE"""),1040.0)</f>
        <v>1040</v>
      </c>
      <c r="H427" s="5">
        <f>IFERROR(__xludf.DUMMYFUNCTION("""COMPUTED_VALUE"""),5031.07)</f>
        <v>5031.07</v>
      </c>
      <c r="I427" s="5">
        <f>IFERROR(__xludf.DUMMYFUNCTION("""COMPUTED_VALUE"""),6004.35)</f>
        <v>6004.35</v>
      </c>
      <c r="J427" s="5">
        <f>IFERROR(__xludf.DUMMYFUNCTION("""COMPUTED_VALUE"""),8801.93)</f>
        <v>8801.93</v>
      </c>
      <c r="K427" s="5">
        <f>IFERROR(__xludf.DUMMYFUNCTION("""COMPUTED_VALUE"""),7930.83)</f>
        <v>7930.83</v>
      </c>
      <c r="L427" s="4">
        <f>IFERROR(__xludf.DUMMYFUNCTION("""COMPUTED_VALUE"""),13.0)</f>
        <v>13</v>
      </c>
      <c r="M427" s="4">
        <f>IFERROR(__xludf.DUMMYFUNCTION("""COMPUTED_VALUE"""),27.0)</f>
        <v>27</v>
      </c>
      <c r="N427" s="2" t="str">
        <f>IFERROR(__xludf.DUMMYFUNCTION("""COMPUTED_VALUE"""),"FALSO")</f>
        <v>FALSO</v>
      </c>
    </row>
    <row r="428">
      <c r="A428" s="2">
        <f>IFERROR(__xludf.DUMMYFUNCTION("""COMPUTED_VALUE"""),427.0)</f>
        <v>427</v>
      </c>
      <c r="B428" s="2" t="str">
        <f>IFERROR(__xludf.DUMMYFUNCTION("""COMPUTED_VALUE"""),"Dari Karolczyk")</f>
        <v>Dari Karolczyk</v>
      </c>
      <c r="C428" s="2" t="str">
        <f>IFERROR(__xludf.DUMMYFUNCTION("""COMPUTED_VALUE"""),"dkarolczykbv@zdnet.com")</f>
        <v>dkarolczykbv@zdnet.com</v>
      </c>
      <c r="D428" s="4">
        <f>IFERROR(__xludf.DUMMYFUNCTION("""COMPUTED_VALUE"""),65.0)</f>
        <v>65</v>
      </c>
      <c r="E428" s="4">
        <f>IFERROR(__xludf.DUMMYFUNCTION("""COMPUTED_VALUE"""),107.0)</f>
        <v>107</v>
      </c>
      <c r="F428" s="4">
        <f>IFERROR(__xludf.DUMMYFUNCTION("""COMPUTED_VALUE"""),5.0)</f>
        <v>5</v>
      </c>
      <c r="G428" s="4">
        <f>IFERROR(__xludf.DUMMYFUNCTION("""COMPUTED_VALUE"""),542.0)</f>
        <v>542</v>
      </c>
      <c r="H428" s="5">
        <f>IFERROR(__xludf.DUMMYFUNCTION("""COMPUTED_VALUE"""),6851.25)</f>
        <v>6851.25</v>
      </c>
      <c r="I428" s="5">
        <f>IFERROR(__xludf.DUMMYFUNCTION("""COMPUTED_VALUE"""),5971.92)</f>
        <v>5971.92</v>
      </c>
      <c r="J428" s="5">
        <f>IFERROR(__xludf.DUMMYFUNCTION("""COMPUTED_VALUE"""),6335.86)</f>
        <v>6335.86</v>
      </c>
      <c r="K428" s="5">
        <f>IFERROR(__xludf.DUMMYFUNCTION("""COMPUTED_VALUE"""),2070.54)</f>
        <v>2070.54</v>
      </c>
      <c r="L428" s="4">
        <f>IFERROR(__xludf.DUMMYFUNCTION("""COMPUTED_VALUE"""),3.0)</f>
        <v>3</v>
      </c>
      <c r="M428" s="4">
        <f>IFERROR(__xludf.DUMMYFUNCTION("""COMPUTED_VALUE"""),100.0)</f>
        <v>100</v>
      </c>
      <c r="N428" s="2" t="str">
        <f>IFERROR(__xludf.DUMMYFUNCTION("""COMPUTED_VALUE"""),"VERDADERO")</f>
        <v>VERDADERO</v>
      </c>
    </row>
    <row r="429">
      <c r="A429" s="2">
        <f>IFERROR(__xludf.DUMMYFUNCTION("""COMPUTED_VALUE"""),428.0)</f>
        <v>428</v>
      </c>
      <c r="B429" s="2" t="str">
        <f>IFERROR(__xludf.DUMMYFUNCTION("""COMPUTED_VALUE"""),"Waiter Voaden")</f>
        <v>Waiter Voaden</v>
      </c>
      <c r="C429" s="2" t="str">
        <f>IFERROR(__xludf.DUMMYFUNCTION("""COMPUTED_VALUE"""),"wvoadenbw@bluehost.com")</f>
        <v>wvoadenbw@bluehost.com</v>
      </c>
      <c r="D429" s="4">
        <f>IFERROR(__xludf.DUMMYFUNCTION("""COMPUTED_VALUE"""),124.0)</f>
        <v>124</v>
      </c>
      <c r="E429" s="4">
        <f>IFERROR(__xludf.DUMMYFUNCTION("""COMPUTED_VALUE"""),65.0)</f>
        <v>65</v>
      </c>
      <c r="F429" s="4">
        <f>IFERROR(__xludf.DUMMYFUNCTION("""COMPUTED_VALUE"""),9.0)</f>
        <v>9</v>
      </c>
      <c r="G429" s="4">
        <f>IFERROR(__xludf.DUMMYFUNCTION("""COMPUTED_VALUE"""),1263.0)</f>
        <v>1263</v>
      </c>
      <c r="H429" s="5">
        <f>IFERROR(__xludf.DUMMYFUNCTION("""COMPUTED_VALUE"""),9489.51)</f>
        <v>9489.51</v>
      </c>
      <c r="I429" s="5">
        <f>IFERROR(__xludf.DUMMYFUNCTION("""COMPUTED_VALUE"""),5531.62)</f>
        <v>5531.62</v>
      </c>
      <c r="J429" s="5">
        <f>IFERROR(__xludf.DUMMYFUNCTION("""COMPUTED_VALUE"""),2666.1)</f>
        <v>2666.1</v>
      </c>
      <c r="K429" s="5">
        <f>IFERROR(__xludf.DUMMYFUNCTION("""COMPUTED_VALUE"""),8553.79)</f>
        <v>8553.79</v>
      </c>
      <c r="L429" s="4">
        <f>IFERROR(__xludf.DUMMYFUNCTION("""COMPUTED_VALUE"""),15.0)</f>
        <v>15</v>
      </c>
      <c r="M429" s="4">
        <f>IFERROR(__xludf.DUMMYFUNCTION("""COMPUTED_VALUE"""),22.0)</f>
        <v>22</v>
      </c>
      <c r="N429" s="2" t="str">
        <f>IFERROR(__xludf.DUMMYFUNCTION("""COMPUTED_VALUE"""),"FALSO")</f>
        <v>FALSO</v>
      </c>
    </row>
    <row r="430">
      <c r="A430" s="2">
        <f>IFERROR(__xludf.DUMMYFUNCTION("""COMPUTED_VALUE"""),429.0)</f>
        <v>429</v>
      </c>
      <c r="B430" s="2" t="str">
        <f>IFERROR(__xludf.DUMMYFUNCTION("""COMPUTED_VALUE"""),"Dolley Andryushchenko")</f>
        <v>Dolley Andryushchenko</v>
      </c>
      <c r="C430" s="2" t="str">
        <f>IFERROR(__xludf.DUMMYFUNCTION("""COMPUTED_VALUE"""),"dandryushchenkobx@abc.net.au")</f>
        <v>dandryushchenkobx@abc.net.au</v>
      </c>
      <c r="D430" s="4">
        <f>IFERROR(__xludf.DUMMYFUNCTION("""COMPUTED_VALUE"""),5.0)</f>
        <v>5</v>
      </c>
      <c r="E430" s="4">
        <f>IFERROR(__xludf.DUMMYFUNCTION("""COMPUTED_VALUE"""),81.0)</f>
        <v>81</v>
      </c>
      <c r="F430" s="4">
        <f>IFERROR(__xludf.DUMMYFUNCTION("""COMPUTED_VALUE"""),2.0)</f>
        <v>2</v>
      </c>
      <c r="G430" s="4">
        <f>IFERROR(__xludf.DUMMYFUNCTION("""COMPUTED_VALUE"""),248.0)</f>
        <v>248</v>
      </c>
      <c r="H430" s="5">
        <f>IFERROR(__xludf.DUMMYFUNCTION("""COMPUTED_VALUE"""),6012.64)</f>
        <v>6012.64</v>
      </c>
      <c r="I430" s="5">
        <f>IFERROR(__xludf.DUMMYFUNCTION("""COMPUTED_VALUE"""),4726.3)</f>
        <v>4726.3</v>
      </c>
      <c r="J430" s="5">
        <f>IFERROR(__xludf.DUMMYFUNCTION("""COMPUTED_VALUE"""),247.14)</f>
        <v>247.14</v>
      </c>
      <c r="K430" s="5">
        <f>IFERROR(__xludf.DUMMYFUNCTION("""COMPUTED_VALUE"""),2165.85)</f>
        <v>2165.85</v>
      </c>
      <c r="L430" s="4">
        <f>IFERROR(__xludf.DUMMYFUNCTION("""COMPUTED_VALUE"""),3.0)</f>
        <v>3</v>
      </c>
      <c r="M430" s="4">
        <f>IFERROR(__xludf.DUMMYFUNCTION("""COMPUTED_VALUE"""),40.0)</f>
        <v>40</v>
      </c>
      <c r="N430" s="2" t="str">
        <f>IFERROR(__xludf.DUMMYFUNCTION("""COMPUTED_VALUE"""),"VERDADERO")</f>
        <v>VERDADERO</v>
      </c>
    </row>
    <row r="431">
      <c r="A431" s="2">
        <f>IFERROR(__xludf.DUMMYFUNCTION("""COMPUTED_VALUE"""),430.0)</f>
        <v>430</v>
      </c>
      <c r="B431" s="2" t="str">
        <f>IFERROR(__xludf.DUMMYFUNCTION("""COMPUTED_VALUE"""),"Phyllys Krystek")</f>
        <v>Phyllys Krystek</v>
      </c>
      <c r="C431" s="2" t="str">
        <f>IFERROR(__xludf.DUMMYFUNCTION("""COMPUTED_VALUE"""),"pkrystekby@samsung.com")</f>
        <v>pkrystekby@samsung.com</v>
      </c>
      <c r="D431" s="4">
        <f>IFERROR(__xludf.DUMMYFUNCTION("""COMPUTED_VALUE"""),17.0)</f>
        <v>17</v>
      </c>
      <c r="E431" s="4">
        <f>IFERROR(__xludf.DUMMYFUNCTION("""COMPUTED_VALUE"""),81.0)</f>
        <v>81</v>
      </c>
      <c r="F431" s="4">
        <f>IFERROR(__xludf.DUMMYFUNCTION("""COMPUTED_VALUE"""),2.0)</f>
        <v>2</v>
      </c>
      <c r="G431" s="4">
        <f>IFERROR(__xludf.DUMMYFUNCTION("""COMPUTED_VALUE"""),483.0)</f>
        <v>483</v>
      </c>
      <c r="H431" s="5">
        <f>IFERROR(__xludf.DUMMYFUNCTION("""COMPUTED_VALUE"""),2057.16)</f>
        <v>2057.16</v>
      </c>
      <c r="I431" s="5">
        <f>IFERROR(__xludf.DUMMYFUNCTION("""COMPUTED_VALUE"""),2617.01)</f>
        <v>2617.01</v>
      </c>
      <c r="J431" s="5">
        <f>IFERROR(__xludf.DUMMYFUNCTION("""COMPUTED_VALUE"""),6675.04)</f>
        <v>6675.04</v>
      </c>
      <c r="K431" s="5">
        <f>IFERROR(__xludf.DUMMYFUNCTION("""COMPUTED_VALUE"""),8690.03)</f>
        <v>8690.03</v>
      </c>
      <c r="L431" s="4">
        <f>IFERROR(__xludf.DUMMYFUNCTION("""COMPUTED_VALUE"""),5.0)</f>
        <v>5</v>
      </c>
      <c r="M431" s="4">
        <f>IFERROR(__xludf.DUMMYFUNCTION("""COMPUTED_VALUE"""),86.0)</f>
        <v>86</v>
      </c>
      <c r="N431" s="2" t="str">
        <f>IFERROR(__xludf.DUMMYFUNCTION("""COMPUTED_VALUE"""),"VERDADERO")</f>
        <v>VERDADERO</v>
      </c>
    </row>
    <row r="432">
      <c r="A432" s="2">
        <f>IFERROR(__xludf.DUMMYFUNCTION("""COMPUTED_VALUE"""),431.0)</f>
        <v>431</v>
      </c>
      <c r="B432" s="2" t="str">
        <f>IFERROR(__xludf.DUMMYFUNCTION("""COMPUTED_VALUE"""),"Meggy Aspey")</f>
        <v>Meggy Aspey</v>
      </c>
      <c r="C432" s="2" t="str">
        <f>IFERROR(__xludf.DUMMYFUNCTION("""COMPUTED_VALUE"""),"maspeybz@privacy.gov.au")</f>
        <v>maspeybz@privacy.gov.au</v>
      </c>
      <c r="D432" s="4">
        <f>IFERROR(__xludf.DUMMYFUNCTION("""COMPUTED_VALUE"""),29.0)</f>
        <v>29</v>
      </c>
      <c r="E432" s="4">
        <f>IFERROR(__xludf.DUMMYFUNCTION("""COMPUTED_VALUE"""),72.0)</f>
        <v>72</v>
      </c>
      <c r="F432" s="4">
        <f>IFERROR(__xludf.DUMMYFUNCTION("""COMPUTED_VALUE"""),6.0)</f>
        <v>6</v>
      </c>
      <c r="G432" s="4">
        <f>IFERROR(__xludf.DUMMYFUNCTION("""COMPUTED_VALUE"""),368.0)</f>
        <v>368</v>
      </c>
      <c r="H432" s="5">
        <f>IFERROR(__xludf.DUMMYFUNCTION("""COMPUTED_VALUE"""),5219.36)</f>
        <v>5219.36</v>
      </c>
      <c r="I432" s="5">
        <f>IFERROR(__xludf.DUMMYFUNCTION("""COMPUTED_VALUE"""),1562.19)</f>
        <v>1562.19</v>
      </c>
      <c r="J432" s="5">
        <f>IFERROR(__xludf.DUMMYFUNCTION("""COMPUTED_VALUE"""),7321.42)</f>
        <v>7321.42</v>
      </c>
      <c r="K432" s="5">
        <f>IFERROR(__xludf.DUMMYFUNCTION("""COMPUTED_VALUE"""),8307.27)</f>
        <v>8307.27</v>
      </c>
      <c r="L432" s="4">
        <f>IFERROR(__xludf.DUMMYFUNCTION("""COMPUTED_VALUE"""),8.0)</f>
        <v>8</v>
      </c>
      <c r="M432" s="4">
        <f>IFERROR(__xludf.DUMMYFUNCTION("""COMPUTED_VALUE"""),88.0)</f>
        <v>88</v>
      </c>
      <c r="N432" s="2" t="str">
        <f>IFERROR(__xludf.DUMMYFUNCTION("""COMPUTED_VALUE"""),"FALSO")</f>
        <v>FALSO</v>
      </c>
    </row>
    <row r="433">
      <c r="A433" s="2">
        <f>IFERROR(__xludf.DUMMYFUNCTION("""COMPUTED_VALUE"""),432.0)</f>
        <v>432</v>
      </c>
      <c r="B433" s="2" t="str">
        <f>IFERROR(__xludf.DUMMYFUNCTION("""COMPUTED_VALUE"""),"Hobey Prandi")</f>
        <v>Hobey Prandi</v>
      </c>
      <c r="C433" s="2" t="str">
        <f>IFERROR(__xludf.DUMMYFUNCTION("""COMPUTED_VALUE"""),"hprandic0@merriam-webster.com")</f>
        <v>hprandic0@merriam-webster.com</v>
      </c>
      <c r="D433" s="4">
        <f>IFERROR(__xludf.DUMMYFUNCTION("""COMPUTED_VALUE"""),73.0)</f>
        <v>73</v>
      </c>
      <c r="E433" s="4">
        <f>IFERROR(__xludf.DUMMYFUNCTION("""COMPUTED_VALUE"""),107.0)</f>
        <v>107</v>
      </c>
      <c r="F433" s="4">
        <f>IFERROR(__xludf.DUMMYFUNCTION("""COMPUTED_VALUE"""),5.0)</f>
        <v>5</v>
      </c>
      <c r="G433" s="4">
        <f>IFERROR(__xludf.DUMMYFUNCTION("""COMPUTED_VALUE"""),1244.0)</f>
        <v>1244</v>
      </c>
      <c r="H433" s="5">
        <f>IFERROR(__xludf.DUMMYFUNCTION("""COMPUTED_VALUE"""),9786.05)</f>
        <v>9786.05</v>
      </c>
      <c r="I433" s="5">
        <f>IFERROR(__xludf.DUMMYFUNCTION("""COMPUTED_VALUE"""),9935.92)</f>
        <v>9935.92</v>
      </c>
      <c r="J433" s="5">
        <f>IFERROR(__xludf.DUMMYFUNCTION("""COMPUTED_VALUE"""),8554.38)</f>
        <v>8554.38</v>
      </c>
      <c r="K433" s="5">
        <f>IFERROR(__xludf.DUMMYFUNCTION("""COMPUTED_VALUE"""),2376.92)</f>
        <v>2376.92</v>
      </c>
      <c r="L433" s="4">
        <f>IFERROR(__xludf.DUMMYFUNCTION("""COMPUTED_VALUE"""),3.0)</f>
        <v>3</v>
      </c>
      <c r="M433" s="4">
        <f>IFERROR(__xludf.DUMMYFUNCTION("""COMPUTED_VALUE"""),30.0)</f>
        <v>30</v>
      </c>
      <c r="N433" s="2" t="str">
        <f>IFERROR(__xludf.DUMMYFUNCTION("""COMPUTED_VALUE"""),"VERDADERO")</f>
        <v>VERDADERO</v>
      </c>
    </row>
    <row r="434">
      <c r="A434" s="2">
        <f>IFERROR(__xludf.DUMMYFUNCTION("""COMPUTED_VALUE"""),433.0)</f>
        <v>433</v>
      </c>
      <c r="B434" s="2" t="str">
        <f>IFERROR(__xludf.DUMMYFUNCTION("""COMPUTED_VALUE"""),"Carroll Wint")</f>
        <v>Carroll Wint</v>
      </c>
      <c r="C434" s="2" t="str">
        <f>IFERROR(__xludf.DUMMYFUNCTION("""COMPUTED_VALUE"""),"cwintc1@theatlantic.com")</f>
        <v>cwintc1@theatlantic.com</v>
      </c>
      <c r="D434" s="4">
        <f>IFERROR(__xludf.DUMMYFUNCTION("""COMPUTED_VALUE"""),65.0)</f>
        <v>65</v>
      </c>
      <c r="E434" s="4">
        <f>IFERROR(__xludf.DUMMYFUNCTION("""COMPUTED_VALUE"""),63.0)</f>
        <v>63</v>
      </c>
      <c r="F434" s="4">
        <f>IFERROR(__xludf.DUMMYFUNCTION("""COMPUTED_VALUE"""),4.0)</f>
        <v>4</v>
      </c>
      <c r="G434" s="4">
        <f>IFERROR(__xludf.DUMMYFUNCTION("""COMPUTED_VALUE"""),140.0)</f>
        <v>140</v>
      </c>
      <c r="H434" s="5">
        <f>IFERROR(__xludf.DUMMYFUNCTION("""COMPUTED_VALUE"""),5508.87)</f>
        <v>5508.87</v>
      </c>
      <c r="I434" s="5">
        <f>IFERROR(__xludf.DUMMYFUNCTION("""COMPUTED_VALUE"""),9951.24)</f>
        <v>9951.24</v>
      </c>
      <c r="J434" s="5">
        <f>IFERROR(__xludf.DUMMYFUNCTION("""COMPUTED_VALUE"""),7027.54)</f>
        <v>7027.54</v>
      </c>
      <c r="K434" s="5">
        <f>IFERROR(__xludf.DUMMYFUNCTION("""COMPUTED_VALUE"""),1832.51)</f>
        <v>1832.51</v>
      </c>
      <c r="L434" s="4">
        <f>IFERROR(__xludf.DUMMYFUNCTION("""COMPUTED_VALUE"""),12.0)</f>
        <v>12</v>
      </c>
      <c r="M434" s="4">
        <f>IFERROR(__xludf.DUMMYFUNCTION("""COMPUTED_VALUE"""),93.0)</f>
        <v>93</v>
      </c>
      <c r="N434" s="2" t="str">
        <f>IFERROR(__xludf.DUMMYFUNCTION("""COMPUTED_VALUE"""),"FALSO")</f>
        <v>FALSO</v>
      </c>
    </row>
    <row r="435">
      <c r="A435" s="2">
        <f>IFERROR(__xludf.DUMMYFUNCTION("""COMPUTED_VALUE"""),434.0)</f>
        <v>434</v>
      </c>
      <c r="B435" s="2" t="str">
        <f>IFERROR(__xludf.DUMMYFUNCTION("""COMPUTED_VALUE"""),"Gusella Pawfoot")</f>
        <v>Gusella Pawfoot</v>
      </c>
      <c r="C435" s="2" t="str">
        <f>IFERROR(__xludf.DUMMYFUNCTION("""COMPUTED_VALUE"""),"gpawfootc2@dropbox.com")</f>
        <v>gpawfootc2@dropbox.com</v>
      </c>
      <c r="D435" s="4">
        <f>IFERROR(__xludf.DUMMYFUNCTION("""COMPUTED_VALUE"""),145.0)</f>
        <v>145</v>
      </c>
      <c r="E435" s="4">
        <f>IFERROR(__xludf.DUMMYFUNCTION("""COMPUTED_VALUE"""),29.0)</f>
        <v>29</v>
      </c>
      <c r="F435" s="4">
        <f>IFERROR(__xludf.DUMMYFUNCTION("""COMPUTED_VALUE"""),11.0)</f>
        <v>11</v>
      </c>
      <c r="G435" s="4">
        <f>IFERROR(__xludf.DUMMYFUNCTION("""COMPUTED_VALUE"""),157.0)</f>
        <v>157</v>
      </c>
      <c r="H435" s="5">
        <f>IFERROR(__xludf.DUMMYFUNCTION("""COMPUTED_VALUE"""),2090.37)</f>
        <v>2090.37</v>
      </c>
      <c r="I435" s="5">
        <f>IFERROR(__xludf.DUMMYFUNCTION("""COMPUTED_VALUE"""),9913.5)</f>
        <v>9913.5</v>
      </c>
      <c r="J435" s="5">
        <f>IFERROR(__xludf.DUMMYFUNCTION("""COMPUTED_VALUE"""),5914.3)</f>
        <v>5914.3</v>
      </c>
      <c r="K435" s="5">
        <f>IFERROR(__xludf.DUMMYFUNCTION("""COMPUTED_VALUE"""),4098.59)</f>
        <v>4098.59</v>
      </c>
      <c r="L435" s="4">
        <f>IFERROR(__xludf.DUMMYFUNCTION("""COMPUTED_VALUE"""),20.0)</f>
        <v>20</v>
      </c>
      <c r="M435" s="4">
        <f>IFERROR(__xludf.DUMMYFUNCTION("""COMPUTED_VALUE"""),61.0)</f>
        <v>61</v>
      </c>
      <c r="N435" s="2" t="str">
        <f>IFERROR(__xludf.DUMMYFUNCTION("""COMPUTED_VALUE"""),"FALSO")</f>
        <v>FALSO</v>
      </c>
    </row>
    <row r="436">
      <c r="A436" s="2">
        <f>IFERROR(__xludf.DUMMYFUNCTION("""COMPUTED_VALUE"""),435.0)</f>
        <v>435</v>
      </c>
      <c r="B436" s="2" t="str">
        <f>IFERROR(__xludf.DUMMYFUNCTION("""COMPUTED_VALUE"""),"Clevie Hookes")</f>
        <v>Clevie Hookes</v>
      </c>
      <c r="C436" s="2" t="str">
        <f>IFERROR(__xludf.DUMMYFUNCTION("""COMPUTED_VALUE"""),"chookesc3@virginia.edu")</f>
        <v>chookesc3@virginia.edu</v>
      </c>
      <c r="D436" s="4">
        <f>IFERROR(__xludf.DUMMYFUNCTION("""COMPUTED_VALUE"""),81.0)</f>
        <v>81</v>
      </c>
      <c r="E436" s="4">
        <f>IFERROR(__xludf.DUMMYFUNCTION("""COMPUTED_VALUE"""),81.0)</f>
        <v>81</v>
      </c>
      <c r="F436" s="4">
        <f>IFERROR(__xludf.DUMMYFUNCTION("""COMPUTED_VALUE"""),2.0)</f>
        <v>2</v>
      </c>
      <c r="G436" s="4">
        <f>IFERROR(__xludf.DUMMYFUNCTION("""COMPUTED_VALUE"""),204.0)</f>
        <v>204</v>
      </c>
      <c r="H436" s="5">
        <f>IFERROR(__xludf.DUMMYFUNCTION("""COMPUTED_VALUE"""),2782.29)</f>
        <v>2782.29</v>
      </c>
      <c r="I436" s="5">
        <f>IFERROR(__xludf.DUMMYFUNCTION("""COMPUTED_VALUE"""),6645.88)</f>
        <v>6645.88</v>
      </c>
      <c r="J436" s="5">
        <f>IFERROR(__xludf.DUMMYFUNCTION("""COMPUTED_VALUE"""),3287.81)</f>
        <v>3287.81</v>
      </c>
      <c r="K436" s="5">
        <f>IFERROR(__xludf.DUMMYFUNCTION("""COMPUTED_VALUE"""),1559.42)</f>
        <v>1559.42</v>
      </c>
      <c r="L436" s="4">
        <f>IFERROR(__xludf.DUMMYFUNCTION("""COMPUTED_VALUE"""),7.0)</f>
        <v>7</v>
      </c>
      <c r="M436" s="4">
        <f>IFERROR(__xludf.DUMMYFUNCTION("""COMPUTED_VALUE"""),55.0)</f>
        <v>55</v>
      </c>
      <c r="N436" s="2" t="str">
        <f>IFERROR(__xludf.DUMMYFUNCTION("""COMPUTED_VALUE"""),"FALSO")</f>
        <v>FALSO</v>
      </c>
    </row>
    <row r="437">
      <c r="A437" s="2">
        <f>IFERROR(__xludf.DUMMYFUNCTION("""COMPUTED_VALUE"""),436.0)</f>
        <v>436</v>
      </c>
      <c r="B437" s="2" t="str">
        <f>IFERROR(__xludf.DUMMYFUNCTION("""COMPUTED_VALUE"""),"Isadore Surphliss")</f>
        <v>Isadore Surphliss</v>
      </c>
      <c r="C437" s="2" t="str">
        <f>IFERROR(__xludf.DUMMYFUNCTION("""COMPUTED_VALUE"""),"isurphlissc4@blogtalkradio.com")</f>
        <v>isurphlissc4@blogtalkradio.com</v>
      </c>
      <c r="D437" s="4">
        <f>IFERROR(__xludf.DUMMYFUNCTION("""COMPUTED_VALUE"""),65.0)</f>
        <v>65</v>
      </c>
      <c r="E437" s="4">
        <f>IFERROR(__xludf.DUMMYFUNCTION("""COMPUTED_VALUE"""),107.0)</f>
        <v>107</v>
      </c>
      <c r="F437" s="4">
        <f>IFERROR(__xludf.DUMMYFUNCTION("""COMPUTED_VALUE"""),5.0)</f>
        <v>5</v>
      </c>
      <c r="G437" s="4">
        <f>IFERROR(__xludf.DUMMYFUNCTION("""COMPUTED_VALUE"""),1204.0)</f>
        <v>1204</v>
      </c>
      <c r="H437" s="5">
        <f>IFERROR(__xludf.DUMMYFUNCTION("""COMPUTED_VALUE"""),8280.02)</f>
        <v>8280.02</v>
      </c>
      <c r="I437" s="5">
        <f>IFERROR(__xludf.DUMMYFUNCTION("""COMPUTED_VALUE"""),3793.24)</f>
        <v>3793.24</v>
      </c>
      <c r="J437" s="5">
        <f>IFERROR(__xludf.DUMMYFUNCTION("""COMPUTED_VALUE"""),7055.93)</f>
        <v>7055.93</v>
      </c>
      <c r="K437" s="5">
        <f>IFERROR(__xludf.DUMMYFUNCTION("""COMPUTED_VALUE"""),3175.78)</f>
        <v>3175.78</v>
      </c>
      <c r="L437" s="4">
        <f>IFERROR(__xludf.DUMMYFUNCTION("""COMPUTED_VALUE"""),10.0)</f>
        <v>10</v>
      </c>
      <c r="M437" s="4">
        <f>IFERROR(__xludf.DUMMYFUNCTION("""COMPUTED_VALUE"""),96.0)</f>
        <v>96</v>
      </c>
      <c r="N437" s="2" t="str">
        <f>IFERROR(__xludf.DUMMYFUNCTION("""COMPUTED_VALUE"""),"VERDADERO")</f>
        <v>VERDADERO</v>
      </c>
    </row>
    <row r="438">
      <c r="A438" s="2">
        <f>IFERROR(__xludf.DUMMYFUNCTION("""COMPUTED_VALUE"""),437.0)</f>
        <v>437</v>
      </c>
      <c r="B438" s="2" t="str">
        <f>IFERROR(__xludf.DUMMYFUNCTION("""COMPUTED_VALUE"""),"Alphard Bezley")</f>
        <v>Alphard Bezley</v>
      </c>
      <c r="C438" s="2" t="str">
        <f>IFERROR(__xludf.DUMMYFUNCTION("""COMPUTED_VALUE"""),"abezleyc5@wunderground.com")</f>
        <v>abezleyc5@wunderground.com</v>
      </c>
      <c r="D438" s="4">
        <f>IFERROR(__xludf.DUMMYFUNCTION("""COMPUTED_VALUE"""),119.0)</f>
        <v>119</v>
      </c>
      <c r="E438" s="4">
        <f>IFERROR(__xludf.DUMMYFUNCTION("""COMPUTED_VALUE"""),39.0)</f>
        <v>39</v>
      </c>
      <c r="F438" s="4">
        <f>IFERROR(__xludf.DUMMYFUNCTION("""COMPUTED_VALUE"""),11.0)</f>
        <v>11</v>
      </c>
      <c r="G438" s="4">
        <f>IFERROR(__xludf.DUMMYFUNCTION("""COMPUTED_VALUE"""),1167.0)</f>
        <v>1167</v>
      </c>
      <c r="H438" s="5">
        <f>IFERROR(__xludf.DUMMYFUNCTION("""COMPUTED_VALUE"""),9527.05)</f>
        <v>9527.05</v>
      </c>
      <c r="I438" s="5">
        <f>IFERROR(__xludf.DUMMYFUNCTION("""COMPUTED_VALUE"""),3246.36)</f>
        <v>3246.36</v>
      </c>
      <c r="J438" s="5">
        <f>IFERROR(__xludf.DUMMYFUNCTION("""COMPUTED_VALUE"""),7726.97)</f>
        <v>7726.97</v>
      </c>
      <c r="K438" s="5">
        <f>IFERROR(__xludf.DUMMYFUNCTION("""COMPUTED_VALUE"""),7979.71)</f>
        <v>7979.71</v>
      </c>
      <c r="L438" s="4">
        <f>IFERROR(__xludf.DUMMYFUNCTION("""COMPUTED_VALUE"""),7.0)</f>
        <v>7</v>
      </c>
      <c r="M438" s="4">
        <f>IFERROR(__xludf.DUMMYFUNCTION("""COMPUTED_VALUE"""),74.0)</f>
        <v>74</v>
      </c>
      <c r="N438" s="2" t="str">
        <f>IFERROR(__xludf.DUMMYFUNCTION("""COMPUTED_VALUE"""),"VERDADERO")</f>
        <v>VERDADERO</v>
      </c>
    </row>
    <row r="439">
      <c r="A439" s="2">
        <f>IFERROR(__xludf.DUMMYFUNCTION("""COMPUTED_VALUE"""),438.0)</f>
        <v>438</v>
      </c>
      <c r="B439" s="2" t="str">
        <f>IFERROR(__xludf.DUMMYFUNCTION("""COMPUTED_VALUE"""),"Blakeley Spadazzi")</f>
        <v>Blakeley Spadazzi</v>
      </c>
      <c r="C439" s="2" t="str">
        <f>IFERROR(__xludf.DUMMYFUNCTION("""COMPUTED_VALUE"""),"bspadazzic6@google.ca")</f>
        <v>bspadazzic6@google.ca</v>
      </c>
      <c r="D439" s="4">
        <f>IFERROR(__xludf.DUMMYFUNCTION("""COMPUTED_VALUE"""),121.0)</f>
        <v>121</v>
      </c>
      <c r="E439" s="4">
        <f>IFERROR(__xludf.DUMMYFUNCTION("""COMPUTED_VALUE"""),81.0)</f>
        <v>81</v>
      </c>
      <c r="F439" s="4">
        <f>IFERROR(__xludf.DUMMYFUNCTION("""COMPUTED_VALUE"""),2.0)</f>
        <v>2</v>
      </c>
      <c r="G439" s="4">
        <f>IFERROR(__xludf.DUMMYFUNCTION("""COMPUTED_VALUE"""),1147.0)</f>
        <v>1147</v>
      </c>
      <c r="H439" s="5">
        <f>IFERROR(__xludf.DUMMYFUNCTION("""COMPUTED_VALUE"""),8566.44)</f>
        <v>8566.44</v>
      </c>
      <c r="I439" s="5">
        <f>IFERROR(__xludf.DUMMYFUNCTION("""COMPUTED_VALUE"""),8409.06)</f>
        <v>8409.06</v>
      </c>
      <c r="J439" s="5">
        <f>IFERROR(__xludf.DUMMYFUNCTION("""COMPUTED_VALUE"""),521.14)</f>
        <v>521.14</v>
      </c>
      <c r="K439" s="5">
        <f>IFERROR(__xludf.DUMMYFUNCTION("""COMPUTED_VALUE"""),5477.27)</f>
        <v>5477.27</v>
      </c>
      <c r="L439" s="4">
        <f>IFERROR(__xludf.DUMMYFUNCTION("""COMPUTED_VALUE"""),4.0)</f>
        <v>4</v>
      </c>
      <c r="M439" s="4">
        <f>IFERROR(__xludf.DUMMYFUNCTION("""COMPUTED_VALUE"""),3.0)</f>
        <v>3</v>
      </c>
      <c r="N439" s="2" t="str">
        <f>IFERROR(__xludf.DUMMYFUNCTION("""COMPUTED_VALUE"""),"VERDADERO")</f>
        <v>VERDADERO</v>
      </c>
    </row>
    <row r="440">
      <c r="A440" s="2">
        <f>IFERROR(__xludf.DUMMYFUNCTION("""COMPUTED_VALUE"""),439.0)</f>
        <v>439</v>
      </c>
      <c r="B440" s="2" t="str">
        <f>IFERROR(__xludf.DUMMYFUNCTION("""COMPUTED_VALUE"""),"Tomas Wibrew")</f>
        <v>Tomas Wibrew</v>
      </c>
      <c r="C440" s="2" t="str">
        <f>IFERROR(__xludf.DUMMYFUNCTION("""COMPUTED_VALUE"""),"twibrewc7@yellowbook.com")</f>
        <v>twibrewc7@yellowbook.com</v>
      </c>
      <c r="D440" s="4">
        <f>IFERROR(__xludf.DUMMYFUNCTION("""COMPUTED_VALUE"""),122.0)</f>
        <v>122</v>
      </c>
      <c r="E440" s="4">
        <f>IFERROR(__xludf.DUMMYFUNCTION("""COMPUTED_VALUE"""),90.0)</f>
        <v>90</v>
      </c>
      <c r="F440" s="4">
        <f>IFERROR(__xludf.DUMMYFUNCTION("""COMPUTED_VALUE"""),5.0)</f>
        <v>5</v>
      </c>
      <c r="G440" s="4">
        <f>IFERROR(__xludf.DUMMYFUNCTION("""COMPUTED_VALUE"""),101.0)</f>
        <v>101</v>
      </c>
      <c r="H440" s="5">
        <f>IFERROR(__xludf.DUMMYFUNCTION("""COMPUTED_VALUE"""),9158.46)</f>
        <v>9158.46</v>
      </c>
      <c r="I440" s="5">
        <f>IFERROR(__xludf.DUMMYFUNCTION("""COMPUTED_VALUE"""),9044.4)</f>
        <v>9044.4</v>
      </c>
      <c r="J440" s="5">
        <f>IFERROR(__xludf.DUMMYFUNCTION("""COMPUTED_VALUE"""),9923.23)</f>
        <v>9923.23</v>
      </c>
      <c r="K440" s="5">
        <f>IFERROR(__xludf.DUMMYFUNCTION("""COMPUTED_VALUE"""),530.15)</f>
        <v>530.15</v>
      </c>
      <c r="L440" s="4">
        <f>IFERROR(__xludf.DUMMYFUNCTION("""COMPUTED_VALUE"""),10.0)</f>
        <v>10</v>
      </c>
      <c r="M440" s="4">
        <f>IFERROR(__xludf.DUMMYFUNCTION("""COMPUTED_VALUE"""),90.0)</f>
        <v>90</v>
      </c>
      <c r="N440" s="2" t="str">
        <f>IFERROR(__xludf.DUMMYFUNCTION("""COMPUTED_VALUE"""),"FALSO")</f>
        <v>FALSO</v>
      </c>
    </row>
    <row r="441">
      <c r="A441" s="2">
        <f>IFERROR(__xludf.DUMMYFUNCTION("""COMPUTED_VALUE"""),440.0)</f>
        <v>440</v>
      </c>
      <c r="B441" s="2" t="str">
        <f>IFERROR(__xludf.DUMMYFUNCTION("""COMPUTED_VALUE"""),"Venita Mathiassen")</f>
        <v>Venita Mathiassen</v>
      </c>
      <c r="C441" s="2" t="str">
        <f>IFERROR(__xludf.DUMMYFUNCTION("""COMPUTED_VALUE"""),"vmathiassenc8@newsvine.com")</f>
        <v>vmathiassenc8@newsvine.com</v>
      </c>
      <c r="D441" s="4">
        <f>IFERROR(__xludf.DUMMYFUNCTION("""COMPUTED_VALUE"""),24.0)</f>
        <v>24</v>
      </c>
      <c r="E441" s="4">
        <f>IFERROR(__xludf.DUMMYFUNCTION("""COMPUTED_VALUE"""),40.0)</f>
        <v>40</v>
      </c>
      <c r="F441" s="4">
        <f>IFERROR(__xludf.DUMMYFUNCTION("""COMPUTED_VALUE"""),1.0)</f>
        <v>1</v>
      </c>
      <c r="G441" s="4">
        <f>IFERROR(__xludf.DUMMYFUNCTION("""COMPUTED_VALUE"""),1313.0)</f>
        <v>1313</v>
      </c>
      <c r="H441" s="5">
        <f>IFERROR(__xludf.DUMMYFUNCTION("""COMPUTED_VALUE"""),8227.89)</f>
        <v>8227.89</v>
      </c>
      <c r="I441" s="5">
        <f>IFERROR(__xludf.DUMMYFUNCTION("""COMPUTED_VALUE"""),8728.92)</f>
        <v>8728.92</v>
      </c>
      <c r="J441" s="5">
        <f>IFERROR(__xludf.DUMMYFUNCTION("""COMPUTED_VALUE"""),2253.03)</f>
        <v>2253.03</v>
      </c>
      <c r="K441" s="5">
        <f>IFERROR(__xludf.DUMMYFUNCTION("""COMPUTED_VALUE"""),6770.55)</f>
        <v>6770.55</v>
      </c>
      <c r="L441" s="4">
        <f>IFERROR(__xludf.DUMMYFUNCTION("""COMPUTED_VALUE"""),15.0)</f>
        <v>15</v>
      </c>
      <c r="M441" s="4">
        <f>IFERROR(__xludf.DUMMYFUNCTION("""COMPUTED_VALUE"""),38.0)</f>
        <v>38</v>
      </c>
      <c r="N441" s="2" t="str">
        <f>IFERROR(__xludf.DUMMYFUNCTION("""COMPUTED_VALUE"""),"FALSO")</f>
        <v>FALSO</v>
      </c>
    </row>
    <row r="442">
      <c r="A442" s="2">
        <f>IFERROR(__xludf.DUMMYFUNCTION("""COMPUTED_VALUE"""),441.0)</f>
        <v>441</v>
      </c>
      <c r="B442" s="2" t="str">
        <f>IFERROR(__xludf.DUMMYFUNCTION("""COMPUTED_VALUE"""),"Fowler Filkov")</f>
        <v>Fowler Filkov</v>
      </c>
      <c r="C442" s="2" t="str">
        <f>IFERROR(__xludf.DUMMYFUNCTION("""COMPUTED_VALUE"""),"ffilkovc9@forbes.com")</f>
        <v>ffilkovc9@forbes.com</v>
      </c>
      <c r="D442" s="4">
        <f>IFERROR(__xludf.DUMMYFUNCTION("""COMPUTED_VALUE"""),132.0)</f>
        <v>132</v>
      </c>
      <c r="E442" s="4">
        <f>IFERROR(__xludf.DUMMYFUNCTION("""COMPUTED_VALUE"""),11.0)</f>
        <v>11</v>
      </c>
      <c r="F442" s="4">
        <f>IFERROR(__xludf.DUMMYFUNCTION("""COMPUTED_VALUE"""),13.0)</f>
        <v>13</v>
      </c>
      <c r="G442" s="4">
        <f>IFERROR(__xludf.DUMMYFUNCTION("""COMPUTED_VALUE"""),1447.0)</f>
        <v>1447</v>
      </c>
      <c r="H442" s="5">
        <f>IFERROR(__xludf.DUMMYFUNCTION("""COMPUTED_VALUE"""),8870.43)</f>
        <v>8870.43</v>
      </c>
      <c r="I442" s="5">
        <f>IFERROR(__xludf.DUMMYFUNCTION("""COMPUTED_VALUE"""),1456.83)</f>
        <v>1456.83</v>
      </c>
      <c r="J442" s="5">
        <f>IFERROR(__xludf.DUMMYFUNCTION("""COMPUTED_VALUE"""),7920.32)</f>
        <v>7920.32</v>
      </c>
      <c r="K442" s="5">
        <f>IFERROR(__xludf.DUMMYFUNCTION("""COMPUTED_VALUE"""),1735.49)</f>
        <v>1735.49</v>
      </c>
      <c r="L442" s="4">
        <f>IFERROR(__xludf.DUMMYFUNCTION("""COMPUTED_VALUE"""),8.0)</f>
        <v>8</v>
      </c>
      <c r="M442" s="4">
        <f>IFERROR(__xludf.DUMMYFUNCTION("""COMPUTED_VALUE"""),53.0)</f>
        <v>53</v>
      </c>
      <c r="N442" s="2" t="str">
        <f>IFERROR(__xludf.DUMMYFUNCTION("""COMPUTED_VALUE"""),"FALSO")</f>
        <v>FALSO</v>
      </c>
    </row>
    <row r="443">
      <c r="A443" s="2">
        <f>IFERROR(__xludf.DUMMYFUNCTION("""COMPUTED_VALUE"""),442.0)</f>
        <v>442</v>
      </c>
      <c r="B443" s="2" t="str">
        <f>IFERROR(__xludf.DUMMYFUNCTION("""COMPUTED_VALUE"""),"Mahmoud Egginton")</f>
        <v>Mahmoud Egginton</v>
      </c>
      <c r="C443" s="2" t="str">
        <f>IFERROR(__xludf.DUMMYFUNCTION("""COMPUTED_VALUE"""),"meggintonca@unblog.fr")</f>
        <v>meggintonca@unblog.fr</v>
      </c>
      <c r="D443" s="4">
        <f>IFERROR(__xludf.DUMMYFUNCTION("""COMPUTED_VALUE"""),65.0)</f>
        <v>65</v>
      </c>
      <c r="E443" s="4">
        <f>IFERROR(__xludf.DUMMYFUNCTION("""COMPUTED_VALUE"""),12.0)</f>
        <v>12</v>
      </c>
      <c r="F443" s="4">
        <f>IFERROR(__xludf.DUMMYFUNCTION("""COMPUTED_VALUE"""),6.0)</f>
        <v>6</v>
      </c>
      <c r="G443" s="4">
        <f>IFERROR(__xludf.DUMMYFUNCTION("""COMPUTED_VALUE"""),99.0)</f>
        <v>99</v>
      </c>
      <c r="H443" s="5">
        <f>IFERROR(__xludf.DUMMYFUNCTION("""COMPUTED_VALUE"""),2477.85)</f>
        <v>2477.85</v>
      </c>
      <c r="I443" s="5">
        <f>IFERROR(__xludf.DUMMYFUNCTION("""COMPUTED_VALUE"""),152.9)</f>
        <v>152.9</v>
      </c>
      <c r="J443" s="5">
        <f>IFERROR(__xludf.DUMMYFUNCTION("""COMPUTED_VALUE"""),7476.24)</f>
        <v>7476.24</v>
      </c>
      <c r="K443" s="5">
        <f>IFERROR(__xludf.DUMMYFUNCTION("""COMPUTED_VALUE"""),4846.05)</f>
        <v>4846.05</v>
      </c>
      <c r="L443" s="4">
        <f>IFERROR(__xludf.DUMMYFUNCTION("""COMPUTED_VALUE"""),16.0)</f>
        <v>16</v>
      </c>
      <c r="M443" s="4">
        <f>IFERROR(__xludf.DUMMYFUNCTION("""COMPUTED_VALUE"""),98.0)</f>
        <v>98</v>
      </c>
      <c r="N443" s="2" t="str">
        <f>IFERROR(__xludf.DUMMYFUNCTION("""COMPUTED_VALUE"""),"VERDADERO")</f>
        <v>VERDADERO</v>
      </c>
    </row>
    <row r="444">
      <c r="A444" s="2">
        <f>IFERROR(__xludf.DUMMYFUNCTION("""COMPUTED_VALUE"""),443.0)</f>
        <v>443</v>
      </c>
      <c r="B444" s="2" t="str">
        <f>IFERROR(__xludf.DUMMYFUNCTION("""COMPUTED_VALUE"""),"Nessie Devigne")</f>
        <v>Nessie Devigne</v>
      </c>
      <c r="C444" s="2" t="str">
        <f>IFERROR(__xludf.DUMMYFUNCTION("""COMPUTED_VALUE"""),"ndevignecb@netscape.com")</f>
        <v>ndevignecb@netscape.com</v>
      </c>
      <c r="D444" s="4">
        <f>IFERROR(__xludf.DUMMYFUNCTION("""COMPUTED_VALUE"""),2.0)</f>
        <v>2</v>
      </c>
      <c r="E444" s="4">
        <f>IFERROR(__xludf.DUMMYFUNCTION("""COMPUTED_VALUE"""),100.0)</f>
        <v>100</v>
      </c>
      <c r="F444" s="4">
        <f>IFERROR(__xludf.DUMMYFUNCTION("""COMPUTED_VALUE"""),9.0)</f>
        <v>9</v>
      </c>
      <c r="G444" s="4">
        <f>IFERROR(__xludf.DUMMYFUNCTION("""COMPUTED_VALUE"""),655.0)</f>
        <v>655</v>
      </c>
      <c r="H444" s="5">
        <f>IFERROR(__xludf.DUMMYFUNCTION("""COMPUTED_VALUE"""),8341.04)</f>
        <v>8341.04</v>
      </c>
      <c r="I444" s="5">
        <f>IFERROR(__xludf.DUMMYFUNCTION("""COMPUTED_VALUE"""),9055.5)</f>
        <v>9055.5</v>
      </c>
      <c r="J444" s="5">
        <f>IFERROR(__xludf.DUMMYFUNCTION("""COMPUTED_VALUE"""),2980.56)</f>
        <v>2980.56</v>
      </c>
      <c r="K444" s="5">
        <f>IFERROR(__xludf.DUMMYFUNCTION("""COMPUTED_VALUE"""),5064.79)</f>
        <v>5064.79</v>
      </c>
      <c r="L444" s="4">
        <f>IFERROR(__xludf.DUMMYFUNCTION("""COMPUTED_VALUE"""),18.0)</f>
        <v>18</v>
      </c>
      <c r="M444" s="4">
        <f>IFERROR(__xludf.DUMMYFUNCTION("""COMPUTED_VALUE"""),4.0)</f>
        <v>4</v>
      </c>
      <c r="N444" s="2" t="str">
        <f>IFERROR(__xludf.DUMMYFUNCTION("""COMPUTED_VALUE"""),"VERDADERO")</f>
        <v>VERDADERO</v>
      </c>
    </row>
    <row r="445">
      <c r="A445" s="2">
        <f>IFERROR(__xludf.DUMMYFUNCTION("""COMPUTED_VALUE"""),444.0)</f>
        <v>444</v>
      </c>
      <c r="B445" s="2" t="str">
        <f>IFERROR(__xludf.DUMMYFUNCTION("""COMPUTED_VALUE"""),"Sloane Laborde")</f>
        <v>Sloane Laborde</v>
      </c>
      <c r="C445" s="2" t="str">
        <f>IFERROR(__xludf.DUMMYFUNCTION("""COMPUTED_VALUE"""),"slabordecc@cbsnews.com")</f>
        <v>slabordecc@cbsnews.com</v>
      </c>
      <c r="D445" s="4">
        <f>IFERROR(__xludf.DUMMYFUNCTION("""COMPUTED_VALUE"""),153.0)</f>
        <v>153</v>
      </c>
      <c r="E445" s="4">
        <f>IFERROR(__xludf.DUMMYFUNCTION("""COMPUTED_VALUE"""),17.0)</f>
        <v>17</v>
      </c>
      <c r="F445" s="4">
        <f>IFERROR(__xludf.DUMMYFUNCTION("""COMPUTED_VALUE"""),5.0)</f>
        <v>5</v>
      </c>
      <c r="G445" s="4">
        <f>IFERROR(__xludf.DUMMYFUNCTION("""COMPUTED_VALUE"""),1114.0)</f>
        <v>1114</v>
      </c>
      <c r="H445" s="5">
        <f>IFERROR(__xludf.DUMMYFUNCTION("""COMPUTED_VALUE"""),5169.12)</f>
        <v>5169.12</v>
      </c>
      <c r="I445" s="5">
        <f>IFERROR(__xludf.DUMMYFUNCTION("""COMPUTED_VALUE"""),7809.51)</f>
        <v>7809.51</v>
      </c>
      <c r="J445" s="5">
        <f>IFERROR(__xludf.DUMMYFUNCTION("""COMPUTED_VALUE"""),9386.48)</f>
        <v>9386.48</v>
      </c>
      <c r="K445" s="5">
        <f>IFERROR(__xludf.DUMMYFUNCTION("""COMPUTED_VALUE"""),8030.4)</f>
        <v>8030.4</v>
      </c>
      <c r="L445" s="4">
        <f>IFERROR(__xludf.DUMMYFUNCTION("""COMPUTED_VALUE"""),20.0)</f>
        <v>20</v>
      </c>
      <c r="M445" s="4">
        <f>IFERROR(__xludf.DUMMYFUNCTION("""COMPUTED_VALUE"""),31.0)</f>
        <v>31</v>
      </c>
      <c r="N445" s="2" t="str">
        <f>IFERROR(__xludf.DUMMYFUNCTION("""COMPUTED_VALUE"""),"VERDADERO")</f>
        <v>VERDADERO</v>
      </c>
    </row>
    <row r="446">
      <c r="A446" s="2">
        <f>IFERROR(__xludf.DUMMYFUNCTION("""COMPUTED_VALUE"""),445.0)</f>
        <v>445</v>
      </c>
      <c r="B446" s="2" t="str">
        <f>IFERROR(__xludf.DUMMYFUNCTION("""COMPUTED_VALUE"""),"Penelope Osborne")</f>
        <v>Penelope Osborne</v>
      </c>
      <c r="C446" s="2" t="str">
        <f>IFERROR(__xludf.DUMMYFUNCTION("""COMPUTED_VALUE"""),"posbornecd@nps.gov")</f>
        <v>posbornecd@nps.gov</v>
      </c>
      <c r="D446" s="4">
        <f>IFERROR(__xludf.DUMMYFUNCTION("""COMPUTED_VALUE"""),137.0)</f>
        <v>137</v>
      </c>
      <c r="E446" s="4">
        <f>IFERROR(__xludf.DUMMYFUNCTION("""COMPUTED_VALUE"""),81.0)</f>
        <v>81</v>
      </c>
      <c r="F446" s="4">
        <f>IFERROR(__xludf.DUMMYFUNCTION("""COMPUTED_VALUE"""),2.0)</f>
        <v>2</v>
      </c>
      <c r="G446" s="4">
        <f>IFERROR(__xludf.DUMMYFUNCTION("""COMPUTED_VALUE"""),614.0)</f>
        <v>614</v>
      </c>
      <c r="H446" s="5">
        <f>IFERROR(__xludf.DUMMYFUNCTION("""COMPUTED_VALUE"""),3620.28)</f>
        <v>3620.28</v>
      </c>
      <c r="I446" s="5">
        <f>IFERROR(__xludf.DUMMYFUNCTION("""COMPUTED_VALUE"""),7509.51)</f>
        <v>7509.51</v>
      </c>
      <c r="J446" s="5">
        <f>IFERROR(__xludf.DUMMYFUNCTION("""COMPUTED_VALUE"""),3322.15)</f>
        <v>3322.15</v>
      </c>
      <c r="K446" s="5">
        <f>IFERROR(__xludf.DUMMYFUNCTION("""COMPUTED_VALUE"""),4762.74)</f>
        <v>4762.74</v>
      </c>
      <c r="L446" s="4">
        <f>IFERROR(__xludf.DUMMYFUNCTION("""COMPUTED_VALUE"""),19.0)</f>
        <v>19</v>
      </c>
      <c r="M446" s="4">
        <f>IFERROR(__xludf.DUMMYFUNCTION("""COMPUTED_VALUE"""),41.0)</f>
        <v>41</v>
      </c>
      <c r="N446" s="2" t="str">
        <f>IFERROR(__xludf.DUMMYFUNCTION("""COMPUTED_VALUE"""),"FALSO")</f>
        <v>FALSO</v>
      </c>
    </row>
    <row r="447">
      <c r="A447" s="2">
        <f>IFERROR(__xludf.DUMMYFUNCTION("""COMPUTED_VALUE"""),446.0)</f>
        <v>446</v>
      </c>
      <c r="B447" s="2" t="str">
        <f>IFERROR(__xludf.DUMMYFUNCTION("""COMPUTED_VALUE"""),"Bertha Wackley")</f>
        <v>Bertha Wackley</v>
      </c>
      <c r="C447" s="2" t="str">
        <f>IFERROR(__xludf.DUMMYFUNCTION("""COMPUTED_VALUE"""),"bwackleyce@fastcompany.com")</f>
        <v>bwackleyce@fastcompany.com</v>
      </c>
      <c r="D447" s="4">
        <f>IFERROR(__xludf.DUMMYFUNCTION("""COMPUTED_VALUE"""),87.0)</f>
        <v>87</v>
      </c>
      <c r="E447" s="4">
        <f>IFERROR(__xludf.DUMMYFUNCTION("""COMPUTED_VALUE"""),66.0)</f>
        <v>66</v>
      </c>
      <c r="F447" s="4">
        <f>IFERROR(__xludf.DUMMYFUNCTION("""COMPUTED_VALUE"""),6.0)</f>
        <v>6</v>
      </c>
      <c r="G447" s="4">
        <f>IFERROR(__xludf.DUMMYFUNCTION("""COMPUTED_VALUE"""),1180.0)</f>
        <v>1180</v>
      </c>
      <c r="H447" s="5">
        <f>IFERROR(__xludf.DUMMYFUNCTION("""COMPUTED_VALUE"""),5502.72)</f>
        <v>5502.72</v>
      </c>
      <c r="I447" s="5">
        <f>IFERROR(__xludf.DUMMYFUNCTION("""COMPUTED_VALUE"""),455.1)</f>
        <v>455.1</v>
      </c>
      <c r="J447" s="5">
        <f>IFERROR(__xludf.DUMMYFUNCTION("""COMPUTED_VALUE"""),2463.76)</f>
        <v>2463.76</v>
      </c>
      <c r="K447" s="5">
        <f>IFERROR(__xludf.DUMMYFUNCTION("""COMPUTED_VALUE"""),4285.49)</f>
        <v>4285.49</v>
      </c>
      <c r="L447" s="4">
        <f>IFERROR(__xludf.DUMMYFUNCTION("""COMPUTED_VALUE"""),6.0)</f>
        <v>6</v>
      </c>
      <c r="M447" s="4">
        <f>IFERROR(__xludf.DUMMYFUNCTION("""COMPUTED_VALUE"""),25.0)</f>
        <v>25</v>
      </c>
      <c r="N447" s="2" t="str">
        <f>IFERROR(__xludf.DUMMYFUNCTION("""COMPUTED_VALUE"""),"FALSO")</f>
        <v>FALSO</v>
      </c>
    </row>
    <row r="448">
      <c r="A448" s="2">
        <f>IFERROR(__xludf.DUMMYFUNCTION("""COMPUTED_VALUE"""),447.0)</f>
        <v>447</v>
      </c>
      <c r="B448" s="2" t="str">
        <f>IFERROR(__xludf.DUMMYFUNCTION("""COMPUTED_VALUE"""),"Crysta Kildale")</f>
        <v>Crysta Kildale</v>
      </c>
      <c r="C448" s="2" t="str">
        <f>IFERROR(__xludf.DUMMYFUNCTION("""COMPUTED_VALUE"""),"ckildalecf@bbb.org")</f>
        <v>ckildalecf@bbb.org</v>
      </c>
      <c r="D448" s="4">
        <f>IFERROR(__xludf.DUMMYFUNCTION("""COMPUTED_VALUE"""),37.0)</f>
        <v>37</v>
      </c>
      <c r="E448" s="4">
        <f>IFERROR(__xludf.DUMMYFUNCTION("""COMPUTED_VALUE"""),112.0)</f>
        <v>112</v>
      </c>
      <c r="F448" s="4">
        <f>IFERROR(__xludf.DUMMYFUNCTION("""COMPUTED_VALUE"""),11.0)</f>
        <v>11</v>
      </c>
      <c r="G448" s="4">
        <f>IFERROR(__xludf.DUMMYFUNCTION("""COMPUTED_VALUE"""),929.0)</f>
        <v>929</v>
      </c>
      <c r="H448" s="5">
        <f>IFERROR(__xludf.DUMMYFUNCTION("""COMPUTED_VALUE"""),504.99)</f>
        <v>504.99</v>
      </c>
      <c r="I448" s="5">
        <f>IFERROR(__xludf.DUMMYFUNCTION("""COMPUTED_VALUE"""),2411.64)</f>
        <v>2411.64</v>
      </c>
      <c r="J448" s="5">
        <f>IFERROR(__xludf.DUMMYFUNCTION("""COMPUTED_VALUE"""),5568.31)</f>
        <v>5568.31</v>
      </c>
      <c r="K448" s="5">
        <f>IFERROR(__xludf.DUMMYFUNCTION("""COMPUTED_VALUE"""),1489.98)</f>
        <v>1489.98</v>
      </c>
      <c r="L448" s="4">
        <f>IFERROR(__xludf.DUMMYFUNCTION("""COMPUTED_VALUE"""),7.0)</f>
        <v>7</v>
      </c>
      <c r="M448" s="4">
        <f>IFERROR(__xludf.DUMMYFUNCTION("""COMPUTED_VALUE"""),21.0)</f>
        <v>21</v>
      </c>
      <c r="N448" s="2" t="str">
        <f>IFERROR(__xludf.DUMMYFUNCTION("""COMPUTED_VALUE"""),"FALSO")</f>
        <v>FALSO</v>
      </c>
    </row>
    <row r="449">
      <c r="A449" s="2">
        <f>IFERROR(__xludf.DUMMYFUNCTION("""COMPUTED_VALUE"""),448.0)</f>
        <v>448</v>
      </c>
      <c r="B449" s="2" t="str">
        <f>IFERROR(__xludf.DUMMYFUNCTION("""COMPUTED_VALUE"""),"Isabel Faivre")</f>
        <v>Isabel Faivre</v>
      </c>
      <c r="C449" s="2" t="str">
        <f>IFERROR(__xludf.DUMMYFUNCTION("""COMPUTED_VALUE"""),"ifaivrecg@dagondesign.com")</f>
        <v>ifaivrecg@dagondesign.com</v>
      </c>
      <c r="D449" s="4">
        <f>IFERROR(__xludf.DUMMYFUNCTION("""COMPUTED_VALUE"""),121.0)</f>
        <v>121</v>
      </c>
      <c r="E449" s="4">
        <f>IFERROR(__xludf.DUMMYFUNCTION("""COMPUTED_VALUE"""),81.0)</f>
        <v>81</v>
      </c>
      <c r="F449" s="4">
        <f>IFERROR(__xludf.DUMMYFUNCTION("""COMPUTED_VALUE"""),2.0)</f>
        <v>2</v>
      </c>
      <c r="G449" s="4">
        <f>IFERROR(__xludf.DUMMYFUNCTION("""COMPUTED_VALUE"""),248.0)</f>
        <v>248</v>
      </c>
      <c r="H449" s="5">
        <f>IFERROR(__xludf.DUMMYFUNCTION("""COMPUTED_VALUE"""),4794.66)</f>
        <v>4794.66</v>
      </c>
      <c r="I449" s="5">
        <f>IFERROR(__xludf.DUMMYFUNCTION("""COMPUTED_VALUE"""),3039.44)</f>
        <v>3039.44</v>
      </c>
      <c r="J449" s="5">
        <f>IFERROR(__xludf.DUMMYFUNCTION("""COMPUTED_VALUE"""),5173.15)</f>
        <v>5173.15</v>
      </c>
      <c r="K449" s="5">
        <f>IFERROR(__xludf.DUMMYFUNCTION("""COMPUTED_VALUE"""),8522.52)</f>
        <v>8522.52</v>
      </c>
      <c r="L449" s="4">
        <f>IFERROR(__xludf.DUMMYFUNCTION("""COMPUTED_VALUE"""),12.0)</f>
        <v>12</v>
      </c>
      <c r="M449" s="4">
        <f>IFERROR(__xludf.DUMMYFUNCTION("""COMPUTED_VALUE"""),96.0)</f>
        <v>96</v>
      </c>
      <c r="N449" s="2" t="str">
        <f>IFERROR(__xludf.DUMMYFUNCTION("""COMPUTED_VALUE"""),"VERDADERO")</f>
        <v>VERDADERO</v>
      </c>
    </row>
    <row r="450">
      <c r="A450" s="2">
        <f>IFERROR(__xludf.DUMMYFUNCTION("""COMPUTED_VALUE"""),449.0)</f>
        <v>449</v>
      </c>
      <c r="B450" s="2" t="str">
        <f>IFERROR(__xludf.DUMMYFUNCTION("""COMPUTED_VALUE"""),"Annabell Hritzko")</f>
        <v>Annabell Hritzko</v>
      </c>
      <c r="C450" s="2" t="str">
        <f>IFERROR(__xludf.DUMMYFUNCTION("""COMPUTED_VALUE"""),"ahritzkoch@columbia.edu")</f>
        <v>ahritzkoch@columbia.edu</v>
      </c>
      <c r="D450" s="4">
        <f>IFERROR(__xludf.DUMMYFUNCTION("""COMPUTED_VALUE"""),65.0)</f>
        <v>65</v>
      </c>
      <c r="E450" s="4">
        <f>IFERROR(__xludf.DUMMYFUNCTION("""COMPUTED_VALUE"""),29.0)</f>
        <v>29</v>
      </c>
      <c r="F450" s="4">
        <f>IFERROR(__xludf.DUMMYFUNCTION("""COMPUTED_VALUE"""),11.0)</f>
        <v>11</v>
      </c>
      <c r="G450" s="4">
        <f>IFERROR(__xludf.DUMMYFUNCTION("""COMPUTED_VALUE"""),199.0)</f>
        <v>199</v>
      </c>
      <c r="H450" s="5">
        <f>IFERROR(__xludf.DUMMYFUNCTION("""COMPUTED_VALUE"""),8265.34)</f>
        <v>8265.34</v>
      </c>
      <c r="I450" s="5">
        <f>IFERROR(__xludf.DUMMYFUNCTION("""COMPUTED_VALUE"""),8458.48)</f>
        <v>8458.48</v>
      </c>
      <c r="J450" s="5">
        <f>IFERROR(__xludf.DUMMYFUNCTION("""COMPUTED_VALUE"""),366.48)</f>
        <v>366.48</v>
      </c>
      <c r="K450" s="5">
        <f>IFERROR(__xludf.DUMMYFUNCTION("""COMPUTED_VALUE"""),296.98)</f>
        <v>296.98</v>
      </c>
      <c r="L450" s="4">
        <f>IFERROR(__xludf.DUMMYFUNCTION("""COMPUTED_VALUE"""),1.0)</f>
        <v>1</v>
      </c>
      <c r="M450" s="4">
        <f>IFERROR(__xludf.DUMMYFUNCTION("""COMPUTED_VALUE"""),24.0)</f>
        <v>24</v>
      </c>
      <c r="N450" s="2" t="str">
        <f>IFERROR(__xludf.DUMMYFUNCTION("""COMPUTED_VALUE"""),"FALSO")</f>
        <v>FALSO</v>
      </c>
    </row>
    <row r="451">
      <c r="A451" s="2">
        <f>IFERROR(__xludf.DUMMYFUNCTION("""COMPUTED_VALUE"""),450.0)</f>
        <v>450</v>
      </c>
      <c r="B451" s="2" t="str">
        <f>IFERROR(__xludf.DUMMYFUNCTION("""COMPUTED_VALUE"""),"Belvia Barnardo")</f>
        <v>Belvia Barnardo</v>
      </c>
      <c r="C451" s="2" t="str">
        <f>IFERROR(__xludf.DUMMYFUNCTION("""COMPUTED_VALUE"""),"bbarnardoci@usda.gov")</f>
        <v>bbarnardoci@usda.gov</v>
      </c>
      <c r="D451" s="4">
        <f>IFERROR(__xludf.DUMMYFUNCTION("""COMPUTED_VALUE"""),65.0)</f>
        <v>65</v>
      </c>
      <c r="E451" s="4">
        <f>IFERROR(__xludf.DUMMYFUNCTION("""COMPUTED_VALUE"""),81.0)</f>
        <v>81</v>
      </c>
      <c r="F451" s="4">
        <f>IFERROR(__xludf.DUMMYFUNCTION("""COMPUTED_VALUE"""),2.0)</f>
        <v>2</v>
      </c>
      <c r="G451" s="4">
        <f>IFERROR(__xludf.DUMMYFUNCTION("""COMPUTED_VALUE"""),100.0)</f>
        <v>100</v>
      </c>
      <c r="H451" s="5">
        <f>IFERROR(__xludf.DUMMYFUNCTION("""COMPUTED_VALUE"""),6663.2)</f>
        <v>6663.2</v>
      </c>
      <c r="I451" s="5">
        <f>IFERROR(__xludf.DUMMYFUNCTION("""COMPUTED_VALUE"""),7363.5)</f>
        <v>7363.5</v>
      </c>
      <c r="J451" s="5">
        <f>IFERROR(__xludf.DUMMYFUNCTION("""COMPUTED_VALUE"""),4796.55)</f>
        <v>4796.55</v>
      </c>
      <c r="K451" s="5">
        <f>IFERROR(__xludf.DUMMYFUNCTION("""COMPUTED_VALUE"""),3348.16)</f>
        <v>3348.16</v>
      </c>
      <c r="L451" s="4">
        <f>IFERROR(__xludf.DUMMYFUNCTION("""COMPUTED_VALUE"""),13.0)</f>
        <v>13</v>
      </c>
      <c r="M451" s="4">
        <f>IFERROR(__xludf.DUMMYFUNCTION("""COMPUTED_VALUE"""),24.0)</f>
        <v>24</v>
      </c>
      <c r="N451" s="2" t="str">
        <f>IFERROR(__xludf.DUMMYFUNCTION("""COMPUTED_VALUE"""),"VERDADERO")</f>
        <v>VERDADERO</v>
      </c>
    </row>
    <row r="452">
      <c r="A452" s="2">
        <f>IFERROR(__xludf.DUMMYFUNCTION("""COMPUTED_VALUE"""),451.0)</f>
        <v>451</v>
      </c>
      <c r="B452" s="2" t="str">
        <f>IFERROR(__xludf.DUMMYFUNCTION("""COMPUTED_VALUE"""),"Garland Cabrales")</f>
        <v>Garland Cabrales</v>
      </c>
      <c r="C452" s="2" t="str">
        <f>IFERROR(__xludf.DUMMYFUNCTION("""COMPUTED_VALUE"""),"gcabralescj@hhs.gov")</f>
        <v>gcabralescj@hhs.gov</v>
      </c>
      <c r="D452" s="4">
        <f>IFERROR(__xludf.DUMMYFUNCTION("""COMPUTED_VALUE"""),29.0)</f>
        <v>29</v>
      </c>
      <c r="E452" s="4">
        <f>IFERROR(__xludf.DUMMYFUNCTION("""COMPUTED_VALUE"""),25.0)</f>
        <v>25</v>
      </c>
      <c r="F452" s="4">
        <f>IFERROR(__xludf.DUMMYFUNCTION("""COMPUTED_VALUE"""),4.0)</f>
        <v>4</v>
      </c>
      <c r="G452" s="4">
        <f>IFERROR(__xludf.DUMMYFUNCTION("""COMPUTED_VALUE"""),673.0)</f>
        <v>673</v>
      </c>
      <c r="H452" s="5">
        <f>IFERROR(__xludf.DUMMYFUNCTION("""COMPUTED_VALUE"""),1735.37)</f>
        <v>1735.37</v>
      </c>
      <c r="I452" s="5">
        <f>IFERROR(__xludf.DUMMYFUNCTION("""COMPUTED_VALUE"""),8321.93)</f>
        <v>8321.93</v>
      </c>
      <c r="J452" s="5">
        <f>IFERROR(__xludf.DUMMYFUNCTION("""COMPUTED_VALUE"""),7474.1)</f>
        <v>7474.1</v>
      </c>
      <c r="K452" s="5">
        <f>IFERROR(__xludf.DUMMYFUNCTION("""COMPUTED_VALUE"""),8123.13)</f>
        <v>8123.13</v>
      </c>
      <c r="L452" s="4">
        <f>IFERROR(__xludf.DUMMYFUNCTION("""COMPUTED_VALUE"""),17.0)</f>
        <v>17</v>
      </c>
      <c r="M452" s="4">
        <f>IFERROR(__xludf.DUMMYFUNCTION("""COMPUTED_VALUE"""),99.0)</f>
        <v>99</v>
      </c>
      <c r="N452" s="2" t="str">
        <f>IFERROR(__xludf.DUMMYFUNCTION("""COMPUTED_VALUE"""),"VERDADERO")</f>
        <v>VERDADERO</v>
      </c>
    </row>
    <row r="453">
      <c r="A453" s="2">
        <f>IFERROR(__xludf.DUMMYFUNCTION("""COMPUTED_VALUE"""),452.0)</f>
        <v>452</v>
      </c>
      <c r="B453" s="2" t="str">
        <f>IFERROR(__xludf.DUMMYFUNCTION("""COMPUTED_VALUE"""),"Aile Marcus")</f>
        <v>Aile Marcus</v>
      </c>
      <c r="C453" s="2" t="str">
        <f>IFERROR(__xludf.DUMMYFUNCTION("""COMPUTED_VALUE"""),"amarcusck@delicious.com")</f>
        <v>amarcusck@delicious.com</v>
      </c>
      <c r="D453" s="4">
        <f>IFERROR(__xludf.DUMMYFUNCTION("""COMPUTED_VALUE"""),29.0)</f>
        <v>29</v>
      </c>
      <c r="E453" s="4">
        <f>IFERROR(__xludf.DUMMYFUNCTION("""COMPUTED_VALUE"""),39.0)</f>
        <v>39</v>
      </c>
      <c r="F453" s="4">
        <f>IFERROR(__xludf.DUMMYFUNCTION("""COMPUTED_VALUE"""),11.0)</f>
        <v>11</v>
      </c>
      <c r="G453" s="4">
        <f>IFERROR(__xludf.DUMMYFUNCTION("""COMPUTED_VALUE"""),1398.0)</f>
        <v>1398</v>
      </c>
      <c r="H453" s="5">
        <f>IFERROR(__xludf.DUMMYFUNCTION("""COMPUTED_VALUE"""),3657.95)</f>
        <v>3657.95</v>
      </c>
      <c r="I453" s="5">
        <f>IFERROR(__xludf.DUMMYFUNCTION("""COMPUTED_VALUE"""),4805.76)</f>
        <v>4805.76</v>
      </c>
      <c r="J453" s="5">
        <f>IFERROR(__xludf.DUMMYFUNCTION("""COMPUTED_VALUE"""),3160.42)</f>
        <v>3160.42</v>
      </c>
      <c r="K453" s="5">
        <f>IFERROR(__xludf.DUMMYFUNCTION("""COMPUTED_VALUE"""),4005.23)</f>
        <v>4005.23</v>
      </c>
      <c r="L453" s="4">
        <f>IFERROR(__xludf.DUMMYFUNCTION("""COMPUTED_VALUE"""),2.0)</f>
        <v>2</v>
      </c>
      <c r="M453" s="4">
        <f>IFERROR(__xludf.DUMMYFUNCTION("""COMPUTED_VALUE"""),14.0)</f>
        <v>14</v>
      </c>
      <c r="N453" s="2" t="str">
        <f>IFERROR(__xludf.DUMMYFUNCTION("""COMPUTED_VALUE"""),"FALSO")</f>
        <v>FALSO</v>
      </c>
    </row>
    <row r="454">
      <c r="A454" s="2">
        <f>IFERROR(__xludf.DUMMYFUNCTION("""COMPUTED_VALUE"""),453.0)</f>
        <v>453</v>
      </c>
      <c r="B454" s="2" t="str">
        <f>IFERROR(__xludf.DUMMYFUNCTION("""COMPUTED_VALUE"""),"Coriss Glasser")</f>
        <v>Coriss Glasser</v>
      </c>
      <c r="C454" s="2" t="str">
        <f>IFERROR(__xludf.DUMMYFUNCTION("""COMPUTED_VALUE"""),"cglassercl@unicef.org")</f>
        <v>cglassercl@unicef.org</v>
      </c>
      <c r="D454" s="4">
        <f>IFERROR(__xludf.DUMMYFUNCTION("""COMPUTED_VALUE"""),2.0)</f>
        <v>2</v>
      </c>
      <c r="E454" s="4">
        <f>IFERROR(__xludf.DUMMYFUNCTION("""COMPUTED_VALUE"""),90.0)</f>
        <v>90</v>
      </c>
      <c r="F454" s="4">
        <f>IFERROR(__xludf.DUMMYFUNCTION("""COMPUTED_VALUE"""),5.0)</f>
        <v>5</v>
      </c>
      <c r="G454" s="4">
        <f>IFERROR(__xludf.DUMMYFUNCTION("""COMPUTED_VALUE"""),23.0)</f>
        <v>23</v>
      </c>
      <c r="H454" s="5">
        <f>IFERROR(__xludf.DUMMYFUNCTION("""COMPUTED_VALUE"""),1959.27)</f>
        <v>1959.27</v>
      </c>
      <c r="I454" s="5">
        <f>IFERROR(__xludf.DUMMYFUNCTION("""COMPUTED_VALUE"""),9792.71)</f>
        <v>9792.71</v>
      </c>
      <c r="J454" s="5">
        <f>IFERROR(__xludf.DUMMYFUNCTION("""COMPUTED_VALUE"""),6119.45)</f>
        <v>6119.45</v>
      </c>
      <c r="K454" s="5">
        <f>IFERROR(__xludf.DUMMYFUNCTION("""COMPUTED_VALUE"""),2667.2)</f>
        <v>2667.2</v>
      </c>
      <c r="L454" s="4">
        <f>IFERROR(__xludf.DUMMYFUNCTION("""COMPUTED_VALUE"""),16.0)</f>
        <v>16</v>
      </c>
      <c r="M454" s="4">
        <f>IFERROR(__xludf.DUMMYFUNCTION("""COMPUTED_VALUE"""),34.0)</f>
        <v>34</v>
      </c>
      <c r="N454" s="2" t="str">
        <f>IFERROR(__xludf.DUMMYFUNCTION("""COMPUTED_VALUE"""),"VERDADERO")</f>
        <v>VERDADERO</v>
      </c>
    </row>
    <row r="455">
      <c r="A455" s="2">
        <f>IFERROR(__xludf.DUMMYFUNCTION("""COMPUTED_VALUE"""),454.0)</f>
        <v>454</v>
      </c>
      <c r="B455" s="2" t="str">
        <f>IFERROR(__xludf.DUMMYFUNCTION("""COMPUTED_VALUE"""),"Benito Andrez")</f>
        <v>Benito Andrez</v>
      </c>
      <c r="C455" s="2" t="str">
        <f>IFERROR(__xludf.DUMMYFUNCTION("""COMPUTED_VALUE"""),"bandrezcm@google.pl")</f>
        <v>bandrezcm@google.pl</v>
      </c>
      <c r="D455" s="4">
        <f>IFERROR(__xludf.DUMMYFUNCTION("""COMPUTED_VALUE"""),94.0)</f>
        <v>94</v>
      </c>
      <c r="E455" s="4">
        <f>IFERROR(__xludf.DUMMYFUNCTION("""COMPUTED_VALUE"""),81.0)</f>
        <v>81</v>
      </c>
      <c r="F455" s="4">
        <f>IFERROR(__xludf.DUMMYFUNCTION("""COMPUTED_VALUE"""),2.0)</f>
        <v>2</v>
      </c>
      <c r="G455" s="4">
        <f>IFERROR(__xludf.DUMMYFUNCTION("""COMPUTED_VALUE"""),1498.0)</f>
        <v>1498</v>
      </c>
      <c r="H455" s="5">
        <f>IFERROR(__xludf.DUMMYFUNCTION("""COMPUTED_VALUE"""),6546.33)</f>
        <v>6546.33</v>
      </c>
      <c r="I455" s="5">
        <f>IFERROR(__xludf.DUMMYFUNCTION("""COMPUTED_VALUE"""),5918.13)</f>
        <v>5918.13</v>
      </c>
      <c r="J455" s="5">
        <f>IFERROR(__xludf.DUMMYFUNCTION("""COMPUTED_VALUE"""),8781.01)</f>
        <v>8781.01</v>
      </c>
      <c r="K455" s="5">
        <f>IFERROR(__xludf.DUMMYFUNCTION("""COMPUTED_VALUE"""),7024.22)</f>
        <v>7024.22</v>
      </c>
      <c r="L455" s="4">
        <f>IFERROR(__xludf.DUMMYFUNCTION("""COMPUTED_VALUE"""),20.0)</f>
        <v>20</v>
      </c>
      <c r="M455" s="4">
        <f>IFERROR(__xludf.DUMMYFUNCTION("""COMPUTED_VALUE"""),4.0)</f>
        <v>4</v>
      </c>
      <c r="N455" s="2" t="str">
        <f>IFERROR(__xludf.DUMMYFUNCTION("""COMPUTED_VALUE"""),"VERDADERO")</f>
        <v>VERDADERO</v>
      </c>
    </row>
    <row r="456">
      <c r="A456" s="2">
        <f>IFERROR(__xludf.DUMMYFUNCTION("""COMPUTED_VALUE"""),455.0)</f>
        <v>455</v>
      </c>
      <c r="B456" s="2" t="str">
        <f>IFERROR(__xludf.DUMMYFUNCTION("""COMPUTED_VALUE"""),"Grier Bryns")</f>
        <v>Grier Bryns</v>
      </c>
      <c r="C456" s="2" t="str">
        <f>IFERROR(__xludf.DUMMYFUNCTION("""COMPUTED_VALUE"""),"gbrynscn@xrea.com")</f>
        <v>gbrynscn@xrea.com</v>
      </c>
      <c r="D456" s="4">
        <f>IFERROR(__xludf.DUMMYFUNCTION("""COMPUTED_VALUE"""),7.0)</f>
        <v>7</v>
      </c>
      <c r="E456" s="4">
        <f>IFERROR(__xludf.DUMMYFUNCTION("""COMPUTED_VALUE"""),80.0)</f>
        <v>80</v>
      </c>
      <c r="F456" s="4">
        <f>IFERROR(__xludf.DUMMYFUNCTION("""COMPUTED_VALUE"""),12.0)</f>
        <v>12</v>
      </c>
      <c r="G456" s="4">
        <f>IFERROR(__xludf.DUMMYFUNCTION("""COMPUTED_VALUE"""),1412.0)</f>
        <v>1412</v>
      </c>
      <c r="H456" s="5">
        <f>IFERROR(__xludf.DUMMYFUNCTION("""COMPUTED_VALUE"""),7737.12)</f>
        <v>7737.12</v>
      </c>
      <c r="I456" s="5">
        <f>IFERROR(__xludf.DUMMYFUNCTION("""COMPUTED_VALUE"""),7137.23)</f>
        <v>7137.23</v>
      </c>
      <c r="J456" s="5">
        <f>IFERROR(__xludf.DUMMYFUNCTION("""COMPUTED_VALUE"""),7017.73)</f>
        <v>7017.73</v>
      </c>
      <c r="K456" s="5">
        <f>IFERROR(__xludf.DUMMYFUNCTION("""COMPUTED_VALUE"""),5607.72)</f>
        <v>5607.72</v>
      </c>
      <c r="L456" s="4">
        <f>IFERROR(__xludf.DUMMYFUNCTION("""COMPUTED_VALUE"""),10.0)</f>
        <v>10</v>
      </c>
      <c r="M456" s="4">
        <f>IFERROR(__xludf.DUMMYFUNCTION("""COMPUTED_VALUE"""),72.0)</f>
        <v>72</v>
      </c>
      <c r="N456" s="2" t="str">
        <f>IFERROR(__xludf.DUMMYFUNCTION("""COMPUTED_VALUE"""),"FALSO")</f>
        <v>FALSO</v>
      </c>
    </row>
    <row r="457">
      <c r="A457" s="2">
        <f>IFERROR(__xludf.DUMMYFUNCTION("""COMPUTED_VALUE"""),456.0)</f>
        <v>456</v>
      </c>
      <c r="B457" s="2" t="str">
        <f>IFERROR(__xludf.DUMMYFUNCTION("""COMPUTED_VALUE"""),"Sadye Brightwell")</f>
        <v>Sadye Brightwell</v>
      </c>
      <c r="C457" s="2" t="str">
        <f>IFERROR(__xludf.DUMMYFUNCTION("""COMPUTED_VALUE"""),"sbrightwellco@youtube.com")</f>
        <v>sbrightwellco@youtube.com</v>
      </c>
      <c r="D457" s="4">
        <f>IFERROR(__xludf.DUMMYFUNCTION("""COMPUTED_VALUE"""),122.0)</f>
        <v>122</v>
      </c>
      <c r="E457" s="4">
        <f>IFERROR(__xludf.DUMMYFUNCTION("""COMPUTED_VALUE"""),61.0)</f>
        <v>61</v>
      </c>
      <c r="F457" s="4">
        <f>IFERROR(__xludf.DUMMYFUNCTION("""COMPUTED_VALUE"""),4.0)</f>
        <v>4</v>
      </c>
      <c r="G457" s="4">
        <f>IFERROR(__xludf.DUMMYFUNCTION("""COMPUTED_VALUE"""),1123.0)</f>
        <v>1123</v>
      </c>
      <c r="H457" s="5">
        <f>IFERROR(__xludf.DUMMYFUNCTION("""COMPUTED_VALUE"""),3286.61)</f>
        <v>3286.61</v>
      </c>
      <c r="I457" s="5">
        <f>IFERROR(__xludf.DUMMYFUNCTION("""COMPUTED_VALUE"""),7684.8)</f>
        <v>7684.8</v>
      </c>
      <c r="J457" s="5">
        <f>IFERROR(__xludf.DUMMYFUNCTION("""COMPUTED_VALUE"""),1910.8)</f>
        <v>1910.8</v>
      </c>
      <c r="K457" s="5">
        <f>IFERROR(__xludf.DUMMYFUNCTION("""COMPUTED_VALUE"""),211.09)</f>
        <v>211.09</v>
      </c>
      <c r="L457" s="4">
        <f>IFERROR(__xludf.DUMMYFUNCTION("""COMPUTED_VALUE"""),17.0)</f>
        <v>17</v>
      </c>
      <c r="M457" s="4">
        <f>IFERROR(__xludf.DUMMYFUNCTION("""COMPUTED_VALUE"""),87.0)</f>
        <v>87</v>
      </c>
      <c r="N457" s="2" t="str">
        <f>IFERROR(__xludf.DUMMYFUNCTION("""COMPUTED_VALUE"""),"VERDADERO")</f>
        <v>VERDADERO</v>
      </c>
    </row>
    <row r="458">
      <c r="A458" s="2">
        <f>IFERROR(__xludf.DUMMYFUNCTION("""COMPUTED_VALUE"""),457.0)</f>
        <v>457</v>
      </c>
      <c r="B458" s="2" t="str">
        <f>IFERROR(__xludf.DUMMYFUNCTION("""COMPUTED_VALUE"""),"Brier Cosgrave")</f>
        <v>Brier Cosgrave</v>
      </c>
      <c r="C458" s="2" t="str">
        <f>IFERROR(__xludf.DUMMYFUNCTION("""COMPUTED_VALUE"""),"bcosgravecp@elegantthemes.com")</f>
        <v>bcosgravecp@elegantthemes.com</v>
      </c>
      <c r="D458" s="4">
        <f>IFERROR(__xludf.DUMMYFUNCTION("""COMPUTED_VALUE"""),29.0)</f>
        <v>29</v>
      </c>
      <c r="E458" s="4">
        <f>IFERROR(__xludf.DUMMYFUNCTION("""COMPUTED_VALUE"""),81.0)</f>
        <v>81</v>
      </c>
      <c r="F458" s="4">
        <f>IFERROR(__xludf.DUMMYFUNCTION("""COMPUTED_VALUE"""),2.0)</f>
        <v>2</v>
      </c>
      <c r="G458" s="4">
        <f>IFERROR(__xludf.DUMMYFUNCTION("""COMPUTED_VALUE"""),988.0)</f>
        <v>988</v>
      </c>
      <c r="H458" s="5">
        <f>IFERROR(__xludf.DUMMYFUNCTION("""COMPUTED_VALUE"""),5809.79)</f>
        <v>5809.79</v>
      </c>
      <c r="I458" s="5">
        <f>IFERROR(__xludf.DUMMYFUNCTION("""COMPUTED_VALUE"""),371.36)</f>
        <v>371.36</v>
      </c>
      <c r="J458" s="5">
        <f>IFERROR(__xludf.DUMMYFUNCTION("""COMPUTED_VALUE"""),9329.82)</f>
        <v>9329.82</v>
      </c>
      <c r="K458" s="5">
        <f>IFERROR(__xludf.DUMMYFUNCTION("""COMPUTED_VALUE"""),7505.76)</f>
        <v>7505.76</v>
      </c>
      <c r="L458" s="4">
        <f>IFERROR(__xludf.DUMMYFUNCTION("""COMPUTED_VALUE"""),13.0)</f>
        <v>13</v>
      </c>
      <c r="M458" s="4">
        <f>IFERROR(__xludf.DUMMYFUNCTION("""COMPUTED_VALUE"""),17.0)</f>
        <v>17</v>
      </c>
      <c r="N458" s="2" t="str">
        <f>IFERROR(__xludf.DUMMYFUNCTION("""COMPUTED_VALUE"""),"VERDADERO")</f>
        <v>VERDADERO</v>
      </c>
    </row>
    <row r="459">
      <c r="A459" s="2">
        <f>IFERROR(__xludf.DUMMYFUNCTION("""COMPUTED_VALUE"""),458.0)</f>
        <v>458</v>
      </c>
      <c r="B459" s="2" t="str">
        <f>IFERROR(__xludf.DUMMYFUNCTION("""COMPUTED_VALUE"""),"Hastie Maleck")</f>
        <v>Hastie Maleck</v>
      </c>
      <c r="C459" s="2" t="str">
        <f>IFERROR(__xludf.DUMMYFUNCTION("""COMPUTED_VALUE"""),"hmaleckcq@rambler.ru")</f>
        <v>hmaleckcq@rambler.ru</v>
      </c>
      <c r="D459" s="4">
        <f>IFERROR(__xludf.DUMMYFUNCTION("""COMPUTED_VALUE"""),29.0)</f>
        <v>29</v>
      </c>
      <c r="E459" s="4">
        <f>IFERROR(__xludf.DUMMYFUNCTION("""COMPUTED_VALUE"""),36.0)</f>
        <v>36</v>
      </c>
      <c r="F459" s="4">
        <f>IFERROR(__xludf.DUMMYFUNCTION("""COMPUTED_VALUE"""),5.0)</f>
        <v>5</v>
      </c>
      <c r="G459" s="4">
        <f>IFERROR(__xludf.DUMMYFUNCTION("""COMPUTED_VALUE"""),797.0)</f>
        <v>797</v>
      </c>
      <c r="H459" s="5">
        <f>IFERROR(__xludf.DUMMYFUNCTION("""COMPUTED_VALUE"""),3668.93)</f>
        <v>3668.93</v>
      </c>
      <c r="I459" s="5">
        <f>IFERROR(__xludf.DUMMYFUNCTION("""COMPUTED_VALUE"""),568.27)</f>
        <v>568.27</v>
      </c>
      <c r="J459" s="5">
        <f>IFERROR(__xludf.DUMMYFUNCTION("""COMPUTED_VALUE"""),4584.35)</f>
        <v>4584.35</v>
      </c>
      <c r="K459" s="5">
        <f>IFERROR(__xludf.DUMMYFUNCTION("""COMPUTED_VALUE"""),8887.07)</f>
        <v>8887.07</v>
      </c>
      <c r="L459" s="4">
        <f>IFERROR(__xludf.DUMMYFUNCTION("""COMPUTED_VALUE"""),3.0)</f>
        <v>3</v>
      </c>
      <c r="M459" s="4">
        <f>IFERROR(__xludf.DUMMYFUNCTION("""COMPUTED_VALUE"""),98.0)</f>
        <v>98</v>
      </c>
      <c r="N459" s="2" t="str">
        <f>IFERROR(__xludf.DUMMYFUNCTION("""COMPUTED_VALUE"""),"FALSO")</f>
        <v>FALSO</v>
      </c>
    </row>
    <row r="460">
      <c r="A460" s="2">
        <f>IFERROR(__xludf.DUMMYFUNCTION("""COMPUTED_VALUE"""),459.0)</f>
        <v>459</v>
      </c>
      <c r="B460" s="2" t="str">
        <f>IFERROR(__xludf.DUMMYFUNCTION("""COMPUTED_VALUE"""),"Pat Highman")</f>
        <v>Pat Highman</v>
      </c>
      <c r="C460" s="2" t="str">
        <f>IFERROR(__xludf.DUMMYFUNCTION("""COMPUTED_VALUE"""),"phighmancr@smugmug.com")</f>
        <v>phighmancr@smugmug.com</v>
      </c>
      <c r="D460" s="4">
        <f>IFERROR(__xludf.DUMMYFUNCTION("""COMPUTED_VALUE"""),124.0)</f>
        <v>124</v>
      </c>
      <c r="E460" s="4">
        <f>IFERROR(__xludf.DUMMYFUNCTION("""COMPUTED_VALUE"""),30.0)</f>
        <v>30</v>
      </c>
      <c r="F460" s="4">
        <f>IFERROR(__xludf.DUMMYFUNCTION("""COMPUTED_VALUE"""),11.0)</f>
        <v>11</v>
      </c>
      <c r="G460" s="4">
        <f>IFERROR(__xludf.DUMMYFUNCTION("""COMPUTED_VALUE"""),1166.0)</f>
        <v>1166</v>
      </c>
      <c r="H460" s="5">
        <f>IFERROR(__xludf.DUMMYFUNCTION("""COMPUTED_VALUE"""),8791.07)</f>
        <v>8791.07</v>
      </c>
      <c r="I460" s="5">
        <f>IFERROR(__xludf.DUMMYFUNCTION("""COMPUTED_VALUE"""),32.71)</f>
        <v>32.71</v>
      </c>
      <c r="J460" s="5">
        <f>IFERROR(__xludf.DUMMYFUNCTION("""COMPUTED_VALUE"""),7297.18)</f>
        <v>7297.18</v>
      </c>
      <c r="K460" s="5">
        <f>IFERROR(__xludf.DUMMYFUNCTION("""COMPUTED_VALUE"""),9636.55)</f>
        <v>9636.55</v>
      </c>
      <c r="L460" s="4">
        <f>IFERROR(__xludf.DUMMYFUNCTION("""COMPUTED_VALUE"""),1.0)</f>
        <v>1</v>
      </c>
      <c r="M460" s="4">
        <f>IFERROR(__xludf.DUMMYFUNCTION("""COMPUTED_VALUE"""),97.0)</f>
        <v>97</v>
      </c>
      <c r="N460" s="2" t="str">
        <f>IFERROR(__xludf.DUMMYFUNCTION("""COMPUTED_VALUE"""),"FALSO")</f>
        <v>FALSO</v>
      </c>
    </row>
    <row r="461">
      <c r="A461" s="2">
        <f>IFERROR(__xludf.DUMMYFUNCTION("""COMPUTED_VALUE"""),460.0)</f>
        <v>460</v>
      </c>
      <c r="B461" s="2" t="str">
        <f>IFERROR(__xludf.DUMMYFUNCTION("""COMPUTED_VALUE"""),"Olia Jurewicz")</f>
        <v>Olia Jurewicz</v>
      </c>
      <c r="C461" s="2" t="str">
        <f>IFERROR(__xludf.DUMMYFUNCTION("""COMPUTED_VALUE"""),"ojurewiczcs@1und1.de")</f>
        <v>ojurewiczcs@1und1.de</v>
      </c>
      <c r="D461" s="4">
        <f>IFERROR(__xludf.DUMMYFUNCTION("""COMPUTED_VALUE"""),49.0)</f>
        <v>49</v>
      </c>
      <c r="E461" s="4">
        <f>IFERROR(__xludf.DUMMYFUNCTION("""COMPUTED_VALUE"""),106.0)</f>
        <v>106</v>
      </c>
      <c r="F461" s="4">
        <f>IFERROR(__xludf.DUMMYFUNCTION("""COMPUTED_VALUE"""),4.0)</f>
        <v>4</v>
      </c>
      <c r="G461" s="4">
        <f>IFERROR(__xludf.DUMMYFUNCTION("""COMPUTED_VALUE"""),462.0)</f>
        <v>462</v>
      </c>
      <c r="H461" s="5">
        <f>IFERROR(__xludf.DUMMYFUNCTION("""COMPUTED_VALUE"""),5671.56)</f>
        <v>5671.56</v>
      </c>
      <c r="I461" s="5">
        <f>IFERROR(__xludf.DUMMYFUNCTION("""COMPUTED_VALUE"""),1993.07)</f>
        <v>1993.07</v>
      </c>
      <c r="J461" s="5">
        <f>IFERROR(__xludf.DUMMYFUNCTION("""COMPUTED_VALUE"""),1411.51)</f>
        <v>1411.51</v>
      </c>
      <c r="K461" s="5">
        <f>IFERROR(__xludf.DUMMYFUNCTION("""COMPUTED_VALUE"""),1547.36)</f>
        <v>1547.36</v>
      </c>
      <c r="L461" s="4">
        <f>IFERROR(__xludf.DUMMYFUNCTION("""COMPUTED_VALUE"""),14.0)</f>
        <v>14</v>
      </c>
      <c r="M461" s="4">
        <f>IFERROR(__xludf.DUMMYFUNCTION("""COMPUTED_VALUE"""),84.0)</f>
        <v>84</v>
      </c>
      <c r="N461" s="2" t="str">
        <f>IFERROR(__xludf.DUMMYFUNCTION("""COMPUTED_VALUE"""),"FALSO")</f>
        <v>FALSO</v>
      </c>
    </row>
    <row r="462">
      <c r="A462" s="2">
        <f>IFERROR(__xludf.DUMMYFUNCTION("""COMPUTED_VALUE"""),461.0)</f>
        <v>461</v>
      </c>
      <c r="B462" s="2" t="str">
        <f>IFERROR(__xludf.DUMMYFUNCTION("""COMPUTED_VALUE"""),"Dasya Skipp")</f>
        <v>Dasya Skipp</v>
      </c>
      <c r="C462" s="2" t="str">
        <f>IFERROR(__xludf.DUMMYFUNCTION("""COMPUTED_VALUE"""),"dskippct@instagram.com")</f>
        <v>dskippct@instagram.com</v>
      </c>
      <c r="D462" s="4">
        <f>IFERROR(__xludf.DUMMYFUNCTION("""COMPUTED_VALUE"""),29.0)</f>
        <v>29</v>
      </c>
      <c r="E462" s="4">
        <f>IFERROR(__xludf.DUMMYFUNCTION("""COMPUTED_VALUE"""),4.0)</f>
        <v>4</v>
      </c>
      <c r="F462" s="4">
        <f>IFERROR(__xludf.DUMMYFUNCTION("""COMPUTED_VALUE"""),9.0)</f>
        <v>9</v>
      </c>
      <c r="G462" s="4">
        <f>IFERROR(__xludf.DUMMYFUNCTION("""COMPUTED_VALUE"""),532.0)</f>
        <v>532</v>
      </c>
      <c r="H462" s="5">
        <f>IFERROR(__xludf.DUMMYFUNCTION("""COMPUTED_VALUE"""),8797.52)</f>
        <v>8797.52</v>
      </c>
      <c r="I462" s="5">
        <f>IFERROR(__xludf.DUMMYFUNCTION("""COMPUTED_VALUE"""),5058.04)</f>
        <v>5058.04</v>
      </c>
      <c r="J462" s="5">
        <f>IFERROR(__xludf.DUMMYFUNCTION("""COMPUTED_VALUE"""),6342.99)</f>
        <v>6342.99</v>
      </c>
      <c r="K462" s="5">
        <f>IFERROR(__xludf.DUMMYFUNCTION("""COMPUTED_VALUE"""),7161.76)</f>
        <v>7161.76</v>
      </c>
      <c r="L462" s="4">
        <f>IFERROR(__xludf.DUMMYFUNCTION("""COMPUTED_VALUE"""),20.0)</f>
        <v>20</v>
      </c>
      <c r="M462" s="4">
        <f>IFERROR(__xludf.DUMMYFUNCTION("""COMPUTED_VALUE"""),85.0)</f>
        <v>85</v>
      </c>
      <c r="N462" s="2" t="str">
        <f>IFERROR(__xludf.DUMMYFUNCTION("""COMPUTED_VALUE"""),"FALSO")</f>
        <v>FALSO</v>
      </c>
    </row>
    <row r="463">
      <c r="A463" s="2">
        <f>IFERROR(__xludf.DUMMYFUNCTION("""COMPUTED_VALUE"""),462.0)</f>
        <v>462</v>
      </c>
      <c r="B463" s="2" t="str">
        <f>IFERROR(__xludf.DUMMYFUNCTION("""COMPUTED_VALUE"""),"Jessee Collcutt")</f>
        <v>Jessee Collcutt</v>
      </c>
      <c r="C463" s="2" t="str">
        <f>IFERROR(__xludf.DUMMYFUNCTION("""COMPUTED_VALUE"""),"jcollcuttcu@hc360.com")</f>
        <v>jcollcuttcu@hc360.com</v>
      </c>
      <c r="D463" s="4">
        <f>IFERROR(__xludf.DUMMYFUNCTION("""COMPUTED_VALUE"""),28.0)</f>
        <v>28</v>
      </c>
      <c r="E463" s="4">
        <f>IFERROR(__xludf.DUMMYFUNCTION("""COMPUTED_VALUE"""),71.0)</f>
        <v>71</v>
      </c>
      <c r="F463" s="4">
        <f>IFERROR(__xludf.DUMMYFUNCTION("""COMPUTED_VALUE"""),6.0)</f>
        <v>6</v>
      </c>
      <c r="G463" s="4">
        <f>IFERROR(__xludf.DUMMYFUNCTION("""COMPUTED_VALUE"""),1159.0)</f>
        <v>1159</v>
      </c>
      <c r="H463" s="5">
        <f>IFERROR(__xludf.DUMMYFUNCTION("""COMPUTED_VALUE"""),7696.31)</f>
        <v>7696.31</v>
      </c>
      <c r="I463" s="5">
        <f>IFERROR(__xludf.DUMMYFUNCTION("""COMPUTED_VALUE"""),5048.91)</f>
        <v>5048.91</v>
      </c>
      <c r="J463" s="5">
        <f>IFERROR(__xludf.DUMMYFUNCTION("""COMPUTED_VALUE"""),7125.89)</f>
        <v>7125.89</v>
      </c>
      <c r="K463" s="5">
        <f>IFERROR(__xludf.DUMMYFUNCTION("""COMPUTED_VALUE"""),3711.13)</f>
        <v>3711.13</v>
      </c>
      <c r="L463" s="4">
        <f>IFERROR(__xludf.DUMMYFUNCTION("""COMPUTED_VALUE"""),18.0)</f>
        <v>18</v>
      </c>
      <c r="M463" s="4">
        <f>IFERROR(__xludf.DUMMYFUNCTION("""COMPUTED_VALUE"""),99.0)</f>
        <v>99</v>
      </c>
      <c r="N463" s="2" t="str">
        <f>IFERROR(__xludf.DUMMYFUNCTION("""COMPUTED_VALUE"""),"VERDADERO")</f>
        <v>VERDADERO</v>
      </c>
    </row>
    <row r="464">
      <c r="A464" s="2">
        <f>IFERROR(__xludf.DUMMYFUNCTION("""COMPUTED_VALUE"""),463.0)</f>
        <v>463</v>
      </c>
      <c r="B464" s="2" t="str">
        <f>IFERROR(__xludf.DUMMYFUNCTION("""COMPUTED_VALUE"""),"Dyna Castagneri")</f>
        <v>Dyna Castagneri</v>
      </c>
      <c r="C464" s="2" t="str">
        <f>IFERROR(__xludf.DUMMYFUNCTION("""COMPUTED_VALUE"""),"dcastagnericv@apple.com")</f>
        <v>dcastagnericv@apple.com</v>
      </c>
      <c r="D464" s="4">
        <f>IFERROR(__xludf.DUMMYFUNCTION("""COMPUTED_VALUE"""),120.0)</f>
        <v>120</v>
      </c>
      <c r="E464" s="4">
        <f>IFERROR(__xludf.DUMMYFUNCTION("""COMPUTED_VALUE"""),83.0)</f>
        <v>83</v>
      </c>
      <c r="F464" s="4">
        <f>IFERROR(__xludf.DUMMYFUNCTION("""COMPUTED_VALUE"""),5.0)</f>
        <v>5</v>
      </c>
      <c r="G464" s="4">
        <f>IFERROR(__xludf.DUMMYFUNCTION("""COMPUTED_VALUE"""),422.0)</f>
        <v>422</v>
      </c>
      <c r="H464" s="5">
        <f>IFERROR(__xludf.DUMMYFUNCTION("""COMPUTED_VALUE"""),5026.17)</f>
        <v>5026.17</v>
      </c>
      <c r="I464" s="5">
        <f>IFERROR(__xludf.DUMMYFUNCTION("""COMPUTED_VALUE"""),1931.14)</f>
        <v>1931.14</v>
      </c>
      <c r="J464" s="5">
        <f>IFERROR(__xludf.DUMMYFUNCTION("""COMPUTED_VALUE"""),218.8)</f>
        <v>218.8</v>
      </c>
      <c r="K464" s="5">
        <f>IFERROR(__xludf.DUMMYFUNCTION("""COMPUTED_VALUE"""),5332.24)</f>
        <v>5332.24</v>
      </c>
      <c r="L464" s="4">
        <f>IFERROR(__xludf.DUMMYFUNCTION("""COMPUTED_VALUE"""),13.0)</f>
        <v>13</v>
      </c>
      <c r="M464" s="4">
        <f>IFERROR(__xludf.DUMMYFUNCTION("""COMPUTED_VALUE"""),66.0)</f>
        <v>66</v>
      </c>
      <c r="N464" s="2" t="str">
        <f>IFERROR(__xludf.DUMMYFUNCTION("""COMPUTED_VALUE"""),"FALSO")</f>
        <v>FALSO</v>
      </c>
    </row>
    <row r="465">
      <c r="A465" s="2">
        <f>IFERROR(__xludf.DUMMYFUNCTION("""COMPUTED_VALUE"""),464.0)</f>
        <v>464</v>
      </c>
      <c r="B465" s="2" t="str">
        <f>IFERROR(__xludf.DUMMYFUNCTION("""COMPUTED_VALUE"""),"Christye Kenlin")</f>
        <v>Christye Kenlin</v>
      </c>
      <c r="C465" s="2" t="str">
        <f>IFERROR(__xludf.DUMMYFUNCTION("""COMPUTED_VALUE"""),"ckenlincw@nsw.gov.au")</f>
        <v>ckenlincw@nsw.gov.au</v>
      </c>
      <c r="D465" s="4">
        <f>IFERROR(__xludf.DUMMYFUNCTION("""COMPUTED_VALUE"""),29.0)</f>
        <v>29</v>
      </c>
      <c r="E465" s="4">
        <f>IFERROR(__xludf.DUMMYFUNCTION("""COMPUTED_VALUE"""),62.0)</f>
        <v>62</v>
      </c>
      <c r="F465" s="4">
        <f>IFERROR(__xludf.DUMMYFUNCTION("""COMPUTED_VALUE"""),4.0)</f>
        <v>4</v>
      </c>
      <c r="G465" s="4">
        <f>IFERROR(__xludf.DUMMYFUNCTION("""COMPUTED_VALUE"""),1125.0)</f>
        <v>1125</v>
      </c>
      <c r="H465" s="5">
        <f>IFERROR(__xludf.DUMMYFUNCTION("""COMPUTED_VALUE"""),8872.16)</f>
        <v>8872.16</v>
      </c>
      <c r="I465" s="5">
        <f>IFERROR(__xludf.DUMMYFUNCTION("""COMPUTED_VALUE"""),1813.16)</f>
        <v>1813.16</v>
      </c>
      <c r="J465" s="5">
        <f>IFERROR(__xludf.DUMMYFUNCTION("""COMPUTED_VALUE"""),3656.6)</f>
        <v>3656.6</v>
      </c>
      <c r="K465" s="5">
        <f>IFERROR(__xludf.DUMMYFUNCTION("""COMPUTED_VALUE"""),6605.53)</f>
        <v>6605.53</v>
      </c>
      <c r="L465" s="4">
        <f>IFERROR(__xludf.DUMMYFUNCTION("""COMPUTED_VALUE"""),5.0)</f>
        <v>5</v>
      </c>
      <c r="M465" s="4">
        <f>IFERROR(__xludf.DUMMYFUNCTION("""COMPUTED_VALUE"""),9.0)</f>
        <v>9</v>
      </c>
      <c r="N465" s="2" t="str">
        <f>IFERROR(__xludf.DUMMYFUNCTION("""COMPUTED_VALUE"""),"FALSO")</f>
        <v>FALSO</v>
      </c>
    </row>
    <row r="466">
      <c r="A466" s="2">
        <f>IFERROR(__xludf.DUMMYFUNCTION("""COMPUTED_VALUE"""),465.0)</f>
        <v>465</v>
      </c>
      <c r="B466" s="2" t="str">
        <f>IFERROR(__xludf.DUMMYFUNCTION("""COMPUTED_VALUE"""),"Marcile Rowlett")</f>
        <v>Marcile Rowlett</v>
      </c>
      <c r="C466" s="2" t="str">
        <f>IFERROR(__xludf.DUMMYFUNCTION("""COMPUTED_VALUE"""),"mrowlettcx@huffingtonpost.com")</f>
        <v>mrowlettcx@huffingtonpost.com</v>
      </c>
      <c r="D466" s="4">
        <f>IFERROR(__xludf.DUMMYFUNCTION("""COMPUTED_VALUE"""),74.0)</f>
        <v>74</v>
      </c>
      <c r="E466" s="4">
        <f>IFERROR(__xludf.DUMMYFUNCTION("""COMPUTED_VALUE"""),111.0)</f>
        <v>111</v>
      </c>
      <c r="F466" s="4">
        <f>IFERROR(__xludf.DUMMYFUNCTION("""COMPUTED_VALUE"""),4.0)</f>
        <v>4</v>
      </c>
      <c r="G466" s="4">
        <f>IFERROR(__xludf.DUMMYFUNCTION("""COMPUTED_VALUE"""),1562.0)</f>
        <v>1562</v>
      </c>
      <c r="H466" s="5">
        <f>IFERROR(__xludf.DUMMYFUNCTION("""COMPUTED_VALUE"""),8530.41)</f>
        <v>8530.41</v>
      </c>
      <c r="I466" s="5">
        <f>IFERROR(__xludf.DUMMYFUNCTION("""COMPUTED_VALUE"""),6598.28)</f>
        <v>6598.28</v>
      </c>
      <c r="J466" s="5">
        <f>IFERROR(__xludf.DUMMYFUNCTION("""COMPUTED_VALUE"""),507.44)</f>
        <v>507.44</v>
      </c>
      <c r="K466" s="5">
        <f>IFERROR(__xludf.DUMMYFUNCTION("""COMPUTED_VALUE"""),6519.51)</f>
        <v>6519.51</v>
      </c>
      <c r="L466" s="4">
        <f>IFERROR(__xludf.DUMMYFUNCTION("""COMPUTED_VALUE"""),3.0)</f>
        <v>3</v>
      </c>
      <c r="M466" s="4">
        <f>IFERROR(__xludf.DUMMYFUNCTION("""COMPUTED_VALUE"""),100.0)</f>
        <v>100</v>
      </c>
      <c r="N466" s="2" t="str">
        <f>IFERROR(__xludf.DUMMYFUNCTION("""COMPUTED_VALUE"""),"VERDADERO")</f>
        <v>VERDADERO</v>
      </c>
    </row>
    <row r="467">
      <c r="A467" s="2">
        <f>IFERROR(__xludf.DUMMYFUNCTION("""COMPUTED_VALUE"""),466.0)</f>
        <v>466</v>
      </c>
      <c r="B467" s="2" t="str">
        <f>IFERROR(__xludf.DUMMYFUNCTION("""COMPUTED_VALUE"""),"Lucien Fenne")</f>
        <v>Lucien Fenne</v>
      </c>
      <c r="C467" s="2" t="str">
        <f>IFERROR(__xludf.DUMMYFUNCTION("""COMPUTED_VALUE"""),"lfennecy@webs.com")</f>
        <v>lfennecy@webs.com</v>
      </c>
      <c r="D467" s="4">
        <f>IFERROR(__xludf.DUMMYFUNCTION("""COMPUTED_VALUE"""),124.0)</f>
        <v>124</v>
      </c>
      <c r="E467" s="4">
        <f>IFERROR(__xludf.DUMMYFUNCTION("""COMPUTED_VALUE"""),2.0)</f>
        <v>2</v>
      </c>
      <c r="F467" s="4">
        <f>IFERROR(__xludf.DUMMYFUNCTION("""COMPUTED_VALUE"""),11.0)</f>
        <v>11</v>
      </c>
      <c r="G467" s="4">
        <f>IFERROR(__xludf.DUMMYFUNCTION("""COMPUTED_VALUE"""),691.0)</f>
        <v>691</v>
      </c>
      <c r="H467" s="5">
        <f>IFERROR(__xludf.DUMMYFUNCTION("""COMPUTED_VALUE"""),2195.34)</f>
        <v>2195.34</v>
      </c>
      <c r="I467" s="5">
        <f>IFERROR(__xludf.DUMMYFUNCTION("""COMPUTED_VALUE"""),3791.69)</f>
        <v>3791.69</v>
      </c>
      <c r="J467" s="5">
        <f>IFERROR(__xludf.DUMMYFUNCTION("""COMPUTED_VALUE"""),3881.25)</f>
        <v>3881.25</v>
      </c>
      <c r="K467" s="5">
        <f>IFERROR(__xludf.DUMMYFUNCTION("""COMPUTED_VALUE"""),1924.46)</f>
        <v>1924.46</v>
      </c>
      <c r="L467" s="4">
        <f>IFERROR(__xludf.DUMMYFUNCTION("""COMPUTED_VALUE"""),9.0)</f>
        <v>9</v>
      </c>
      <c r="M467" s="4">
        <f>IFERROR(__xludf.DUMMYFUNCTION("""COMPUTED_VALUE"""),42.0)</f>
        <v>42</v>
      </c>
      <c r="N467" s="2" t="str">
        <f>IFERROR(__xludf.DUMMYFUNCTION("""COMPUTED_VALUE"""),"VERDADERO")</f>
        <v>VERDADERO</v>
      </c>
    </row>
    <row r="468">
      <c r="A468" s="2">
        <f>IFERROR(__xludf.DUMMYFUNCTION("""COMPUTED_VALUE"""),467.0)</f>
        <v>467</v>
      </c>
      <c r="B468" s="2" t="str">
        <f>IFERROR(__xludf.DUMMYFUNCTION("""COMPUTED_VALUE"""),"Karyl Dalligan")</f>
        <v>Karyl Dalligan</v>
      </c>
      <c r="C468" s="2" t="str">
        <f>IFERROR(__xludf.DUMMYFUNCTION("""COMPUTED_VALUE"""),"kdalligancz@wisc.edu")</f>
        <v>kdalligancz@wisc.edu</v>
      </c>
      <c r="D468" s="4">
        <f>IFERROR(__xludf.DUMMYFUNCTION("""COMPUTED_VALUE"""),65.0)</f>
        <v>65</v>
      </c>
      <c r="E468" s="4">
        <f>IFERROR(__xludf.DUMMYFUNCTION("""COMPUTED_VALUE"""),124.0)</f>
        <v>124</v>
      </c>
      <c r="F468" s="4">
        <f>IFERROR(__xludf.DUMMYFUNCTION("""COMPUTED_VALUE"""),1.0)</f>
        <v>1</v>
      </c>
      <c r="G468" s="4">
        <f>IFERROR(__xludf.DUMMYFUNCTION("""COMPUTED_VALUE"""),257.0)</f>
        <v>257</v>
      </c>
      <c r="H468" s="5">
        <f>IFERROR(__xludf.DUMMYFUNCTION("""COMPUTED_VALUE"""),1081.59)</f>
        <v>1081.59</v>
      </c>
      <c r="I468" s="5">
        <f>IFERROR(__xludf.DUMMYFUNCTION("""COMPUTED_VALUE"""),8612.25)</f>
        <v>8612.25</v>
      </c>
      <c r="J468" s="5">
        <f>IFERROR(__xludf.DUMMYFUNCTION("""COMPUTED_VALUE"""),7749.72)</f>
        <v>7749.72</v>
      </c>
      <c r="K468" s="5">
        <f>IFERROR(__xludf.DUMMYFUNCTION("""COMPUTED_VALUE"""),3882.25)</f>
        <v>3882.25</v>
      </c>
      <c r="L468" s="4">
        <f>IFERROR(__xludf.DUMMYFUNCTION("""COMPUTED_VALUE"""),17.0)</f>
        <v>17</v>
      </c>
      <c r="M468" s="4">
        <f>IFERROR(__xludf.DUMMYFUNCTION("""COMPUTED_VALUE"""),94.0)</f>
        <v>94</v>
      </c>
      <c r="N468" s="2" t="str">
        <f>IFERROR(__xludf.DUMMYFUNCTION("""COMPUTED_VALUE"""),"VERDADERO")</f>
        <v>VERDADERO</v>
      </c>
    </row>
    <row r="469">
      <c r="A469" s="2">
        <f>IFERROR(__xludf.DUMMYFUNCTION("""COMPUTED_VALUE"""),468.0)</f>
        <v>468</v>
      </c>
      <c r="B469" s="2" t="str">
        <f>IFERROR(__xludf.DUMMYFUNCTION("""COMPUTED_VALUE"""),"Shermy Le Fleming")</f>
        <v>Shermy Le Fleming</v>
      </c>
      <c r="C469" s="2" t="str">
        <f>IFERROR(__xludf.DUMMYFUNCTION("""COMPUTED_VALUE"""),"sled0@dot.gov")</f>
        <v>sled0@dot.gov</v>
      </c>
      <c r="D469" s="4">
        <f>IFERROR(__xludf.DUMMYFUNCTION("""COMPUTED_VALUE"""),24.0)</f>
        <v>24</v>
      </c>
      <c r="E469" s="4">
        <f>IFERROR(__xludf.DUMMYFUNCTION("""COMPUTED_VALUE"""),108.0)</f>
        <v>108</v>
      </c>
      <c r="F469" s="4">
        <f>IFERROR(__xludf.DUMMYFUNCTION("""COMPUTED_VALUE"""),13.0)</f>
        <v>13</v>
      </c>
      <c r="G469" s="4">
        <f>IFERROR(__xludf.DUMMYFUNCTION("""COMPUTED_VALUE"""),812.0)</f>
        <v>812</v>
      </c>
      <c r="H469" s="5">
        <f>IFERROR(__xludf.DUMMYFUNCTION("""COMPUTED_VALUE"""),89.9)</f>
        <v>89.9</v>
      </c>
      <c r="I469" s="5">
        <f>IFERROR(__xludf.DUMMYFUNCTION("""COMPUTED_VALUE"""),5631.84)</f>
        <v>5631.84</v>
      </c>
      <c r="J469" s="5">
        <f>IFERROR(__xludf.DUMMYFUNCTION("""COMPUTED_VALUE"""),8168.37)</f>
        <v>8168.37</v>
      </c>
      <c r="K469" s="5">
        <f>IFERROR(__xludf.DUMMYFUNCTION("""COMPUTED_VALUE"""),5587.34)</f>
        <v>5587.34</v>
      </c>
      <c r="L469" s="4">
        <f>IFERROR(__xludf.DUMMYFUNCTION("""COMPUTED_VALUE"""),17.0)</f>
        <v>17</v>
      </c>
      <c r="M469" s="4">
        <f>IFERROR(__xludf.DUMMYFUNCTION("""COMPUTED_VALUE"""),54.0)</f>
        <v>54</v>
      </c>
      <c r="N469" s="2" t="str">
        <f>IFERROR(__xludf.DUMMYFUNCTION("""COMPUTED_VALUE"""),"FALSO")</f>
        <v>FALSO</v>
      </c>
    </row>
    <row r="470">
      <c r="A470" s="2">
        <f>IFERROR(__xludf.DUMMYFUNCTION("""COMPUTED_VALUE"""),469.0)</f>
        <v>469</v>
      </c>
      <c r="B470" s="2" t="str">
        <f>IFERROR(__xludf.DUMMYFUNCTION("""COMPUTED_VALUE"""),"Ruddy Ransley")</f>
        <v>Ruddy Ransley</v>
      </c>
      <c r="C470" s="2" t="str">
        <f>IFERROR(__xludf.DUMMYFUNCTION("""COMPUTED_VALUE"""),"rransleyd1@apple.com")</f>
        <v>rransleyd1@apple.com</v>
      </c>
      <c r="D470" s="4">
        <f>IFERROR(__xludf.DUMMYFUNCTION("""COMPUTED_VALUE"""),72.0)</f>
        <v>72</v>
      </c>
      <c r="E470" s="4">
        <f>IFERROR(__xludf.DUMMYFUNCTION("""COMPUTED_VALUE"""),17.0)</f>
        <v>17</v>
      </c>
      <c r="F470" s="4">
        <f>IFERROR(__xludf.DUMMYFUNCTION("""COMPUTED_VALUE"""),5.0)</f>
        <v>5</v>
      </c>
      <c r="G470" s="4">
        <f>IFERROR(__xludf.DUMMYFUNCTION("""COMPUTED_VALUE"""),523.0)</f>
        <v>523</v>
      </c>
      <c r="H470" s="5">
        <f>IFERROR(__xludf.DUMMYFUNCTION("""COMPUTED_VALUE"""),7673.73)</f>
        <v>7673.73</v>
      </c>
      <c r="I470" s="5">
        <f>IFERROR(__xludf.DUMMYFUNCTION("""COMPUTED_VALUE"""),3526.79)</f>
        <v>3526.79</v>
      </c>
      <c r="J470" s="5">
        <f>IFERROR(__xludf.DUMMYFUNCTION("""COMPUTED_VALUE"""),5031.59)</f>
        <v>5031.59</v>
      </c>
      <c r="K470" s="5">
        <f>IFERROR(__xludf.DUMMYFUNCTION("""COMPUTED_VALUE"""),582.62)</f>
        <v>582.62</v>
      </c>
      <c r="L470" s="4">
        <f>IFERROR(__xludf.DUMMYFUNCTION("""COMPUTED_VALUE"""),16.0)</f>
        <v>16</v>
      </c>
      <c r="M470" s="4">
        <f>IFERROR(__xludf.DUMMYFUNCTION("""COMPUTED_VALUE"""),65.0)</f>
        <v>65</v>
      </c>
      <c r="N470" s="2" t="str">
        <f>IFERROR(__xludf.DUMMYFUNCTION("""COMPUTED_VALUE"""),"FALSO")</f>
        <v>FALSO</v>
      </c>
    </row>
    <row r="471">
      <c r="A471" s="2">
        <f>IFERROR(__xludf.DUMMYFUNCTION("""COMPUTED_VALUE"""),470.0)</f>
        <v>470</v>
      </c>
      <c r="B471" s="2" t="str">
        <f>IFERROR(__xludf.DUMMYFUNCTION("""COMPUTED_VALUE"""),"Shanna Hateley")</f>
        <v>Shanna Hateley</v>
      </c>
      <c r="C471" s="2" t="str">
        <f>IFERROR(__xludf.DUMMYFUNCTION("""COMPUTED_VALUE"""),"shateleyd2@newyorker.com")</f>
        <v>shateleyd2@newyorker.com</v>
      </c>
      <c r="D471" s="4">
        <f>IFERROR(__xludf.DUMMYFUNCTION("""COMPUTED_VALUE"""),29.0)</f>
        <v>29</v>
      </c>
      <c r="E471" s="4">
        <f>IFERROR(__xludf.DUMMYFUNCTION("""COMPUTED_VALUE"""),81.0)</f>
        <v>81</v>
      </c>
      <c r="F471" s="4">
        <f>IFERROR(__xludf.DUMMYFUNCTION("""COMPUTED_VALUE"""),2.0)</f>
        <v>2</v>
      </c>
      <c r="G471" s="4">
        <f>IFERROR(__xludf.DUMMYFUNCTION("""COMPUTED_VALUE"""),1551.0)</f>
        <v>1551</v>
      </c>
      <c r="H471" s="5">
        <f>IFERROR(__xludf.DUMMYFUNCTION("""COMPUTED_VALUE"""),5462.76)</f>
        <v>5462.76</v>
      </c>
      <c r="I471" s="5">
        <f>IFERROR(__xludf.DUMMYFUNCTION("""COMPUTED_VALUE"""),2170.9)</f>
        <v>2170.9</v>
      </c>
      <c r="J471" s="5">
        <f>IFERROR(__xludf.DUMMYFUNCTION("""COMPUTED_VALUE"""),3173.02)</f>
        <v>3173.02</v>
      </c>
      <c r="K471" s="5">
        <f>IFERROR(__xludf.DUMMYFUNCTION("""COMPUTED_VALUE"""),8158.33)</f>
        <v>8158.33</v>
      </c>
      <c r="L471" s="4">
        <f>IFERROR(__xludf.DUMMYFUNCTION("""COMPUTED_VALUE"""),7.0)</f>
        <v>7</v>
      </c>
      <c r="M471" s="4">
        <f>IFERROR(__xludf.DUMMYFUNCTION("""COMPUTED_VALUE"""),11.0)</f>
        <v>11</v>
      </c>
      <c r="N471" s="2" t="str">
        <f>IFERROR(__xludf.DUMMYFUNCTION("""COMPUTED_VALUE"""),"FALSO")</f>
        <v>FALSO</v>
      </c>
    </row>
    <row r="472">
      <c r="A472" s="2">
        <f>IFERROR(__xludf.DUMMYFUNCTION("""COMPUTED_VALUE"""),471.0)</f>
        <v>471</v>
      </c>
      <c r="B472" s="2" t="str">
        <f>IFERROR(__xludf.DUMMYFUNCTION("""COMPUTED_VALUE"""),"Reginauld Tapping")</f>
        <v>Reginauld Tapping</v>
      </c>
      <c r="C472" s="2" t="str">
        <f>IFERROR(__xludf.DUMMYFUNCTION("""COMPUTED_VALUE"""),"rtappingd3@chron.com")</f>
        <v>rtappingd3@chron.com</v>
      </c>
      <c r="D472" s="4">
        <f>IFERROR(__xludf.DUMMYFUNCTION("""COMPUTED_VALUE"""),29.0)</f>
        <v>29</v>
      </c>
      <c r="E472" s="4">
        <f>IFERROR(__xludf.DUMMYFUNCTION("""COMPUTED_VALUE"""),61.0)</f>
        <v>61</v>
      </c>
      <c r="F472" s="4">
        <f>IFERROR(__xludf.DUMMYFUNCTION("""COMPUTED_VALUE"""),4.0)</f>
        <v>4</v>
      </c>
      <c r="G472" s="4">
        <f>IFERROR(__xludf.DUMMYFUNCTION("""COMPUTED_VALUE"""),185.0)</f>
        <v>185</v>
      </c>
      <c r="H472" s="5">
        <f>IFERROR(__xludf.DUMMYFUNCTION("""COMPUTED_VALUE"""),5914.87)</f>
        <v>5914.87</v>
      </c>
      <c r="I472" s="5">
        <f>IFERROR(__xludf.DUMMYFUNCTION("""COMPUTED_VALUE"""),3137.26)</f>
        <v>3137.26</v>
      </c>
      <c r="J472" s="5">
        <f>IFERROR(__xludf.DUMMYFUNCTION("""COMPUTED_VALUE"""),4546.05)</f>
        <v>4546.05</v>
      </c>
      <c r="K472" s="5">
        <f>IFERROR(__xludf.DUMMYFUNCTION("""COMPUTED_VALUE"""),1072.25)</f>
        <v>1072.25</v>
      </c>
      <c r="L472" s="4">
        <f>IFERROR(__xludf.DUMMYFUNCTION("""COMPUTED_VALUE"""),10.0)</f>
        <v>10</v>
      </c>
      <c r="M472" s="4">
        <f>IFERROR(__xludf.DUMMYFUNCTION("""COMPUTED_VALUE"""),51.0)</f>
        <v>51</v>
      </c>
      <c r="N472" s="2" t="str">
        <f>IFERROR(__xludf.DUMMYFUNCTION("""COMPUTED_VALUE"""),"VERDADERO")</f>
        <v>VERDADERO</v>
      </c>
    </row>
    <row r="473">
      <c r="A473" s="2">
        <f>IFERROR(__xludf.DUMMYFUNCTION("""COMPUTED_VALUE"""),472.0)</f>
        <v>472</v>
      </c>
      <c r="B473" s="2" t="str">
        <f>IFERROR(__xludf.DUMMYFUNCTION("""COMPUTED_VALUE"""),"Natal Farey")</f>
        <v>Natal Farey</v>
      </c>
      <c r="C473" s="2" t="str">
        <f>IFERROR(__xludf.DUMMYFUNCTION("""COMPUTED_VALUE"""),"nfareyd4@g.co")</f>
        <v>nfareyd4@g.co</v>
      </c>
      <c r="D473" s="4">
        <f>IFERROR(__xludf.DUMMYFUNCTION("""COMPUTED_VALUE"""),65.0)</f>
        <v>65</v>
      </c>
      <c r="E473" s="4">
        <f>IFERROR(__xludf.DUMMYFUNCTION("""COMPUTED_VALUE"""),112.0)</f>
        <v>112</v>
      </c>
      <c r="F473" s="4">
        <f>IFERROR(__xludf.DUMMYFUNCTION("""COMPUTED_VALUE"""),11.0)</f>
        <v>11</v>
      </c>
      <c r="G473" s="4">
        <f>IFERROR(__xludf.DUMMYFUNCTION("""COMPUTED_VALUE"""),832.0)</f>
        <v>832</v>
      </c>
      <c r="H473" s="5">
        <f>IFERROR(__xludf.DUMMYFUNCTION("""COMPUTED_VALUE"""),2911.69)</f>
        <v>2911.69</v>
      </c>
      <c r="I473" s="5">
        <f>IFERROR(__xludf.DUMMYFUNCTION("""COMPUTED_VALUE"""),3407.81)</f>
        <v>3407.81</v>
      </c>
      <c r="J473" s="5">
        <f>IFERROR(__xludf.DUMMYFUNCTION("""COMPUTED_VALUE"""),7750.56)</f>
        <v>7750.56</v>
      </c>
      <c r="K473" s="5">
        <f>IFERROR(__xludf.DUMMYFUNCTION("""COMPUTED_VALUE"""),7835.74)</f>
        <v>7835.74</v>
      </c>
      <c r="L473" s="4">
        <f>IFERROR(__xludf.DUMMYFUNCTION("""COMPUTED_VALUE"""),17.0)</f>
        <v>17</v>
      </c>
      <c r="M473" s="4">
        <f>IFERROR(__xludf.DUMMYFUNCTION("""COMPUTED_VALUE"""),15.0)</f>
        <v>15</v>
      </c>
      <c r="N473" s="2" t="str">
        <f>IFERROR(__xludf.DUMMYFUNCTION("""COMPUTED_VALUE"""),"VERDADERO")</f>
        <v>VERDADERO</v>
      </c>
    </row>
    <row r="474">
      <c r="A474" s="2">
        <f>IFERROR(__xludf.DUMMYFUNCTION("""COMPUTED_VALUE"""),473.0)</f>
        <v>473</v>
      </c>
      <c r="B474" s="2" t="str">
        <f>IFERROR(__xludf.DUMMYFUNCTION("""COMPUTED_VALUE"""),"Katy Whyman")</f>
        <v>Katy Whyman</v>
      </c>
      <c r="C474" s="2" t="str">
        <f>IFERROR(__xludf.DUMMYFUNCTION("""COMPUTED_VALUE"""),"kwhymand5@naver.com")</f>
        <v>kwhymand5@naver.com</v>
      </c>
      <c r="D474" s="4">
        <f>IFERROR(__xludf.DUMMYFUNCTION("""COMPUTED_VALUE"""),29.0)</f>
        <v>29</v>
      </c>
      <c r="E474" s="4">
        <f>IFERROR(__xludf.DUMMYFUNCTION("""COMPUTED_VALUE"""),81.0)</f>
        <v>81</v>
      </c>
      <c r="F474" s="4">
        <f>IFERROR(__xludf.DUMMYFUNCTION("""COMPUTED_VALUE"""),2.0)</f>
        <v>2</v>
      </c>
      <c r="G474" s="4">
        <f>IFERROR(__xludf.DUMMYFUNCTION("""COMPUTED_VALUE"""),1124.0)</f>
        <v>1124</v>
      </c>
      <c r="H474" s="5">
        <f>IFERROR(__xludf.DUMMYFUNCTION("""COMPUTED_VALUE"""),8684.43)</f>
        <v>8684.43</v>
      </c>
      <c r="I474" s="5">
        <f>IFERROR(__xludf.DUMMYFUNCTION("""COMPUTED_VALUE"""),8739.41)</f>
        <v>8739.41</v>
      </c>
      <c r="J474" s="5">
        <f>IFERROR(__xludf.DUMMYFUNCTION("""COMPUTED_VALUE"""),7690.1)</f>
        <v>7690.1</v>
      </c>
      <c r="K474" s="5">
        <f>IFERROR(__xludf.DUMMYFUNCTION("""COMPUTED_VALUE"""),5743.61)</f>
        <v>5743.61</v>
      </c>
      <c r="L474" s="4">
        <f>IFERROR(__xludf.DUMMYFUNCTION("""COMPUTED_VALUE"""),15.0)</f>
        <v>15</v>
      </c>
      <c r="M474" s="4">
        <f>IFERROR(__xludf.DUMMYFUNCTION("""COMPUTED_VALUE"""),53.0)</f>
        <v>53</v>
      </c>
      <c r="N474" s="2" t="str">
        <f>IFERROR(__xludf.DUMMYFUNCTION("""COMPUTED_VALUE"""),"FALSO")</f>
        <v>FALSO</v>
      </c>
    </row>
    <row r="475">
      <c r="A475" s="2">
        <f>IFERROR(__xludf.DUMMYFUNCTION("""COMPUTED_VALUE"""),474.0)</f>
        <v>474</v>
      </c>
      <c r="B475" s="2" t="str">
        <f>IFERROR(__xludf.DUMMYFUNCTION("""COMPUTED_VALUE"""),"Onfroi Paylie")</f>
        <v>Onfroi Paylie</v>
      </c>
      <c r="C475" s="2" t="str">
        <f>IFERROR(__xludf.DUMMYFUNCTION("""COMPUTED_VALUE"""),"opaylied6@berkeley.edu")</f>
        <v>opaylied6@berkeley.edu</v>
      </c>
      <c r="D475" s="4">
        <f>IFERROR(__xludf.DUMMYFUNCTION("""COMPUTED_VALUE"""),121.0)</f>
        <v>121</v>
      </c>
      <c r="E475" s="4">
        <f>IFERROR(__xludf.DUMMYFUNCTION("""COMPUTED_VALUE"""),18.0)</f>
        <v>18</v>
      </c>
      <c r="F475" s="4">
        <f>IFERROR(__xludf.DUMMYFUNCTION("""COMPUTED_VALUE"""),8.0)</f>
        <v>8</v>
      </c>
      <c r="G475" s="4">
        <f>IFERROR(__xludf.DUMMYFUNCTION("""COMPUTED_VALUE"""),296.0)</f>
        <v>296</v>
      </c>
      <c r="H475" s="5">
        <f>IFERROR(__xludf.DUMMYFUNCTION("""COMPUTED_VALUE"""),8976.58)</f>
        <v>8976.58</v>
      </c>
      <c r="I475" s="5">
        <f>IFERROR(__xludf.DUMMYFUNCTION("""COMPUTED_VALUE"""),5777.42)</f>
        <v>5777.42</v>
      </c>
      <c r="J475" s="5">
        <f>IFERROR(__xludf.DUMMYFUNCTION("""COMPUTED_VALUE"""),5598.24)</f>
        <v>5598.24</v>
      </c>
      <c r="K475" s="5">
        <f>IFERROR(__xludf.DUMMYFUNCTION("""COMPUTED_VALUE"""),5356.89)</f>
        <v>5356.89</v>
      </c>
      <c r="L475" s="4">
        <f>IFERROR(__xludf.DUMMYFUNCTION("""COMPUTED_VALUE"""),3.0)</f>
        <v>3</v>
      </c>
      <c r="M475" s="4">
        <f>IFERROR(__xludf.DUMMYFUNCTION("""COMPUTED_VALUE"""),52.0)</f>
        <v>52</v>
      </c>
      <c r="N475" s="2" t="str">
        <f>IFERROR(__xludf.DUMMYFUNCTION("""COMPUTED_VALUE"""),"VERDADERO")</f>
        <v>VERDADERO</v>
      </c>
    </row>
    <row r="476">
      <c r="A476" s="2">
        <f>IFERROR(__xludf.DUMMYFUNCTION("""COMPUTED_VALUE"""),475.0)</f>
        <v>475</v>
      </c>
      <c r="B476" s="2" t="str">
        <f>IFERROR(__xludf.DUMMYFUNCTION("""COMPUTED_VALUE"""),"Etienne Fyndon")</f>
        <v>Etienne Fyndon</v>
      </c>
      <c r="C476" s="2" t="str">
        <f>IFERROR(__xludf.DUMMYFUNCTION("""COMPUTED_VALUE"""),"efyndond7@sogou.com")</f>
        <v>efyndond7@sogou.com</v>
      </c>
      <c r="D476" s="4">
        <f>IFERROR(__xludf.DUMMYFUNCTION("""COMPUTED_VALUE"""),34.0)</f>
        <v>34</v>
      </c>
      <c r="E476" s="4">
        <f>IFERROR(__xludf.DUMMYFUNCTION("""COMPUTED_VALUE"""),61.0)</f>
        <v>61</v>
      </c>
      <c r="F476" s="4">
        <f>IFERROR(__xludf.DUMMYFUNCTION("""COMPUTED_VALUE"""),4.0)</f>
        <v>4</v>
      </c>
      <c r="G476" s="4">
        <f>IFERROR(__xludf.DUMMYFUNCTION("""COMPUTED_VALUE"""),135.0)</f>
        <v>135</v>
      </c>
      <c r="H476" s="5">
        <f>IFERROR(__xludf.DUMMYFUNCTION("""COMPUTED_VALUE"""),9543.09)</f>
        <v>9543.09</v>
      </c>
      <c r="I476" s="5">
        <f>IFERROR(__xludf.DUMMYFUNCTION("""COMPUTED_VALUE"""),6278.76)</f>
        <v>6278.76</v>
      </c>
      <c r="J476" s="5">
        <f>IFERROR(__xludf.DUMMYFUNCTION("""COMPUTED_VALUE"""),6309.2)</f>
        <v>6309.2</v>
      </c>
      <c r="K476" s="5">
        <f>IFERROR(__xludf.DUMMYFUNCTION("""COMPUTED_VALUE"""),7908.05)</f>
        <v>7908.05</v>
      </c>
      <c r="L476" s="4">
        <f>IFERROR(__xludf.DUMMYFUNCTION("""COMPUTED_VALUE"""),3.0)</f>
        <v>3</v>
      </c>
      <c r="M476" s="4">
        <f>IFERROR(__xludf.DUMMYFUNCTION("""COMPUTED_VALUE"""),91.0)</f>
        <v>91</v>
      </c>
      <c r="N476" s="2" t="str">
        <f>IFERROR(__xludf.DUMMYFUNCTION("""COMPUTED_VALUE"""),"FALSO")</f>
        <v>FALSO</v>
      </c>
    </row>
    <row r="477">
      <c r="A477" s="2">
        <f>IFERROR(__xludf.DUMMYFUNCTION("""COMPUTED_VALUE"""),476.0)</f>
        <v>476</v>
      </c>
      <c r="B477" s="2" t="str">
        <f>IFERROR(__xludf.DUMMYFUNCTION("""COMPUTED_VALUE"""),"Poppy Bedborough")</f>
        <v>Poppy Bedborough</v>
      </c>
      <c r="C477" s="2" t="str">
        <f>IFERROR(__xludf.DUMMYFUNCTION("""COMPUTED_VALUE"""),"pbedboroughd8@mlb.com")</f>
        <v>pbedboroughd8@mlb.com</v>
      </c>
      <c r="D477" s="4">
        <f>IFERROR(__xludf.DUMMYFUNCTION("""COMPUTED_VALUE"""),120.0)</f>
        <v>120</v>
      </c>
      <c r="E477" s="4">
        <f>IFERROR(__xludf.DUMMYFUNCTION("""COMPUTED_VALUE"""),65.0)</f>
        <v>65</v>
      </c>
      <c r="F477" s="4">
        <f>IFERROR(__xludf.DUMMYFUNCTION("""COMPUTED_VALUE"""),9.0)</f>
        <v>9</v>
      </c>
      <c r="G477" s="4">
        <f>IFERROR(__xludf.DUMMYFUNCTION("""COMPUTED_VALUE"""),1542.0)</f>
        <v>1542</v>
      </c>
      <c r="H477" s="5">
        <f>IFERROR(__xludf.DUMMYFUNCTION("""COMPUTED_VALUE"""),3617.93)</f>
        <v>3617.93</v>
      </c>
      <c r="I477" s="5">
        <f>IFERROR(__xludf.DUMMYFUNCTION("""COMPUTED_VALUE"""),1021.12)</f>
        <v>1021.12</v>
      </c>
      <c r="J477" s="5">
        <f>IFERROR(__xludf.DUMMYFUNCTION("""COMPUTED_VALUE"""),6414.47)</f>
        <v>6414.47</v>
      </c>
      <c r="K477" s="5">
        <f>IFERROR(__xludf.DUMMYFUNCTION("""COMPUTED_VALUE"""),7616.36)</f>
        <v>7616.36</v>
      </c>
      <c r="L477" s="4">
        <f>IFERROR(__xludf.DUMMYFUNCTION("""COMPUTED_VALUE"""),6.0)</f>
        <v>6</v>
      </c>
      <c r="M477" s="4">
        <f>IFERROR(__xludf.DUMMYFUNCTION("""COMPUTED_VALUE"""),21.0)</f>
        <v>21</v>
      </c>
      <c r="N477" s="2" t="str">
        <f>IFERROR(__xludf.DUMMYFUNCTION("""COMPUTED_VALUE"""),"VERDADERO")</f>
        <v>VERDADERO</v>
      </c>
    </row>
    <row r="478">
      <c r="A478" s="2">
        <f>IFERROR(__xludf.DUMMYFUNCTION("""COMPUTED_VALUE"""),477.0)</f>
        <v>477</v>
      </c>
      <c r="B478" s="2" t="str">
        <f>IFERROR(__xludf.DUMMYFUNCTION("""COMPUTED_VALUE"""),"Marabel Mallender")</f>
        <v>Marabel Mallender</v>
      </c>
      <c r="C478" s="2" t="str">
        <f>IFERROR(__xludf.DUMMYFUNCTION("""COMPUTED_VALUE"""),"mmallenderd9@statcounter.com")</f>
        <v>mmallenderd9@statcounter.com</v>
      </c>
      <c r="D478" s="4">
        <f>IFERROR(__xludf.DUMMYFUNCTION("""COMPUTED_VALUE"""),75.0)</f>
        <v>75</v>
      </c>
      <c r="E478" s="4">
        <f>IFERROR(__xludf.DUMMYFUNCTION("""COMPUTED_VALUE"""),71.0)</f>
        <v>71</v>
      </c>
      <c r="F478" s="4">
        <f>IFERROR(__xludf.DUMMYFUNCTION("""COMPUTED_VALUE"""),6.0)</f>
        <v>6</v>
      </c>
      <c r="G478" s="4">
        <f>IFERROR(__xludf.DUMMYFUNCTION("""COMPUTED_VALUE"""),753.0)</f>
        <v>753</v>
      </c>
      <c r="H478" s="5">
        <f>IFERROR(__xludf.DUMMYFUNCTION("""COMPUTED_VALUE"""),2816.55)</f>
        <v>2816.55</v>
      </c>
      <c r="I478" s="5">
        <f>IFERROR(__xludf.DUMMYFUNCTION("""COMPUTED_VALUE"""),9555.99)</f>
        <v>9555.99</v>
      </c>
      <c r="J478" s="5">
        <f>IFERROR(__xludf.DUMMYFUNCTION("""COMPUTED_VALUE"""),8526.87)</f>
        <v>8526.87</v>
      </c>
      <c r="K478" s="5">
        <f>IFERROR(__xludf.DUMMYFUNCTION("""COMPUTED_VALUE"""),6391.84)</f>
        <v>6391.84</v>
      </c>
      <c r="L478" s="4">
        <f>IFERROR(__xludf.DUMMYFUNCTION("""COMPUTED_VALUE"""),9.0)</f>
        <v>9</v>
      </c>
      <c r="M478" s="4">
        <f>IFERROR(__xludf.DUMMYFUNCTION("""COMPUTED_VALUE"""),37.0)</f>
        <v>37</v>
      </c>
      <c r="N478" s="2" t="str">
        <f>IFERROR(__xludf.DUMMYFUNCTION("""COMPUTED_VALUE"""),"VERDADERO")</f>
        <v>VERDADERO</v>
      </c>
    </row>
    <row r="479">
      <c r="A479" s="2">
        <f>IFERROR(__xludf.DUMMYFUNCTION("""COMPUTED_VALUE"""),478.0)</f>
        <v>478</v>
      </c>
      <c r="B479" s="2" t="str">
        <f>IFERROR(__xludf.DUMMYFUNCTION("""COMPUTED_VALUE"""),"Kittie Swinnerton")</f>
        <v>Kittie Swinnerton</v>
      </c>
      <c r="C479" s="2" t="str">
        <f>IFERROR(__xludf.DUMMYFUNCTION("""COMPUTED_VALUE"""),"kswinnertonda@topsy.com")</f>
        <v>kswinnertonda@topsy.com</v>
      </c>
      <c r="D479" s="4">
        <f>IFERROR(__xludf.DUMMYFUNCTION("""COMPUTED_VALUE"""),65.0)</f>
        <v>65</v>
      </c>
      <c r="E479" s="4">
        <f>IFERROR(__xludf.DUMMYFUNCTION("""COMPUTED_VALUE"""),15.0)</f>
        <v>15</v>
      </c>
      <c r="F479" s="4">
        <f>IFERROR(__xludf.DUMMYFUNCTION("""COMPUTED_VALUE"""),6.0)</f>
        <v>6</v>
      </c>
      <c r="G479" s="4">
        <f>IFERROR(__xludf.DUMMYFUNCTION("""COMPUTED_VALUE"""),37.0)</f>
        <v>37</v>
      </c>
      <c r="H479" s="5">
        <f>IFERROR(__xludf.DUMMYFUNCTION("""COMPUTED_VALUE"""),6995.11)</f>
        <v>6995.11</v>
      </c>
      <c r="I479" s="5">
        <f>IFERROR(__xludf.DUMMYFUNCTION("""COMPUTED_VALUE"""),2610.52)</f>
        <v>2610.52</v>
      </c>
      <c r="J479" s="5">
        <f>IFERROR(__xludf.DUMMYFUNCTION("""COMPUTED_VALUE"""),2747.33)</f>
        <v>2747.33</v>
      </c>
      <c r="K479" s="5">
        <f>IFERROR(__xludf.DUMMYFUNCTION("""COMPUTED_VALUE"""),3054.29)</f>
        <v>3054.29</v>
      </c>
      <c r="L479" s="4">
        <f>IFERROR(__xludf.DUMMYFUNCTION("""COMPUTED_VALUE"""),20.0)</f>
        <v>20</v>
      </c>
      <c r="M479" s="4">
        <f>IFERROR(__xludf.DUMMYFUNCTION("""COMPUTED_VALUE"""),99.0)</f>
        <v>99</v>
      </c>
      <c r="N479" s="2" t="str">
        <f>IFERROR(__xludf.DUMMYFUNCTION("""COMPUTED_VALUE"""),"VERDADERO")</f>
        <v>VERDADERO</v>
      </c>
    </row>
    <row r="480">
      <c r="A480" s="2">
        <f>IFERROR(__xludf.DUMMYFUNCTION("""COMPUTED_VALUE"""),479.0)</f>
        <v>479</v>
      </c>
      <c r="B480" s="2" t="str">
        <f>IFERROR(__xludf.DUMMYFUNCTION("""COMPUTED_VALUE"""),"Jojo Sporrij")</f>
        <v>Jojo Sporrij</v>
      </c>
      <c r="C480" s="2" t="str">
        <f>IFERROR(__xludf.DUMMYFUNCTION("""COMPUTED_VALUE"""),"jsporrijdb@live.com")</f>
        <v>jsporrijdb@live.com</v>
      </c>
      <c r="D480" s="4">
        <f>IFERROR(__xludf.DUMMYFUNCTION("""COMPUTED_VALUE"""),38.0)</f>
        <v>38</v>
      </c>
      <c r="E480" s="4">
        <f>IFERROR(__xludf.DUMMYFUNCTION("""COMPUTED_VALUE"""),12.0)</f>
        <v>12</v>
      </c>
      <c r="F480" s="4">
        <f>IFERROR(__xludf.DUMMYFUNCTION("""COMPUTED_VALUE"""),6.0)</f>
        <v>6</v>
      </c>
      <c r="G480" s="4">
        <f>IFERROR(__xludf.DUMMYFUNCTION("""COMPUTED_VALUE"""),840.0)</f>
        <v>840</v>
      </c>
      <c r="H480" s="5">
        <f>IFERROR(__xludf.DUMMYFUNCTION("""COMPUTED_VALUE"""),777.89)</f>
        <v>777.89</v>
      </c>
      <c r="I480" s="5">
        <f>IFERROR(__xludf.DUMMYFUNCTION("""COMPUTED_VALUE"""),9139.39)</f>
        <v>9139.39</v>
      </c>
      <c r="J480" s="5">
        <f>IFERROR(__xludf.DUMMYFUNCTION("""COMPUTED_VALUE"""),7846.88)</f>
        <v>7846.88</v>
      </c>
      <c r="K480" s="5">
        <f>IFERROR(__xludf.DUMMYFUNCTION("""COMPUTED_VALUE"""),5486.75)</f>
        <v>5486.75</v>
      </c>
      <c r="L480" s="4">
        <f>IFERROR(__xludf.DUMMYFUNCTION("""COMPUTED_VALUE"""),5.0)</f>
        <v>5</v>
      </c>
      <c r="M480" s="4">
        <f>IFERROR(__xludf.DUMMYFUNCTION("""COMPUTED_VALUE"""),78.0)</f>
        <v>78</v>
      </c>
      <c r="N480" s="2" t="str">
        <f>IFERROR(__xludf.DUMMYFUNCTION("""COMPUTED_VALUE"""),"VERDADERO")</f>
        <v>VERDADERO</v>
      </c>
    </row>
    <row r="481">
      <c r="A481" s="2">
        <f>IFERROR(__xludf.DUMMYFUNCTION("""COMPUTED_VALUE"""),480.0)</f>
        <v>480</v>
      </c>
      <c r="B481" s="2" t="str">
        <f>IFERROR(__xludf.DUMMYFUNCTION("""COMPUTED_VALUE"""),"Trish Jedrzejewicz")</f>
        <v>Trish Jedrzejewicz</v>
      </c>
      <c r="C481" s="2" t="str">
        <f>IFERROR(__xludf.DUMMYFUNCTION("""COMPUTED_VALUE"""),"tjedrzejewiczdc@plala.or.jp")</f>
        <v>tjedrzejewiczdc@plala.or.jp</v>
      </c>
      <c r="D481" s="4">
        <f>IFERROR(__xludf.DUMMYFUNCTION("""COMPUTED_VALUE"""),29.0)</f>
        <v>29</v>
      </c>
      <c r="E481" s="4">
        <f>IFERROR(__xludf.DUMMYFUNCTION("""COMPUTED_VALUE"""),21.0)</f>
        <v>21</v>
      </c>
      <c r="F481" s="4">
        <f>IFERROR(__xludf.DUMMYFUNCTION("""COMPUTED_VALUE"""),4.0)</f>
        <v>4</v>
      </c>
      <c r="G481" s="4">
        <f>IFERROR(__xludf.DUMMYFUNCTION("""COMPUTED_VALUE"""),174.0)</f>
        <v>174</v>
      </c>
      <c r="H481" s="5">
        <f>IFERROR(__xludf.DUMMYFUNCTION("""COMPUTED_VALUE"""),6851.77)</f>
        <v>6851.77</v>
      </c>
      <c r="I481" s="5">
        <f>IFERROR(__xludf.DUMMYFUNCTION("""COMPUTED_VALUE"""),8272.05)</f>
        <v>8272.05</v>
      </c>
      <c r="J481" s="5">
        <f>IFERROR(__xludf.DUMMYFUNCTION("""COMPUTED_VALUE"""),9168.2)</f>
        <v>9168.2</v>
      </c>
      <c r="K481" s="5">
        <f>IFERROR(__xludf.DUMMYFUNCTION("""COMPUTED_VALUE"""),6355.12)</f>
        <v>6355.12</v>
      </c>
      <c r="L481" s="4">
        <f>IFERROR(__xludf.DUMMYFUNCTION("""COMPUTED_VALUE"""),7.0)</f>
        <v>7</v>
      </c>
      <c r="M481" s="4">
        <f>IFERROR(__xludf.DUMMYFUNCTION("""COMPUTED_VALUE"""),42.0)</f>
        <v>42</v>
      </c>
      <c r="N481" s="2" t="str">
        <f>IFERROR(__xludf.DUMMYFUNCTION("""COMPUTED_VALUE"""),"VERDADERO")</f>
        <v>VERDADERO</v>
      </c>
    </row>
    <row r="482">
      <c r="A482" s="2">
        <f>IFERROR(__xludf.DUMMYFUNCTION("""COMPUTED_VALUE"""),481.0)</f>
        <v>481</v>
      </c>
      <c r="B482" s="2" t="str">
        <f>IFERROR(__xludf.DUMMYFUNCTION("""COMPUTED_VALUE"""),"Susy Elliot")</f>
        <v>Susy Elliot</v>
      </c>
      <c r="C482" s="2" t="str">
        <f>IFERROR(__xludf.DUMMYFUNCTION("""COMPUTED_VALUE"""),"selliotdd@reddit.com")</f>
        <v>selliotdd@reddit.com</v>
      </c>
      <c r="D482" s="4">
        <f>IFERROR(__xludf.DUMMYFUNCTION("""COMPUTED_VALUE"""),29.0)</f>
        <v>29</v>
      </c>
      <c r="E482" s="4">
        <f>IFERROR(__xludf.DUMMYFUNCTION("""COMPUTED_VALUE"""),117.0)</f>
        <v>117</v>
      </c>
      <c r="F482" s="4">
        <f>IFERROR(__xludf.DUMMYFUNCTION("""COMPUTED_VALUE"""),4.0)</f>
        <v>4</v>
      </c>
      <c r="G482" s="4">
        <f>IFERROR(__xludf.DUMMYFUNCTION("""COMPUTED_VALUE"""),551.0)</f>
        <v>551</v>
      </c>
      <c r="H482" s="5">
        <f>IFERROR(__xludf.DUMMYFUNCTION("""COMPUTED_VALUE"""),2923.97)</f>
        <v>2923.97</v>
      </c>
      <c r="I482" s="5">
        <f>IFERROR(__xludf.DUMMYFUNCTION("""COMPUTED_VALUE"""),5434.84)</f>
        <v>5434.84</v>
      </c>
      <c r="J482" s="5">
        <f>IFERROR(__xludf.DUMMYFUNCTION("""COMPUTED_VALUE"""),171.75)</f>
        <v>171.75</v>
      </c>
      <c r="K482" s="5">
        <f>IFERROR(__xludf.DUMMYFUNCTION("""COMPUTED_VALUE"""),1857.73)</f>
        <v>1857.73</v>
      </c>
      <c r="L482" s="4">
        <f>IFERROR(__xludf.DUMMYFUNCTION("""COMPUTED_VALUE"""),8.0)</f>
        <v>8</v>
      </c>
      <c r="M482" s="4">
        <f>IFERROR(__xludf.DUMMYFUNCTION("""COMPUTED_VALUE"""),34.0)</f>
        <v>34</v>
      </c>
      <c r="N482" s="2" t="str">
        <f>IFERROR(__xludf.DUMMYFUNCTION("""COMPUTED_VALUE"""),"FALSO")</f>
        <v>FALSO</v>
      </c>
    </row>
    <row r="483">
      <c r="A483" s="2">
        <f>IFERROR(__xludf.DUMMYFUNCTION("""COMPUTED_VALUE"""),482.0)</f>
        <v>482</v>
      </c>
      <c r="B483" s="2" t="str">
        <f>IFERROR(__xludf.DUMMYFUNCTION("""COMPUTED_VALUE"""),"Melodie McCaskell")</f>
        <v>Melodie McCaskell</v>
      </c>
      <c r="C483" s="2" t="str">
        <f>IFERROR(__xludf.DUMMYFUNCTION("""COMPUTED_VALUE"""),"mmccaskellde@ezinearticles.com")</f>
        <v>mmccaskellde@ezinearticles.com</v>
      </c>
      <c r="D483" s="4">
        <f>IFERROR(__xludf.DUMMYFUNCTION("""COMPUTED_VALUE"""),33.0)</f>
        <v>33</v>
      </c>
      <c r="E483" s="4">
        <f>IFERROR(__xludf.DUMMYFUNCTION("""COMPUTED_VALUE"""),102.0)</f>
        <v>102</v>
      </c>
      <c r="F483" s="4">
        <f>IFERROR(__xludf.DUMMYFUNCTION("""COMPUTED_VALUE"""),4.0)</f>
        <v>4</v>
      </c>
      <c r="G483" s="4">
        <f>IFERROR(__xludf.DUMMYFUNCTION("""COMPUTED_VALUE"""),547.0)</f>
        <v>547</v>
      </c>
      <c r="H483" s="5">
        <f>IFERROR(__xludf.DUMMYFUNCTION("""COMPUTED_VALUE"""),7465.38)</f>
        <v>7465.38</v>
      </c>
      <c r="I483" s="5">
        <f>IFERROR(__xludf.DUMMYFUNCTION("""COMPUTED_VALUE"""),6497.84)</f>
        <v>6497.84</v>
      </c>
      <c r="J483" s="5">
        <f>IFERROR(__xludf.DUMMYFUNCTION("""COMPUTED_VALUE"""),8791.75)</f>
        <v>8791.75</v>
      </c>
      <c r="K483" s="5">
        <f>IFERROR(__xludf.DUMMYFUNCTION("""COMPUTED_VALUE"""),5592.16)</f>
        <v>5592.16</v>
      </c>
      <c r="L483" s="4">
        <f>IFERROR(__xludf.DUMMYFUNCTION("""COMPUTED_VALUE"""),20.0)</f>
        <v>20</v>
      </c>
      <c r="M483" s="4">
        <f>IFERROR(__xludf.DUMMYFUNCTION("""COMPUTED_VALUE"""),4.0)</f>
        <v>4</v>
      </c>
      <c r="N483" s="2" t="str">
        <f>IFERROR(__xludf.DUMMYFUNCTION("""COMPUTED_VALUE"""),"VERDADERO")</f>
        <v>VERDADERO</v>
      </c>
    </row>
    <row r="484">
      <c r="A484" s="2">
        <f>IFERROR(__xludf.DUMMYFUNCTION("""COMPUTED_VALUE"""),483.0)</f>
        <v>483</v>
      </c>
      <c r="B484" s="2" t="str">
        <f>IFERROR(__xludf.DUMMYFUNCTION("""COMPUTED_VALUE"""),"Jeff Schollick")</f>
        <v>Jeff Schollick</v>
      </c>
      <c r="C484" s="2" t="str">
        <f>IFERROR(__xludf.DUMMYFUNCTION("""COMPUTED_VALUE"""),"jschollickdf@1688.com")</f>
        <v>jschollickdf@1688.com</v>
      </c>
      <c r="D484" s="4">
        <f>IFERROR(__xludf.DUMMYFUNCTION("""COMPUTED_VALUE"""),75.0)</f>
        <v>75</v>
      </c>
      <c r="E484" s="4">
        <f>IFERROR(__xludf.DUMMYFUNCTION("""COMPUTED_VALUE"""),64.0)</f>
        <v>64</v>
      </c>
      <c r="F484" s="4">
        <f>IFERROR(__xludf.DUMMYFUNCTION("""COMPUTED_VALUE"""),4.0)</f>
        <v>4</v>
      </c>
      <c r="G484" s="4">
        <f>IFERROR(__xludf.DUMMYFUNCTION("""COMPUTED_VALUE"""),172.0)</f>
        <v>172</v>
      </c>
      <c r="H484" s="5">
        <f>IFERROR(__xludf.DUMMYFUNCTION("""COMPUTED_VALUE"""),3019.26)</f>
        <v>3019.26</v>
      </c>
      <c r="I484" s="5">
        <f>IFERROR(__xludf.DUMMYFUNCTION("""COMPUTED_VALUE"""),5043.33)</f>
        <v>5043.33</v>
      </c>
      <c r="J484" s="5">
        <f>IFERROR(__xludf.DUMMYFUNCTION("""COMPUTED_VALUE"""),7056.2)</f>
        <v>7056.2</v>
      </c>
      <c r="K484" s="5">
        <f>IFERROR(__xludf.DUMMYFUNCTION("""COMPUTED_VALUE"""),388.88)</f>
        <v>388.88</v>
      </c>
      <c r="L484" s="4">
        <f>IFERROR(__xludf.DUMMYFUNCTION("""COMPUTED_VALUE"""),4.0)</f>
        <v>4</v>
      </c>
      <c r="M484" s="4">
        <f>IFERROR(__xludf.DUMMYFUNCTION("""COMPUTED_VALUE"""),22.0)</f>
        <v>22</v>
      </c>
      <c r="N484" s="2" t="str">
        <f>IFERROR(__xludf.DUMMYFUNCTION("""COMPUTED_VALUE"""),"FALSO")</f>
        <v>FALSO</v>
      </c>
    </row>
    <row r="485">
      <c r="A485" s="2">
        <f>IFERROR(__xludf.DUMMYFUNCTION("""COMPUTED_VALUE"""),484.0)</f>
        <v>484</v>
      </c>
      <c r="B485" s="2" t="str">
        <f>IFERROR(__xludf.DUMMYFUNCTION("""COMPUTED_VALUE"""),"Will Pavlov")</f>
        <v>Will Pavlov</v>
      </c>
      <c r="C485" s="2" t="str">
        <f>IFERROR(__xludf.DUMMYFUNCTION("""COMPUTED_VALUE"""),"wpavlovdg@cbslocal.com")</f>
        <v>wpavlovdg@cbslocal.com</v>
      </c>
      <c r="D485" s="4">
        <f>IFERROR(__xludf.DUMMYFUNCTION("""COMPUTED_VALUE"""),65.0)</f>
        <v>65</v>
      </c>
      <c r="E485" s="4">
        <f>IFERROR(__xludf.DUMMYFUNCTION("""COMPUTED_VALUE"""),39.0)</f>
        <v>39</v>
      </c>
      <c r="F485" s="4">
        <f>IFERROR(__xludf.DUMMYFUNCTION("""COMPUTED_VALUE"""),11.0)</f>
        <v>11</v>
      </c>
      <c r="G485" s="4">
        <f>IFERROR(__xludf.DUMMYFUNCTION("""COMPUTED_VALUE"""),488.0)</f>
        <v>488</v>
      </c>
      <c r="H485" s="5">
        <f>IFERROR(__xludf.DUMMYFUNCTION("""COMPUTED_VALUE"""),5813.59)</f>
        <v>5813.59</v>
      </c>
      <c r="I485" s="5">
        <f>IFERROR(__xludf.DUMMYFUNCTION("""COMPUTED_VALUE"""),851.55)</f>
        <v>851.55</v>
      </c>
      <c r="J485" s="5">
        <f>IFERROR(__xludf.DUMMYFUNCTION("""COMPUTED_VALUE"""),998.05)</f>
        <v>998.05</v>
      </c>
      <c r="K485" s="5">
        <f>IFERROR(__xludf.DUMMYFUNCTION("""COMPUTED_VALUE"""),1041.57)</f>
        <v>1041.57</v>
      </c>
      <c r="L485" s="4">
        <f>IFERROR(__xludf.DUMMYFUNCTION("""COMPUTED_VALUE"""),5.0)</f>
        <v>5</v>
      </c>
      <c r="M485" s="4">
        <f>IFERROR(__xludf.DUMMYFUNCTION("""COMPUTED_VALUE"""),34.0)</f>
        <v>34</v>
      </c>
      <c r="N485" s="2" t="str">
        <f>IFERROR(__xludf.DUMMYFUNCTION("""COMPUTED_VALUE"""),"FALSO")</f>
        <v>FALSO</v>
      </c>
    </row>
    <row r="486">
      <c r="A486" s="2">
        <f>IFERROR(__xludf.DUMMYFUNCTION("""COMPUTED_VALUE"""),485.0)</f>
        <v>485</v>
      </c>
      <c r="B486" s="2" t="str">
        <f>IFERROR(__xludf.DUMMYFUNCTION("""COMPUTED_VALUE"""),"Lizbeth Korejs")</f>
        <v>Lizbeth Korejs</v>
      </c>
      <c r="C486" s="2" t="str">
        <f>IFERROR(__xludf.DUMMYFUNCTION("""COMPUTED_VALUE"""),"lkorejsdh@meetup.com")</f>
        <v>lkorejsdh@meetup.com</v>
      </c>
      <c r="D486" s="4">
        <f>IFERROR(__xludf.DUMMYFUNCTION("""COMPUTED_VALUE"""),6.0)</f>
        <v>6</v>
      </c>
      <c r="E486" s="4">
        <f>IFERROR(__xludf.DUMMYFUNCTION("""COMPUTED_VALUE"""),23.0)</f>
        <v>23</v>
      </c>
      <c r="F486" s="4">
        <f>IFERROR(__xludf.DUMMYFUNCTION("""COMPUTED_VALUE"""),5.0)</f>
        <v>5</v>
      </c>
      <c r="G486" s="4">
        <f>IFERROR(__xludf.DUMMYFUNCTION("""COMPUTED_VALUE"""),1410.0)</f>
        <v>1410</v>
      </c>
      <c r="H486" s="5">
        <f>IFERROR(__xludf.DUMMYFUNCTION("""COMPUTED_VALUE"""),7663.66)</f>
        <v>7663.66</v>
      </c>
      <c r="I486" s="5">
        <f>IFERROR(__xludf.DUMMYFUNCTION("""COMPUTED_VALUE"""),3980.49)</f>
        <v>3980.49</v>
      </c>
      <c r="J486" s="5">
        <f>IFERROR(__xludf.DUMMYFUNCTION("""COMPUTED_VALUE"""),9468.6)</f>
        <v>9468.6</v>
      </c>
      <c r="K486" s="5">
        <f>IFERROR(__xludf.DUMMYFUNCTION("""COMPUTED_VALUE"""),6420.09)</f>
        <v>6420.09</v>
      </c>
      <c r="L486" s="4">
        <f>IFERROR(__xludf.DUMMYFUNCTION("""COMPUTED_VALUE"""),2.0)</f>
        <v>2</v>
      </c>
      <c r="M486" s="4">
        <f>IFERROR(__xludf.DUMMYFUNCTION("""COMPUTED_VALUE"""),22.0)</f>
        <v>22</v>
      </c>
      <c r="N486" s="2" t="str">
        <f>IFERROR(__xludf.DUMMYFUNCTION("""COMPUTED_VALUE"""),"FALSO")</f>
        <v>FALSO</v>
      </c>
    </row>
    <row r="487">
      <c r="A487" s="2">
        <f>IFERROR(__xludf.DUMMYFUNCTION("""COMPUTED_VALUE"""),486.0)</f>
        <v>486</v>
      </c>
      <c r="B487" s="2" t="str">
        <f>IFERROR(__xludf.DUMMYFUNCTION("""COMPUTED_VALUE"""),"Ursola Westphal")</f>
        <v>Ursola Westphal</v>
      </c>
      <c r="C487" s="2" t="str">
        <f>IFERROR(__xludf.DUMMYFUNCTION("""COMPUTED_VALUE"""),"uwestphaldi@google.nl")</f>
        <v>uwestphaldi@google.nl</v>
      </c>
      <c r="D487" s="4">
        <f>IFERROR(__xludf.DUMMYFUNCTION("""COMPUTED_VALUE"""),85.0)</f>
        <v>85</v>
      </c>
      <c r="E487" s="4">
        <f>IFERROR(__xludf.DUMMYFUNCTION("""COMPUTED_VALUE"""),81.0)</f>
        <v>81</v>
      </c>
      <c r="F487" s="4">
        <f>IFERROR(__xludf.DUMMYFUNCTION("""COMPUTED_VALUE"""),2.0)</f>
        <v>2</v>
      </c>
      <c r="G487" s="4">
        <f>IFERROR(__xludf.DUMMYFUNCTION("""COMPUTED_VALUE"""),1004.0)</f>
        <v>1004</v>
      </c>
      <c r="H487" s="5">
        <f>IFERROR(__xludf.DUMMYFUNCTION("""COMPUTED_VALUE"""),8601.39)</f>
        <v>8601.39</v>
      </c>
      <c r="I487" s="5">
        <f>IFERROR(__xludf.DUMMYFUNCTION("""COMPUTED_VALUE"""),7626.04)</f>
        <v>7626.04</v>
      </c>
      <c r="J487" s="5">
        <f>IFERROR(__xludf.DUMMYFUNCTION("""COMPUTED_VALUE"""),8740.23)</f>
        <v>8740.23</v>
      </c>
      <c r="K487" s="5">
        <f>IFERROR(__xludf.DUMMYFUNCTION("""COMPUTED_VALUE"""),9453.7)</f>
        <v>9453.7</v>
      </c>
      <c r="L487" s="4">
        <f>IFERROR(__xludf.DUMMYFUNCTION("""COMPUTED_VALUE"""),6.0)</f>
        <v>6</v>
      </c>
      <c r="M487" s="4">
        <f>IFERROR(__xludf.DUMMYFUNCTION("""COMPUTED_VALUE"""),16.0)</f>
        <v>16</v>
      </c>
      <c r="N487" s="2" t="str">
        <f>IFERROR(__xludf.DUMMYFUNCTION("""COMPUTED_VALUE"""),"VERDADERO")</f>
        <v>VERDADERO</v>
      </c>
    </row>
    <row r="488">
      <c r="A488" s="2">
        <f>IFERROR(__xludf.DUMMYFUNCTION("""COMPUTED_VALUE"""),487.0)</f>
        <v>487</v>
      </c>
      <c r="B488" s="2" t="str">
        <f>IFERROR(__xludf.DUMMYFUNCTION("""COMPUTED_VALUE"""),"Yehudi Castello")</f>
        <v>Yehudi Castello</v>
      </c>
      <c r="C488" s="2" t="str">
        <f>IFERROR(__xludf.DUMMYFUNCTION("""COMPUTED_VALUE"""),"ycastellodj@instagram.com")</f>
        <v>ycastellodj@instagram.com</v>
      </c>
      <c r="D488" s="4">
        <f>IFERROR(__xludf.DUMMYFUNCTION("""COMPUTED_VALUE"""),94.0)</f>
        <v>94</v>
      </c>
      <c r="E488" s="4">
        <f>IFERROR(__xludf.DUMMYFUNCTION("""COMPUTED_VALUE"""),85.0)</f>
        <v>85</v>
      </c>
      <c r="F488" s="4">
        <f>IFERROR(__xludf.DUMMYFUNCTION("""COMPUTED_VALUE"""),3.0)</f>
        <v>3</v>
      </c>
      <c r="G488" s="4">
        <f>IFERROR(__xludf.DUMMYFUNCTION("""COMPUTED_VALUE"""),346.0)</f>
        <v>346</v>
      </c>
      <c r="H488" s="5">
        <f>IFERROR(__xludf.DUMMYFUNCTION("""COMPUTED_VALUE"""),1913.88)</f>
        <v>1913.88</v>
      </c>
      <c r="I488" s="5">
        <f>IFERROR(__xludf.DUMMYFUNCTION("""COMPUTED_VALUE"""),2596.04)</f>
        <v>2596.04</v>
      </c>
      <c r="J488" s="5">
        <f>IFERROR(__xludf.DUMMYFUNCTION("""COMPUTED_VALUE"""),8801.32)</f>
        <v>8801.32</v>
      </c>
      <c r="K488" s="5">
        <f>IFERROR(__xludf.DUMMYFUNCTION("""COMPUTED_VALUE"""),5827.81)</f>
        <v>5827.81</v>
      </c>
      <c r="L488" s="4">
        <f>IFERROR(__xludf.DUMMYFUNCTION("""COMPUTED_VALUE"""),13.0)</f>
        <v>13</v>
      </c>
      <c r="M488" s="4">
        <f>IFERROR(__xludf.DUMMYFUNCTION("""COMPUTED_VALUE"""),56.0)</f>
        <v>56</v>
      </c>
      <c r="N488" s="2" t="str">
        <f>IFERROR(__xludf.DUMMYFUNCTION("""COMPUTED_VALUE"""),"FALSO")</f>
        <v>FALSO</v>
      </c>
    </row>
    <row r="489">
      <c r="A489" s="2">
        <f>IFERROR(__xludf.DUMMYFUNCTION("""COMPUTED_VALUE"""),488.0)</f>
        <v>488</v>
      </c>
      <c r="B489" s="2" t="str">
        <f>IFERROR(__xludf.DUMMYFUNCTION("""COMPUTED_VALUE"""),"Keane Megarrell")</f>
        <v>Keane Megarrell</v>
      </c>
      <c r="C489" s="2" t="str">
        <f>IFERROR(__xludf.DUMMYFUNCTION("""COMPUTED_VALUE"""),"kmegarrelldk@si.edu")</f>
        <v>kmegarrelldk@si.edu</v>
      </c>
      <c r="D489" s="4">
        <f>IFERROR(__xludf.DUMMYFUNCTION("""COMPUTED_VALUE"""),34.0)</f>
        <v>34</v>
      </c>
      <c r="E489" s="4">
        <f>IFERROR(__xludf.DUMMYFUNCTION("""COMPUTED_VALUE"""),81.0)</f>
        <v>81</v>
      </c>
      <c r="F489" s="4">
        <f>IFERROR(__xludf.DUMMYFUNCTION("""COMPUTED_VALUE"""),2.0)</f>
        <v>2</v>
      </c>
      <c r="G489" s="4">
        <f>IFERROR(__xludf.DUMMYFUNCTION("""COMPUTED_VALUE"""),577.0)</f>
        <v>577</v>
      </c>
      <c r="H489" s="5">
        <f>IFERROR(__xludf.DUMMYFUNCTION("""COMPUTED_VALUE"""),104.91)</f>
        <v>104.91</v>
      </c>
      <c r="I489" s="5">
        <f>IFERROR(__xludf.DUMMYFUNCTION("""COMPUTED_VALUE"""),1539.34)</f>
        <v>1539.34</v>
      </c>
      <c r="J489" s="5">
        <f>IFERROR(__xludf.DUMMYFUNCTION("""COMPUTED_VALUE"""),1917.33)</f>
        <v>1917.33</v>
      </c>
      <c r="K489" s="5">
        <f>IFERROR(__xludf.DUMMYFUNCTION("""COMPUTED_VALUE"""),9284.43)</f>
        <v>9284.43</v>
      </c>
      <c r="L489" s="4">
        <f>IFERROR(__xludf.DUMMYFUNCTION("""COMPUTED_VALUE"""),12.0)</f>
        <v>12</v>
      </c>
      <c r="M489" s="4">
        <f>IFERROR(__xludf.DUMMYFUNCTION("""COMPUTED_VALUE"""),94.0)</f>
        <v>94</v>
      </c>
      <c r="N489" s="2" t="str">
        <f>IFERROR(__xludf.DUMMYFUNCTION("""COMPUTED_VALUE"""),"VERDADERO")</f>
        <v>VERDADERO</v>
      </c>
    </row>
    <row r="490">
      <c r="A490" s="2">
        <f>IFERROR(__xludf.DUMMYFUNCTION("""COMPUTED_VALUE"""),489.0)</f>
        <v>489</v>
      </c>
      <c r="B490" s="2" t="str">
        <f>IFERROR(__xludf.DUMMYFUNCTION("""COMPUTED_VALUE"""),"Raquel Luxton")</f>
        <v>Raquel Luxton</v>
      </c>
      <c r="C490" s="2" t="str">
        <f>IFERROR(__xludf.DUMMYFUNCTION("""COMPUTED_VALUE"""),"rluxtondl@naver.com")</f>
        <v>rluxtondl@naver.com</v>
      </c>
      <c r="D490" s="4">
        <f>IFERROR(__xludf.DUMMYFUNCTION("""COMPUTED_VALUE"""),65.0)</f>
        <v>65</v>
      </c>
      <c r="E490" s="4">
        <f>IFERROR(__xludf.DUMMYFUNCTION("""COMPUTED_VALUE"""),107.0)</f>
        <v>107</v>
      </c>
      <c r="F490" s="4">
        <f>IFERROR(__xludf.DUMMYFUNCTION("""COMPUTED_VALUE"""),5.0)</f>
        <v>5</v>
      </c>
      <c r="G490" s="4">
        <f>IFERROR(__xludf.DUMMYFUNCTION("""COMPUTED_VALUE"""),357.0)</f>
        <v>357</v>
      </c>
      <c r="H490" s="5">
        <f>IFERROR(__xludf.DUMMYFUNCTION("""COMPUTED_VALUE"""),3391.96)</f>
        <v>3391.96</v>
      </c>
      <c r="I490" s="5">
        <f>IFERROR(__xludf.DUMMYFUNCTION("""COMPUTED_VALUE"""),4225.12)</f>
        <v>4225.12</v>
      </c>
      <c r="J490" s="5">
        <f>IFERROR(__xludf.DUMMYFUNCTION("""COMPUTED_VALUE"""),676.81)</f>
        <v>676.81</v>
      </c>
      <c r="K490" s="5">
        <f>IFERROR(__xludf.DUMMYFUNCTION("""COMPUTED_VALUE"""),687.49)</f>
        <v>687.49</v>
      </c>
      <c r="L490" s="4">
        <f>IFERROR(__xludf.DUMMYFUNCTION("""COMPUTED_VALUE"""),12.0)</f>
        <v>12</v>
      </c>
      <c r="M490" s="4">
        <f>IFERROR(__xludf.DUMMYFUNCTION("""COMPUTED_VALUE"""),62.0)</f>
        <v>62</v>
      </c>
      <c r="N490" s="2" t="str">
        <f>IFERROR(__xludf.DUMMYFUNCTION("""COMPUTED_VALUE"""),"FALSO")</f>
        <v>FALSO</v>
      </c>
    </row>
    <row r="491">
      <c r="A491" s="2">
        <f>IFERROR(__xludf.DUMMYFUNCTION("""COMPUTED_VALUE"""),490.0)</f>
        <v>490</v>
      </c>
      <c r="B491" s="2" t="str">
        <f>IFERROR(__xludf.DUMMYFUNCTION("""COMPUTED_VALUE"""),"Ines Cosslett")</f>
        <v>Ines Cosslett</v>
      </c>
      <c r="C491" s="2" t="str">
        <f>IFERROR(__xludf.DUMMYFUNCTION("""COMPUTED_VALUE"""),"icosslettdm@freewebs.com")</f>
        <v>icosslettdm@freewebs.com</v>
      </c>
      <c r="D491" s="4">
        <f>IFERROR(__xludf.DUMMYFUNCTION("""COMPUTED_VALUE"""),29.0)</f>
        <v>29</v>
      </c>
      <c r="E491" s="4">
        <f>IFERROR(__xludf.DUMMYFUNCTION("""COMPUTED_VALUE"""),81.0)</f>
        <v>81</v>
      </c>
      <c r="F491" s="4">
        <f>IFERROR(__xludf.DUMMYFUNCTION("""COMPUTED_VALUE"""),2.0)</f>
        <v>2</v>
      </c>
      <c r="G491" s="4">
        <f>IFERROR(__xludf.DUMMYFUNCTION("""COMPUTED_VALUE"""),223.0)</f>
        <v>223</v>
      </c>
      <c r="H491" s="5">
        <f>IFERROR(__xludf.DUMMYFUNCTION("""COMPUTED_VALUE"""),3302.96)</f>
        <v>3302.96</v>
      </c>
      <c r="I491" s="5">
        <f>IFERROR(__xludf.DUMMYFUNCTION("""COMPUTED_VALUE"""),6358.98)</f>
        <v>6358.98</v>
      </c>
      <c r="J491" s="5">
        <f>IFERROR(__xludf.DUMMYFUNCTION("""COMPUTED_VALUE"""),4273.45)</f>
        <v>4273.45</v>
      </c>
      <c r="K491" s="5">
        <f>IFERROR(__xludf.DUMMYFUNCTION("""COMPUTED_VALUE"""),3013.54)</f>
        <v>3013.54</v>
      </c>
      <c r="L491" s="4">
        <f>IFERROR(__xludf.DUMMYFUNCTION("""COMPUTED_VALUE"""),5.0)</f>
        <v>5</v>
      </c>
      <c r="M491" s="4">
        <f>IFERROR(__xludf.DUMMYFUNCTION("""COMPUTED_VALUE"""),100.0)</f>
        <v>100</v>
      </c>
      <c r="N491" s="2" t="str">
        <f>IFERROR(__xludf.DUMMYFUNCTION("""COMPUTED_VALUE"""),"FALSO")</f>
        <v>FALSO</v>
      </c>
    </row>
    <row r="492">
      <c r="A492" s="2">
        <f>IFERROR(__xludf.DUMMYFUNCTION("""COMPUTED_VALUE"""),491.0)</f>
        <v>491</v>
      </c>
      <c r="B492" s="2" t="str">
        <f>IFERROR(__xludf.DUMMYFUNCTION("""COMPUTED_VALUE"""),"Althea Heindl")</f>
        <v>Althea Heindl</v>
      </c>
      <c r="C492" s="2" t="str">
        <f>IFERROR(__xludf.DUMMYFUNCTION("""COMPUTED_VALUE"""),"aheindldn@parallels.com")</f>
        <v>aheindldn@parallels.com</v>
      </c>
      <c r="D492" s="4">
        <f>IFERROR(__xludf.DUMMYFUNCTION("""COMPUTED_VALUE"""),55.0)</f>
        <v>55</v>
      </c>
      <c r="E492" s="4">
        <f>IFERROR(__xludf.DUMMYFUNCTION("""COMPUTED_VALUE"""),71.0)</f>
        <v>71</v>
      </c>
      <c r="F492" s="4">
        <f>IFERROR(__xludf.DUMMYFUNCTION("""COMPUTED_VALUE"""),6.0)</f>
        <v>6</v>
      </c>
      <c r="G492" s="4">
        <f>IFERROR(__xludf.DUMMYFUNCTION("""COMPUTED_VALUE"""),1027.0)</f>
        <v>1027</v>
      </c>
      <c r="H492" s="5">
        <f>IFERROR(__xludf.DUMMYFUNCTION("""COMPUTED_VALUE"""),1195.36)</f>
        <v>1195.36</v>
      </c>
      <c r="I492" s="5">
        <f>IFERROR(__xludf.DUMMYFUNCTION("""COMPUTED_VALUE"""),1168.62)</f>
        <v>1168.62</v>
      </c>
      <c r="J492" s="5">
        <f>IFERROR(__xludf.DUMMYFUNCTION("""COMPUTED_VALUE"""),7333.66)</f>
        <v>7333.66</v>
      </c>
      <c r="K492" s="5">
        <f>IFERROR(__xludf.DUMMYFUNCTION("""COMPUTED_VALUE"""),4616.13)</f>
        <v>4616.13</v>
      </c>
      <c r="L492" s="4">
        <f>IFERROR(__xludf.DUMMYFUNCTION("""COMPUTED_VALUE"""),15.0)</f>
        <v>15</v>
      </c>
      <c r="M492" s="4">
        <f>IFERROR(__xludf.DUMMYFUNCTION("""COMPUTED_VALUE"""),41.0)</f>
        <v>41</v>
      </c>
      <c r="N492" s="2" t="str">
        <f>IFERROR(__xludf.DUMMYFUNCTION("""COMPUTED_VALUE"""),"VERDADERO")</f>
        <v>VERDADERO</v>
      </c>
    </row>
    <row r="493">
      <c r="A493" s="2">
        <f>IFERROR(__xludf.DUMMYFUNCTION("""COMPUTED_VALUE"""),492.0)</f>
        <v>492</v>
      </c>
      <c r="B493" s="2" t="str">
        <f>IFERROR(__xludf.DUMMYFUNCTION("""COMPUTED_VALUE"""),"Alric Thamelt")</f>
        <v>Alric Thamelt</v>
      </c>
      <c r="C493" s="2" t="str">
        <f>IFERROR(__xludf.DUMMYFUNCTION("""COMPUTED_VALUE"""),"athameltdo@apache.org")</f>
        <v>athameltdo@apache.org</v>
      </c>
      <c r="D493" s="4">
        <f>IFERROR(__xludf.DUMMYFUNCTION("""COMPUTED_VALUE"""),29.0)</f>
        <v>29</v>
      </c>
      <c r="E493" s="4">
        <f>IFERROR(__xludf.DUMMYFUNCTION("""COMPUTED_VALUE"""),55.0)</f>
        <v>55</v>
      </c>
      <c r="F493" s="4">
        <f>IFERROR(__xludf.DUMMYFUNCTION("""COMPUTED_VALUE"""),8.0)</f>
        <v>8</v>
      </c>
      <c r="G493" s="4">
        <f>IFERROR(__xludf.DUMMYFUNCTION("""COMPUTED_VALUE"""),1357.0)</f>
        <v>1357</v>
      </c>
      <c r="H493" s="5">
        <f>IFERROR(__xludf.DUMMYFUNCTION("""COMPUTED_VALUE"""),5257.48)</f>
        <v>5257.48</v>
      </c>
      <c r="I493" s="5">
        <f>IFERROR(__xludf.DUMMYFUNCTION("""COMPUTED_VALUE"""),6195.93)</f>
        <v>6195.93</v>
      </c>
      <c r="J493" s="5">
        <f>IFERROR(__xludf.DUMMYFUNCTION("""COMPUTED_VALUE"""),8748.45)</f>
        <v>8748.45</v>
      </c>
      <c r="K493" s="5">
        <f>IFERROR(__xludf.DUMMYFUNCTION("""COMPUTED_VALUE"""),7054.73)</f>
        <v>7054.73</v>
      </c>
      <c r="L493" s="4">
        <f>IFERROR(__xludf.DUMMYFUNCTION("""COMPUTED_VALUE"""),10.0)</f>
        <v>10</v>
      </c>
      <c r="M493" s="4">
        <f>IFERROR(__xludf.DUMMYFUNCTION("""COMPUTED_VALUE"""),69.0)</f>
        <v>69</v>
      </c>
      <c r="N493" s="2" t="str">
        <f>IFERROR(__xludf.DUMMYFUNCTION("""COMPUTED_VALUE"""),"VERDADERO")</f>
        <v>VERDADERO</v>
      </c>
    </row>
    <row r="494">
      <c r="A494" s="2">
        <f>IFERROR(__xludf.DUMMYFUNCTION("""COMPUTED_VALUE"""),493.0)</f>
        <v>493</v>
      </c>
      <c r="B494" s="2" t="str">
        <f>IFERROR(__xludf.DUMMYFUNCTION("""COMPUTED_VALUE"""),"Mariele Webermann")</f>
        <v>Mariele Webermann</v>
      </c>
      <c r="C494" s="2" t="str">
        <f>IFERROR(__xludf.DUMMYFUNCTION("""COMPUTED_VALUE"""),"mwebermanndp@histats.com")</f>
        <v>mwebermanndp@histats.com</v>
      </c>
      <c r="D494" s="4">
        <f>IFERROR(__xludf.DUMMYFUNCTION("""COMPUTED_VALUE"""),75.0)</f>
        <v>75</v>
      </c>
      <c r="E494" s="4">
        <f>IFERROR(__xludf.DUMMYFUNCTION("""COMPUTED_VALUE"""),85.0)</f>
        <v>85</v>
      </c>
      <c r="F494" s="4">
        <f>IFERROR(__xludf.DUMMYFUNCTION("""COMPUTED_VALUE"""),3.0)</f>
        <v>3</v>
      </c>
      <c r="G494" s="4">
        <f>IFERROR(__xludf.DUMMYFUNCTION("""COMPUTED_VALUE"""),1428.0)</f>
        <v>1428</v>
      </c>
      <c r="H494" s="5">
        <f>IFERROR(__xludf.DUMMYFUNCTION("""COMPUTED_VALUE"""),2097.17)</f>
        <v>2097.17</v>
      </c>
      <c r="I494" s="5">
        <f>IFERROR(__xludf.DUMMYFUNCTION("""COMPUTED_VALUE"""),1788.53)</f>
        <v>1788.53</v>
      </c>
      <c r="J494" s="5">
        <f>IFERROR(__xludf.DUMMYFUNCTION("""COMPUTED_VALUE"""),7872.78)</f>
        <v>7872.78</v>
      </c>
      <c r="K494" s="5">
        <f>IFERROR(__xludf.DUMMYFUNCTION("""COMPUTED_VALUE"""),9672.99)</f>
        <v>9672.99</v>
      </c>
      <c r="L494" s="4">
        <f>IFERROR(__xludf.DUMMYFUNCTION("""COMPUTED_VALUE"""),4.0)</f>
        <v>4</v>
      </c>
      <c r="M494" s="4">
        <f>IFERROR(__xludf.DUMMYFUNCTION("""COMPUTED_VALUE"""),84.0)</f>
        <v>84</v>
      </c>
      <c r="N494" s="2" t="str">
        <f>IFERROR(__xludf.DUMMYFUNCTION("""COMPUTED_VALUE"""),"VERDADERO")</f>
        <v>VERDADERO</v>
      </c>
    </row>
    <row r="495">
      <c r="A495" s="2">
        <f>IFERROR(__xludf.DUMMYFUNCTION("""COMPUTED_VALUE"""),494.0)</f>
        <v>494</v>
      </c>
      <c r="B495" s="2" t="str">
        <f>IFERROR(__xludf.DUMMYFUNCTION("""COMPUTED_VALUE"""),"Ferdinanda Quipp")</f>
        <v>Ferdinanda Quipp</v>
      </c>
      <c r="C495" s="2" t="str">
        <f>IFERROR(__xludf.DUMMYFUNCTION("""COMPUTED_VALUE"""),"fquippdq@cnn.com")</f>
        <v>fquippdq@cnn.com</v>
      </c>
      <c r="D495" s="4">
        <f>IFERROR(__xludf.DUMMYFUNCTION("""COMPUTED_VALUE"""),29.0)</f>
        <v>29</v>
      </c>
      <c r="E495" s="4">
        <f>IFERROR(__xludf.DUMMYFUNCTION("""COMPUTED_VALUE"""),53.0)</f>
        <v>53</v>
      </c>
      <c r="F495" s="4">
        <f>IFERROR(__xludf.DUMMYFUNCTION("""COMPUTED_VALUE"""),9.0)</f>
        <v>9</v>
      </c>
      <c r="G495" s="4">
        <f>IFERROR(__xludf.DUMMYFUNCTION("""COMPUTED_VALUE"""),905.0)</f>
        <v>905</v>
      </c>
      <c r="H495" s="5">
        <f>IFERROR(__xludf.DUMMYFUNCTION("""COMPUTED_VALUE"""),7637.0)</f>
        <v>7637</v>
      </c>
      <c r="I495" s="5">
        <f>IFERROR(__xludf.DUMMYFUNCTION("""COMPUTED_VALUE"""),2834.45)</f>
        <v>2834.45</v>
      </c>
      <c r="J495" s="5">
        <f>IFERROR(__xludf.DUMMYFUNCTION("""COMPUTED_VALUE"""),6658.14)</f>
        <v>6658.14</v>
      </c>
      <c r="K495" s="5">
        <f>IFERROR(__xludf.DUMMYFUNCTION("""COMPUTED_VALUE"""),6109.08)</f>
        <v>6109.08</v>
      </c>
      <c r="L495" s="4">
        <f>IFERROR(__xludf.DUMMYFUNCTION("""COMPUTED_VALUE"""),7.0)</f>
        <v>7</v>
      </c>
      <c r="M495" s="4">
        <f>IFERROR(__xludf.DUMMYFUNCTION("""COMPUTED_VALUE"""),39.0)</f>
        <v>39</v>
      </c>
      <c r="N495" s="2" t="str">
        <f>IFERROR(__xludf.DUMMYFUNCTION("""COMPUTED_VALUE"""),"FALSO")</f>
        <v>FALSO</v>
      </c>
    </row>
    <row r="496">
      <c r="A496" s="2">
        <f>IFERROR(__xludf.DUMMYFUNCTION("""COMPUTED_VALUE"""),495.0)</f>
        <v>495</v>
      </c>
      <c r="B496" s="2" t="str">
        <f>IFERROR(__xludf.DUMMYFUNCTION("""COMPUTED_VALUE"""),"Vivyanne Sabin")</f>
        <v>Vivyanne Sabin</v>
      </c>
      <c r="C496" s="2" t="str">
        <f>IFERROR(__xludf.DUMMYFUNCTION("""COMPUTED_VALUE"""),"vsabindr@feedburner.com")</f>
        <v>vsabindr@feedburner.com</v>
      </c>
      <c r="D496" s="4">
        <f>IFERROR(__xludf.DUMMYFUNCTION("""COMPUTED_VALUE"""),142.0)</f>
        <v>142</v>
      </c>
      <c r="E496" s="4">
        <f>IFERROR(__xludf.DUMMYFUNCTION("""COMPUTED_VALUE"""),81.0)</f>
        <v>81</v>
      </c>
      <c r="F496" s="4">
        <f>IFERROR(__xludf.DUMMYFUNCTION("""COMPUTED_VALUE"""),2.0)</f>
        <v>2</v>
      </c>
      <c r="G496" s="4">
        <f>IFERROR(__xludf.DUMMYFUNCTION("""COMPUTED_VALUE"""),396.0)</f>
        <v>396</v>
      </c>
      <c r="H496" s="5">
        <f>IFERROR(__xludf.DUMMYFUNCTION("""COMPUTED_VALUE"""),2349.04)</f>
        <v>2349.04</v>
      </c>
      <c r="I496" s="5">
        <f>IFERROR(__xludf.DUMMYFUNCTION("""COMPUTED_VALUE"""),4467.13)</f>
        <v>4467.13</v>
      </c>
      <c r="J496" s="5">
        <f>IFERROR(__xludf.DUMMYFUNCTION("""COMPUTED_VALUE"""),3549.6)</f>
        <v>3549.6</v>
      </c>
      <c r="K496" s="5">
        <f>IFERROR(__xludf.DUMMYFUNCTION("""COMPUTED_VALUE"""),4688.98)</f>
        <v>4688.98</v>
      </c>
      <c r="L496" s="4">
        <f>IFERROR(__xludf.DUMMYFUNCTION("""COMPUTED_VALUE"""),8.0)</f>
        <v>8</v>
      </c>
      <c r="M496" s="4">
        <f>IFERROR(__xludf.DUMMYFUNCTION("""COMPUTED_VALUE"""),42.0)</f>
        <v>42</v>
      </c>
      <c r="N496" s="2" t="str">
        <f>IFERROR(__xludf.DUMMYFUNCTION("""COMPUTED_VALUE"""),"VERDADERO")</f>
        <v>VERDADERO</v>
      </c>
    </row>
    <row r="497">
      <c r="A497" s="2">
        <f>IFERROR(__xludf.DUMMYFUNCTION("""COMPUTED_VALUE"""),496.0)</f>
        <v>496</v>
      </c>
      <c r="B497" s="2" t="str">
        <f>IFERROR(__xludf.DUMMYFUNCTION("""COMPUTED_VALUE"""),"Adrienne Sedgemore")</f>
        <v>Adrienne Sedgemore</v>
      </c>
      <c r="C497" s="2" t="str">
        <f>IFERROR(__xludf.DUMMYFUNCTION("""COMPUTED_VALUE"""),"asedgemoreds@globo.com")</f>
        <v>asedgemoreds@globo.com</v>
      </c>
      <c r="D497" s="4">
        <f>IFERROR(__xludf.DUMMYFUNCTION("""COMPUTED_VALUE"""),73.0)</f>
        <v>73</v>
      </c>
      <c r="E497" s="4">
        <f>IFERROR(__xludf.DUMMYFUNCTION("""COMPUTED_VALUE"""),30.0)</f>
        <v>30</v>
      </c>
      <c r="F497" s="4">
        <f>IFERROR(__xludf.DUMMYFUNCTION("""COMPUTED_VALUE"""),11.0)</f>
        <v>11</v>
      </c>
      <c r="G497" s="4">
        <f>IFERROR(__xludf.DUMMYFUNCTION("""COMPUTED_VALUE"""),768.0)</f>
        <v>768</v>
      </c>
      <c r="H497" s="5">
        <f>IFERROR(__xludf.DUMMYFUNCTION("""COMPUTED_VALUE"""),6933.91)</f>
        <v>6933.91</v>
      </c>
      <c r="I497" s="5">
        <f>IFERROR(__xludf.DUMMYFUNCTION("""COMPUTED_VALUE"""),9629.03)</f>
        <v>9629.03</v>
      </c>
      <c r="J497" s="5">
        <f>IFERROR(__xludf.DUMMYFUNCTION("""COMPUTED_VALUE"""),7682.42)</f>
        <v>7682.42</v>
      </c>
      <c r="K497" s="5">
        <f>IFERROR(__xludf.DUMMYFUNCTION("""COMPUTED_VALUE"""),2510.31)</f>
        <v>2510.31</v>
      </c>
      <c r="L497" s="4">
        <f>IFERROR(__xludf.DUMMYFUNCTION("""COMPUTED_VALUE"""),10.0)</f>
        <v>10</v>
      </c>
      <c r="M497" s="4">
        <f>IFERROR(__xludf.DUMMYFUNCTION("""COMPUTED_VALUE"""),42.0)</f>
        <v>42</v>
      </c>
      <c r="N497" s="2" t="str">
        <f>IFERROR(__xludf.DUMMYFUNCTION("""COMPUTED_VALUE"""),"VERDADERO")</f>
        <v>VERDADERO</v>
      </c>
    </row>
    <row r="498">
      <c r="A498" s="2">
        <f>IFERROR(__xludf.DUMMYFUNCTION("""COMPUTED_VALUE"""),497.0)</f>
        <v>497</v>
      </c>
      <c r="B498" s="2" t="str">
        <f>IFERROR(__xludf.DUMMYFUNCTION("""COMPUTED_VALUE"""),"Jehu Brugmann")</f>
        <v>Jehu Brugmann</v>
      </c>
      <c r="C498" s="2" t="str">
        <f>IFERROR(__xludf.DUMMYFUNCTION("""COMPUTED_VALUE"""),"jbrugmanndt@goo.gl")</f>
        <v>jbrugmanndt@goo.gl</v>
      </c>
      <c r="D498" s="4">
        <f>IFERROR(__xludf.DUMMYFUNCTION("""COMPUTED_VALUE"""),6.0)</f>
        <v>6</v>
      </c>
      <c r="E498" s="4">
        <f>IFERROR(__xludf.DUMMYFUNCTION("""COMPUTED_VALUE"""),79.0)</f>
        <v>79</v>
      </c>
      <c r="F498" s="4">
        <f>IFERROR(__xludf.DUMMYFUNCTION("""COMPUTED_VALUE"""),5.0)</f>
        <v>5</v>
      </c>
      <c r="G498" s="4">
        <f>IFERROR(__xludf.DUMMYFUNCTION("""COMPUTED_VALUE"""),527.0)</f>
        <v>527</v>
      </c>
      <c r="H498" s="5">
        <f>IFERROR(__xludf.DUMMYFUNCTION("""COMPUTED_VALUE"""),5464.09)</f>
        <v>5464.09</v>
      </c>
      <c r="I498" s="5">
        <f>IFERROR(__xludf.DUMMYFUNCTION("""COMPUTED_VALUE"""),6039.93)</f>
        <v>6039.93</v>
      </c>
      <c r="J498" s="5">
        <f>IFERROR(__xludf.DUMMYFUNCTION("""COMPUTED_VALUE"""),3650.47)</f>
        <v>3650.47</v>
      </c>
      <c r="K498" s="5">
        <f>IFERROR(__xludf.DUMMYFUNCTION("""COMPUTED_VALUE"""),7581.45)</f>
        <v>7581.45</v>
      </c>
      <c r="L498" s="4">
        <f>IFERROR(__xludf.DUMMYFUNCTION("""COMPUTED_VALUE"""),18.0)</f>
        <v>18</v>
      </c>
      <c r="M498" s="4">
        <f>IFERROR(__xludf.DUMMYFUNCTION("""COMPUTED_VALUE"""),52.0)</f>
        <v>52</v>
      </c>
      <c r="N498" s="2" t="str">
        <f>IFERROR(__xludf.DUMMYFUNCTION("""COMPUTED_VALUE"""),"VERDADERO")</f>
        <v>VERDADERO</v>
      </c>
    </row>
    <row r="499">
      <c r="A499" s="2">
        <f>IFERROR(__xludf.DUMMYFUNCTION("""COMPUTED_VALUE"""),498.0)</f>
        <v>498</v>
      </c>
      <c r="B499" s="2" t="str">
        <f>IFERROR(__xludf.DUMMYFUNCTION("""COMPUTED_VALUE"""),"Shaine Paradine")</f>
        <v>Shaine Paradine</v>
      </c>
      <c r="C499" s="2" t="str">
        <f>IFERROR(__xludf.DUMMYFUNCTION("""COMPUTED_VALUE"""),"sparadinedu@tiny.cc")</f>
        <v>sparadinedu@tiny.cc</v>
      </c>
      <c r="D499" s="4">
        <f>IFERROR(__xludf.DUMMYFUNCTION("""COMPUTED_VALUE"""),120.0)</f>
        <v>120</v>
      </c>
      <c r="E499" s="4">
        <f>IFERROR(__xludf.DUMMYFUNCTION("""COMPUTED_VALUE"""),96.0)</f>
        <v>96</v>
      </c>
      <c r="F499" s="4">
        <f>IFERROR(__xludf.DUMMYFUNCTION("""COMPUTED_VALUE"""),9.0)</f>
        <v>9</v>
      </c>
      <c r="G499" s="4">
        <f>IFERROR(__xludf.DUMMYFUNCTION("""COMPUTED_VALUE"""),158.0)</f>
        <v>158</v>
      </c>
      <c r="H499" s="5">
        <f>IFERROR(__xludf.DUMMYFUNCTION("""COMPUTED_VALUE"""),4049.97)</f>
        <v>4049.97</v>
      </c>
      <c r="I499" s="5">
        <f>IFERROR(__xludf.DUMMYFUNCTION("""COMPUTED_VALUE"""),7281.45)</f>
        <v>7281.45</v>
      </c>
      <c r="J499" s="5">
        <f>IFERROR(__xludf.DUMMYFUNCTION("""COMPUTED_VALUE"""),203.47)</f>
        <v>203.47</v>
      </c>
      <c r="K499" s="5">
        <f>IFERROR(__xludf.DUMMYFUNCTION("""COMPUTED_VALUE"""),9189.66)</f>
        <v>9189.66</v>
      </c>
      <c r="L499" s="4">
        <f>IFERROR(__xludf.DUMMYFUNCTION("""COMPUTED_VALUE"""),17.0)</f>
        <v>17</v>
      </c>
      <c r="M499" s="4">
        <f>IFERROR(__xludf.DUMMYFUNCTION("""COMPUTED_VALUE"""),93.0)</f>
        <v>93</v>
      </c>
      <c r="N499" s="2" t="str">
        <f>IFERROR(__xludf.DUMMYFUNCTION("""COMPUTED_VALUE"""),"VERDADERO")</f>
        <v>VERDADERO</v>
      </c>
    </row>
    <row r="500">
      <c r="A500" s="2">
        <f>IFERROR(__xludf.DUMMYFUNCTION("""COMPUTED_VALUE"""),499.0)</f>
        <v>499</v>
      </c>
      <c r="B500" s="2" t="str">
        <f>IFERROR(__xludf.DUMMYFUNCTION("""COMPUTED_VALUE"""),"Jeri Conkay")</f>
        <v>Jeri Conkay</v>
      </c>
      <c r="C500" s="2" t="str">
        <f>IFERROR(__xludf.DUMMYFUNCTION("""COMPUTED_VALUE"""),"jconkaydv@geocities.com")</f>
        <v>jconkaydv@geocities.com</v>
      </c>
      <c r="D500" s="4">
        <f>IFERROR(__xludf.DUMMYFUNCTION("""COMPUTED_VALUE"""),154.0)</f>
        <v>154</v>
      </c>
      <c r="E500" s="4">
        <f>IFERROR(__xludf.DUMMYFUNCTION("""COMPUTED_VALUE"""),39.0)</f>
        <v>39</v>
      </c>
      <c r="F500" s="4">
        <f>IFERROR(__xludf.DUMMYFUNCTION("""COMPUTED_VALUE"""),11.0)</f>
        <v>11</v>
      </c>
      <c r="G500" s="4">
        <f>IFERROR(__xludf.DUMMYFUNCTION("""COMPUTED_VALUE"""),1189.0)</f>
        <v>1189</v>
      </c>
      <c r="H500" s="5">
        <f>IFERROR(__xludf.DUMMYFUNCTION("""COMPUTED_VALUE"""),7153.8)</f>
        <v>7153.8</v>
      </c>
      <c r="I500" s="5">
        <f>IFERROR(__xludf.DUMMYFUNCTION("""COMPUTED_VALUE"""),4823.8)</f>
        <v>4823.8</v>
      </c>
      <c r="J500" s="5">
        <f>IFERROR(__xludf.DUMMYFUNCTION("""COMPUTED_VALUE"""),1952.54)</f>
        <v>1952.54</v>
      </c>
      <c r="K500" s="5">
        <f>IFERROR(__xludf.DUMMYFUNCTION("""COMPUTED_VALUE"""),5149.85)</f>
        <v>5149.85</v>
      </c>
      <c r="L500" s="4">
        <f>IFERROR(__xludf.DUMMYFUNCTION("""COMPUTED_VALUE"""),13.0)</f>
        <v>13</v>
      </c>
      <c r="M500" s="4">
        <f>IFERROR(__xludf.DUMMYFUNCTION("""COMPUTED_VALUE"""),82.0)</f>
        <v>82</v>
      </c>
      <c r="N500" s="2" t="str">
        <f>IFERROR(__xludf.DUMMYFUNCTION("""COMPUTED_VALUE"""),"FALSO")</f>
        <v>FALSO</v>
      </c>
    </row>
    <row r="501">
      <c r="A501" s="2">
        <f>IFERROR(__xludf.DUMMYFUNCTION("""COMPUTED_VALUE"""),500.0)</f>
        <v>500</v>
      </c>
      <c r="B501" s="2" t="str">
        <f>IFERROR(__xludf.DUMMYFUNCTION("""COMPUTED_VALUE"""),"Corbett Glenton")</f>
        <v>Corbett Glenton</v>
      </c>
      <c r="C501" s="2" t="str">
        <f>IFERROR(__xludf.DUMMYFUNCTION("""COMPUTED_VALUE"""),"cglentondw@vk.com")</f>
        <v>cglentondw@vk.com</v>
      </c>
      <c r="D501" s="4">
        <f>IFERROR(__xludf.DUMMYFUNCTION("""COMPUTED_VALUE"""),30.0)</f>
        <v>30</v>
      </c>
      <c r="E501" s="4">
        <f>IFERROR(__xludf.DUMMYFUNCTION("""COMPUTED_VALUE"""),81.0)</f>
        <v>81</v>
      </c>
      <c r="F501" s="4">
        <f>IFERROR(__xludf.DUMMYFUNCTION("""COMPUTED_VALUE"""),2.0)</f>
        <v>2</v>
      </c>
      <c r="G501" s="4">
        <f>IFERROR(__xludf.DUMMYFUNCTION("""COMPUTED_VALUE"""),583.0)</f>
        <v>583</v>
      </c>
      <c r="H501" s="5">
        <f>IFERROR(__xludf.DUMMYFUNCTION("""COMPUTED_VALUE"""),1734.28)</f>
        <v>1734.28</v>
      </c>
      <c r="I501" s="5">
        <f>IFERROR(__xludf.DUMMYFUNCTION("""COMPUTED_VALUE"""),1246.15)</f>
        <v>1246.15</v>
      </c>
      <c r="J501" s="5">
        <f>IFERROR(__xludf.DUMMYFUNCTION("""COMPUTED_VALUE"""),1569.18)</f>
        <v>1569.18</v>
      </c>
      <c r="K501" s="5">
        <f>IFERROR(__xludf.DUMMYFUNCTION("""COMPUTED_VALUE"""),9390.01)</f>
        <v>9390.01</v>
      </c>
      <c r="L501" s="4">
        <f>IFERROR(__xludf.DUMMYFUNCTION("""COMPUTED_VALUE"""),13.0)</f>
        <v>13</v>
      </c>
      <c r="M501" s="4">
        <f>IFERROR(__xludf.DUMMYFUNCTION("""COMPUTED_VALUE"""),59.0)</f>
        <v>59</v>
      </c>
      <c r="N501" s="2" t="str">
        <f>IFERROR(__xludf.DUMMYFUNCTION("""COMPUTED_VALUE"""),"FALSO")</f>
        <v>FALSO</v>
      </c>
    </row>
    <row r="502">
      <c r="A502" s="2">
        <f>IFERROR(__xludf.DUMMYFUNCTION("""COMPUTED_VALUE"""),501.0)</f>
        <v>501</v>
      </c>
      <c r="B502" s="2" t="str">
        <f>IFERROR(__xludf.DUMMYFUNCTION("""COMPUTED_VALUE"""),"Gabbey Crathern")</f>
        <v>Gabbey Crathern</v>
      </c>
      <c r="C502" s="2" t="str">
        <f>IFERROR(__xludf.DUMMYFUNCTION("""COMPUTED_VALUE"""),"gcratherndx@earthlink.net")</f>
        <v>gcratherndx@earthlink.net</v>
      </c>
      <c r="D502" s="4">
        <f>IFERROR(__xludf.DUMMYFUNCTION("""COMPUTED_VALUE"""),35.0)</f>
        <v>35</v>
      </c>
      <c r="E502" s="4">
        <f>IFERROR(__xludf.DUMMYFUNCTION("""COMPUTED_VALUE"""),43.0)</f>
        <v>43</v>
      </c>
      <c r="F502" s="4">
        <f>IFERROR(__xludf.DUMMYFUNCTION("""COMPUTED_VALUE"""),5.0)</f>
        <v>5</v>
      </c>
      <c r="G502" s="4">
        <f>IFERROR(__xludf.DUMMYFUNCTION("""COMPUTED_VALUE"""),621.0)</f>
        <v>621</v>
      </c>
      <c r="H502" s="5">
        <f>IFERROR(__xludf.DUMMYFUNCTION("""COMPUTED_VALUE"""),2191.74)</f>
        <v>2191.74</v>
      </c>
      <c r="I502" s="5">
        <f>IFERROR(__xludf.DUMMYFUNCTION("""COMPUTED_VALUE"""),7281.88)</f>
        <v>7281.88</v>
      </c>
      <c r="J502" s="5">
        <f>IFERROR(__xludf.DUMMYFUNCTION("""COMPUTED_VALUE"""),3229.49)</f>
        <v>3229.49</v>
      </c>
      <c r="K502" s="5">
        <f>IFERROR(__xludf.DUMMYFUNCTION("""COMPUTED_VALUE"""),3949.86)</f>
        <v>3949.86</v>
      </c>
      <c r="L502" s="4">
        <f>IFERROR(__xludf.DUMMYFUNCTION("""COMPUTED_VALUE"""),14.0)</f>
        <v>14</v>
      </c>
      <c r="M502" s="4">
        <f>IFERROR(__xludf.DUMMYFUNCTION("""COMPUTED_VALUE"""),48.0)</f>
        <v>48</v>
      </c>
      <c r="N502" s="2" t="str">
        <f>IFERROR(__xludf.DUMMYFUNCTION("""COMPUTED_VALUE"""),"VERDADERO")</f>
        <v>VERDADERO</v>
      </c>
    </row>
    <row r="503">
      <c r="A503" s="2">
        <f>IFERROR(__xludf.DUMMYFUNCTION("""COMPUTED_VALUE"""),502.0)</f>
        <v>502</v>
      </c>
      <c r="B503" s="2" t="str">
        <f>IFERROR(__xludf.DUMMYFUNCTION("""COMPUTED_VALUE"""),"Luce Allaker")</f>
        <v>Luce Allaker</v>
      </c>
      <c r="C503" s="2" t="str">
        <f>IFERROR(__xludf.DUMMYFUNCTION("""COMPUTED_VALUE"""),"lallakerdy@google.fr")</f>
        <v>lallakerdy@google.fr</v>
      </c>
      <c r="D503" s="4">
        <f>IFERROR(__xludf.DUMMYFUNCTION("""COMPUTED_VALUE"""),17.0)</f>
        <v>17</v>
      </c>
      <c r="E503" s="4">
        <f>IFERROR(__xludf.DUMMYFUNCTION("""COMPUTED_VALUE"""),21.0)</f>
        <v>21</v>
      </c>
      <c r="F503" s="4">
        <f>IFERROR(__xludf.DUMMYFUNCTION("""COMPUTED_VALUE"""),12.0)</f>
        <v>12</v>
      </c>
      <c r="G503" s="4">
        <f>IFERROR(__xludf.DUMMYFUNCTION("""COMPUTED_VALUE"""),1220.0)</f>
        <v>1220</v>
      </c>
      <c r="H503" s="5">
        <f>IFERROR(__xludf.DUMMYFUNCTION("""COMPUTED_VALUE"""),1863.39)</f>
        <v>1863.39</v>
      </c>
      <c r="I503" s="5">
        <f>IFERROR(__xludf.DUMMYFUNCTION("""COMPUTED_VALUE"""),3506.32)</f>
        <v>3506.32</v>
      </c>
      <c r="J503" s="5">
        <f>IFERROR(__xludf.DUMMYFUNCTION("""COMPUTED_VALUE"""),6512.02)</f>
        <v>6512.02</v>
      </c>
      <c r="K503" s="5">
        <f>IFERROR(__xludf.DUMMYFUNCTION("""COMPUTED_VALUE"""),8464.56)</f>
        <v>8464.56</v>
      </c>
      <c r="L503" s="4">
        <f>IFERROR(__xludf.DUMMYFUNCTION("""COMPUTED_VALUE"""),1.0)</f>
        <v>1</v>
      </c>
      <c r="M503" s="4">
        <f>IFERROR(__xludf.DUMMYFUNCTION("""COMPUTED_VALUE"""),24.0)</f>
        <v>24</v>
      </c>
      <c r="N503" s="2" t="str">
        <f>IFERROR(__xludf.DUMMYFUNCTION("""COMPUTED_VALUE"""),"VERDADERO")</f>
        <v>VERDADERO</v>
      </c>
    </row>
    <row r="504">
      <c r="A504" s="2">
        <f>IFERROR(__xludf.DUMMYFUNCTION("""COMPUTED_VALUE"""),503.0)</f>
        <v>503</v>
      </c>
      <c r="B504" s="2" t="str">
        <f>IFERROR(__xludf.DUMMYFUNCTION("""COMPUTED_VALUE"""),"Kenyon Prettjohn")</f>
        <v>Kenyon Prettjohn</v>
      </c>
      <c r="C504" s="2" t="str">
        <f>IFERROR(__xludf.DUMMYFUNCTION("""COMPUTED_VALUE"""),"kprettjohndz@icq.com")</f>
        <v>kprettjohndz@icq.com</v>
      </c>
      <c r="D504" s="4">
        <f>IFERROR(__xludf.DUMMYFUNCTION("""COMPUTED_VALUE"""),65.0)</f>
        <v>65</v>
      </c>
      <c r="E504" s="4">
        <f>IFERROR(__xludf.DUMMYFUNCTION("""COMPUTED_VALUE"""),58.0)</f>
        <v>58</v>
      </c>
      <c r="F504" s="4">
        <f>IFERROR(__xludf.DUMMYFUNCTION("""COMPUTED_VALUE"""),8.0)</f>
        <v>8</v>
      </c>
      <c r="G504" s="4">
        <f>IFERROR(__xludf.DUMMYFUNCTION("""COMPUTED_VALUE"""),1436.0)</f>
        <v>1436</v>
      </c>
      <c r="H504" s="5">
        <f>IFERROR(__xludf.DUMMYFUNCTION("""COMPUTED_VALUE"""),9229.16)</f>
        <v>9229.16</v>
      </c>
      <c r="I504" s="5">
        <f>IFERROR(__xludf.DUMMYFUNCTION("""COMPUTED_VALUE"""),3606.71)</f>
        <v>3606.71</v>
      </c>
      <c r="J504" s="5">
        <f>IFERROR(__xludf.DUMMYFUNCTION("""COMPUTED_VALUE"""),9237.48)</f>
        <v>9237.48</v>
      </c>
      <c r="K504" s="5">
        <f>IFERROR(__xludf.DUMMYFUNCTION("""COMPUTED_VALUE"""),8687.9)</f>
        <v>8687.9</v>
      </c>
      <c r="L504" s="4">
        <f>IFERROR(__xludf.DUMMYFUNCTION("""COMPUTED_VALUE"""),10.0)</f>
        <v>10</v>
      </c>
      <c r="M504" s="4">
        <f>IFERROR(__xludf.DUMMYFUNCTION("""COMPUTED_VALUE"""),86.0)</f>
        <v>86</v>
      </c>
      <c r="N504" s="2" t="str">
        <f>IFERROR(__xludf.DUMMYFUNCTION("""COMPUTED_VALUE"""),"VERDADERO")</f>
        <v>VERDADERO</v>
      </c>
    </row>
    <row r="505">
      <c r="A505" s="2">
        <f>IFERROR(__xludf.DUMMYFUNCTION("""COMPUTED_VALUE"""),504.0)</f>
        <v>504</v>
      </c>
      <c r="B505" s="2" t="str">
        <f>IFERROR(__xludf.DUMMYFUNCTION("""COMPUTED_VALUE"""),"Natty Barker")</f>
        <v>Natty Barker</v>
      </c>
      <c r="C505" s="2" t="str">
        <f>IFERROR(__xludf.DUMMYFUNCTION("""COMPUTED_VALUE"""),"nbarkere0@businessinsider.com")</f>
        <v>nbarkere0@businessinsider.com</v>
      </c>
      <c r="D505" s="4">
        <f>IFERROR(__xludf.DUMMYFUNCTION("""COMPUTED_VALUE"""),29.0)</f>
        <v>29</v>
      </c>
      <c r="E505" s="4">
        <f>IFERROR(__xludf.DUMMYFUNCTION("""COMPUTED_VALUE"""),100.0)</f>
        <v>100</v>
      </c>
      <c r="F505" s="4">
        <f>IFERROR(__xludf.DUMMYFUNCTION("""COMPUTED_VALUE"""),9.0)</f>
        <v>9</v>
      </c>
      <c r="G505" s="4">
        <f>IFERROR(__xludf.DUMMYFUNCTION("""COMPUTED_VALUE"""),656.0)</f>
        <v>656</v>
      </c>
      <c r="H505" s="5">
        <f>IFERROR(__xludf.DUMMYFUNCTION("""COMPUTED_VALUE"""),2287.77)</f>
        <v>2287.77</v>
      </c>
      <c r="I505" s="5">
        <f>IFERROR(__xludf.DUMMYFUNCTION("""COMPUTED_VALUE"""),2078.04)</f>
        <v>2078.04</v>
      </c>
      <c r="J505" s="5">
        <f>IFERROR(__xludf.DUMMYFUNCTION("""COMPUTED_VALUE"""),7523.44)</f>
        <v>7523.44</v>
      </c>
      <c r="K505" s="5">
        <f>IFERROR(__xludf.DUMMYFUNCTION("""COMPUTED_VALUE"""),4772.85)</f>
        <v>4772.85</v>
      </c>
      <c r="L505" s="4">
        <f>IFERROR(__xludf.DUMMYFUNCTION("""COMPUTED_VALUE"""),6.0)</f>
        <v>6</v>
      </c>
      <c r="M505" s="4">
        <f>IFERROR(__xludf.DUMMYFUNCTION("""COMPUTED_VALUE"""),13.0)</f>
        <v>13</v>
      </c>
      <c r="N505" s="2" t="str">
        <f>IFERROR(__xludf.DUMMYFUNCTION("""COMPUTED_VALUE"""),"VERDADERO")</f>
        <v>VERDADERO</v>
      </c>
    </row>
    <row r="506">
      <c r="A506" s="2">
        <f>IFERROR(__xludf.DUMMYFUNCTION("""COMPUTED_VALUE"""),505.0)</f>
        <v>505</v>
      </c>
      <c r="B506" s="2" t="str">
        <f>IFERROR(__xludf.DUMMYFUNCTION("""COMPUTED_VALUE"""),"Karin Birdis")</f>
        <v>Karin Birdis</v>
      </c>
      <c r="C506" s="2" t="str">
        <f>IFERROR(__xludf.DUMMYFUNCTION("""COMPUTED_VALUE"""),"kbirdise1@chicagotribune.com")</f>
        <v>kbirdise1@chicagotribune.com</v>
      </c>
      <c r="D506" s="4">
        <f>IFERROR(__xludf.DUMMYFUNCTION("""COMPUTED_VALUE"""),90.0)</f>
        <v>90</v>
      </c>
      <c r="E506" s="4">
        <f>IFERROR(__xludf.DUMMYFUNCTION("""COMPUTED_VALUE"""),81.0)</f>
        <v>81</v>
      </c>
      <c r="F506" s="4">
        <f>IFERROR(__xludf.DUMMYFUNCTION("""COMPUTED_VALUE"""),2.0)</f>
        <v>2</v>
      </c>
      <c r="G506" s="4">
        <f>IFERROR(__xludf.DUMMYFUNCTION("""COMPUTED_VALUE"""),1162.0)</f>
        <v>1162</v>
      </c>
      <c r="H506" s="5">
        <f>IFERROR(__xludf.DUMMYFUNCTION("""COMPUTED_VALUE"""),3274.14)</f>
        <v>3274.14</v>
      </c>
      <c r="I506" s="5">
        <f>IFERROR(__xludf.DUMMYFUNCTION("""COMPUTED_VALUE"""),9040.44)</f>
        <v>9040.44</v>
      </c>
      <c r="J506" s="5">
        <f>IFERROR(__xludf.DUMMYFUNCTION("""COMPUTED_VALUE"""),5246.55)</f>
        <v>5246.55</v>
      </c>
      <c r="K506" s="5">
        <f>IFERROR(__xludf.DUMMYFUNCTION("""COMPUTED_VALUE"""),9270.33)</f>
        <v>9270.33</v>
      </c>
      <c r="L506" s="4">
        <f>IFERROR(__xludf.DUMMYFUNCTION("""COMPUTED_VALUE"""),11.0)</f>
        <v>11</v>
      </c>
      <c r="M506" s="4">
        <f>IFERROR(__xludf.DUMMYFUNCTION("""COMPUTED_VALUE"""),29.0)</f>
        <v>29</v>
      </c>
      <c r="N506" s="2" t="str">
        <f>IFERROR(__xludf.DUMMYFUNCTION("""COMPUTED_VALUE"""),"FALSO")</f>
        <v>FALSO</v>
      </c>
    </row>
    <row r="507">
      <c r="A507" s="2">
        <f>IFERROR(__xludf.DUMMYFUNCTION("""COMPUTED_VALUE"""),506.0)</f>
        <v>506</v>
      </c>
      <c r="B507" s="2" t="str">
        <f>IFERROR(__xludf.DUMMYFUNCTION("""COMPUTED_VALUE"""),"Easter Emblow")</f>
        <v>Easter Emblow</v>
      </c>
      <c r="C507" s="2" t="str">
        <f>IFERROR(__xludf.DUMMYFUNCTION("""COMPUTED_VALUE"""),"eemblowe2@intel.com")</f>
        <v>eemblowe2@intel.com</v>
      </c>
      <c r="D507" s="4">
        <f>IFERROR(__xludf.DUMMYFUNCTION("""COMPUTED_VALUE"""),122.0)</f>
        <v>122</v>
      </c>
      <c r="E507" s="4">
        <f>IFERROR(__xludf.DUMMYFUNCTION("""COMPUTED_VALUE"""),39.0)</f>
        <v>39</v>
      </c>
      <c r="F507" s="4">
        <f>IFERROR(__xludf.DUMMYFUNCTION("""COMPUTED_VALUE"""),11.0)</f>
        <v>11</v>
      </c>
      <c r="G507" s="4">
        <f>IFERROR(__xludf.DUMMYFUNCTION("""COMPUTED_VALUE"""),1499.0)</f>
        <v>1499</v>
      </c>
      <c r="H507" s="5">
        <f>IFERROR(__xludf.DUMMYFUNCTION("""COMPUTED_VALUE"""),510.99)</f>
        <v>510.99</v>
      </c>
      <c r="I507" s="5">
        <f>IFERROR(__xludf.DUMMYFUNCTION("""COMPUTED_VALUE"""),1070.6)</f>
        <v>1070.6</v>
      </c>
      <c r="J507" s="5">
        <f>IFERROR(__xludf.DUMMYFUNCTION("""COMPUTED_VALUE"""),1714.46)</f>
        <v>1714.46</v>
      </c>
      <c r="K507" s="5">
        <f>IFERROR(__xludf.DUMMYFUNCTION("""COMPUTED_VALUE"""),2699.12)</f>
        <v>2699.12</v>
      </c>
      <c r="L507" s="4">
        <f>IFERROR(__xludf.DUMMYFUNCTION("""COMPUTED_VALUE"""),16.0)</f>
        <v>16</v>
      </c>
      <c r="M507" s="4">
        <f>IFERROR(__xludf.DUMMYFUNCTION("""COMPUTED_VALUE"""),11.0)</f>
        <v>11</v>
      </c>
      <c r="N507" s="2" t="str">
        <f>IFERROR(__xludf.DUMMYFUNCTION("""COMPUTED_VALUE"""),"FALSO")</f>
        <v>FALSO</v>
      </c>
    </row>
    <row r="508">
      <c r="A508" s="2">
        <f>IFERROR(__xludf.DUMMYFUNCTION("""COMPUTED_VALUE"""),507.0)</f>
        <v>507</v>
      </c>
      <c r="B508" s="2" t="str">
        <f>IFERROR(__xludf.DUMMYFUNCTION("""COMPUTED_VALUE"""),"Iain Skace")</f>
        <v>Iain Skace</v>
      </c>
      <c r="C508" s="2" t="str">
        <f>IFERROR(__xludf.DUMMYFUNCTION("""COMPUTED_VALUE"""),"iskacee3@ucsd.edu")</f>
        <v>iskacee3@ucsd.edu</v>
      </c>
      <c r="D508" s="4">
        <f>IFERROR(__xludf.DUMMYFUNCTION("""COMPUTED_VALUE"""),55.0)</f>
        <v>55</v>
      </c>
      <c r="E508" s="4">
        <f>IFERROR(__xludf.DUMMYFUNCTION("""COMPUTED_VALUE"""),81.0)</f>
        <v>81</v>
      </c>
      <c r="F508" s="4">
        <f>IFERROR(__xludf.DUMMYFUNCTION("""COMPUTED_VALUE"""),2.0)</f>
        <v>2</v>
      </c>
      <c r="G508" s="4">
        <f>IFERROR(__xludf.DUMMYFUNCTION("""COMPUTED_VALUE"""),467.0)</f>
        <v>467</v>
      </c>
      <c r="H508" s="5">
        <f>IFERROR(__xludf.DUMMYFUNCTION("""COMPUTED_VALUE"""),5981.45)</f>
        <v>5981.45</v>
      </c>
      <c r="I508" s="5">
        <f>IFERROR(__xludf.DUMMYFUNCTION("""COMPUTED_VALUE"""),7064.0)</f>
        <v>7064</v>
      </c>
      <c r="J508" s="5">
        <f>IFERROR(__xludf.DUMMYFUNCTION("""COMPUTED_VALUE"""),291.37)</f>
        <v>291.37</v>
      </c>
      <c r="K508" s="5">
        <f>IFERROR(__xludf.DUMMYFUNCTION("""COMPUTED_VALUE"""),6796.86)</f>
        <v>6796.86</v>
      </c>
      <c r="L508" s="4">
        <f>IFERROR(__xludf.DUMMYFUNCTION("""COMPUTED_VALUE"""),17.0)</f>
        <v>17</v>
      </c>
      <c r="M508" s="4">
        <f>IFERROR(__xludf.DUMMYFUNCTION("""COMPUTED_VALUE"""),76.0)</f>
        <v>76</v>
      </c>
      <c r="N508" s="2" t="str">
        <f>IFERROR(__xludf.DUMMYFUNCTION("""COMPUTED_VALUE"""),"VERDADERO")</f>
        <v>VERDADERO</v>
      </c>
    </row>
    <row r="509">
      <c r="A509" s="2">
        <f>IFERROR(__xludf.DUMMYFUNCTION("""COMPUTED_VALUE"""),508.0)</f>
        <v>508</v>
      </c>
      <c r="B509" s="2" t="str">
        <f>IFERROR(__xludf.DUMMYFUNCTION("""COMPUTED_VALUE"""),"Clarence Mechic")</f>
        <v>Clarence Mechic</v>
      </c>
      <c r="C509" s="2" t="str">
        <f>IFERROR(__xludf.DUMMYFUNCTION("""COMPUTED_VALUE"""),"cmechice4@google.it")</f>
        <v>cmechice4@google.it</v>
      </c>
      <c r="D509" s="4">
        <f>IFERROR(__xludf.DUMMYFUNCTION("""COMPUTED_VALUE"""),70.0)</f>
        <v>70</v>
      </c>
      <c r="E509" s="4">
        <f>IFERROR(__xludf.DUMMYFUNCTION("""COMPUTED_VALUE"""),120.0)</f>
        <v>120</v>
      </c>
      <c r="F509" s="4">
        <f>IFERROR(__xludf.DUMMYFUNCTION("""COMPUTED_VALUE"""),5.0)</f>
        <v>5</v>
      </c>
      <c r="G509" s="4">
        <f>IFERROR(__xludf.DUMMYFUNCTION("""COMPUTED_VALUE"""),1284.0)</f>
        <v>1284</v>
      </c>
      <c r="H509" s="5">
        <f>IFERROR(__xludf.DUMMYFUNCTION("""COMPUTED_VALUE"""),5434.96)</f>
        <v>5434.96</v>
      </c>
      <c r="I509" s="5">
        <f>IFERROR(__xludf.DUMMYFUNCTION("""COMPUTED_VALUE"""),8247.17)</f>
        <v>8247.17</v>
      </c>
      <c r="J509" s="5">
        <f>IFERROR(__xludf.DUMMYFUNCTION("""COMPUTED_VALUE"""),1540.93)</f>
        <v>1540.93</v>
      </c>
      <c r="K509" s="5">
        <f>IFERROR(__xludf.DUMMYFUNCTION("""COMPUTED_VALUE"""),885.58)</f>
        <v>885.58</v>
      </c>
      <c r="L509" s="4">
        <f>IFERROR(__xludf.DUMMYFUNCTION("""COMPUTED_VALUE"""),15.0)</f>
        <v>15</v>
      </c>
      <c r="M509" s="4">
        <f>IFERROR(__xludf.DUMMYFUNCTION("""COMPUTED_VALUE"""),44.0)</f>
        <v>44</v>
      </c>
      <c r="N509" s="2" t="str">
        <f>IFERROR(__xludf.DUMMYFUNCTION("""COMPUTED_VALUE"""),"VERDADERO")</f>
        <v>VERDADERO</v>
      </c>
    </row>
    <row r="510">
      <c r="A510" s="2">
        <f>IFERROR(__xludf.DUMMYFUNCTION("""COMPUTED_VALUE"""),509.0)</f>
        <v>509</v>
      </c>
      <c r="B510" s="2" t="str">
        <f>IFERROR(__xludf.DUMMYFUNCTION("""COMPUTED_VALUE"""),"Fancy Balogh")</f>
        <v>Fancy Balogh</v>
      </c>
      <c r="C510" s="2" t="str">
        <f>IFERROR(__xludf.DUMMYFUNCTION("""COMPUTED_VALUE"""),"fbaloghe5@whitehouse.gov")</f>
        <v>fbaloghe5@whitehouse.gov</v>
      </c>
      <c r="D510" s="4">
        <f>IFERROR(__xludf.DUMMYFUNCTION("""COMPUTED_VALUE"""),150.0)</f>
        <v>150</v>
      </c>
      <c r="E510" s="4">
        <f>IFERROR(__xludf.DUMMYFUNCTION("""COMPUTED_VALUE"""),124.0)</f>
        <v>124</v>
      </c>
      <c r="F510" s="4">
        <f>IFERROR(__xludf.DUMMYFUNCTION("""COMPUTED_VALUE"""),1.0)</f>
        <v>1</v>
      </c>
      <c r="G510" s="4">
        <f>IFERROR(__xludf.DUMMYFUNCTION("""COMPUTED_VALUE"""),649.0)</f>
        <v>649</v>
      </c>
      <c r="H510" s="5">
        <f>IFERROR(__xludf.DUMMYFUNCTION("""COMPUTED_VALUE"""),7904.53)</f>
        <v>7904.53</v>
      </c>
      <c r="I510" s="5">
        <f>IFERROR(__xludf.DUMMYFUNCTION("""COMPUTED_VALUE"""),9950.69)</f>
        <v>9950.69</v>
      </c>
      <c r="J510" s="5">
        <f>IFERROR(__xludf.DUMMYFUNCTION("""COMPUTED_VALUE"""),5753.47)</f>
        <v>5753.47</v>
      </c>
      <c r="K510" s="5">
        <f>IFERROR(__xludf.DUMMYFUNCTION("""COMPUTED_VALUE"""),2070.46)</f>
        <v>2070.46</v>
      </c>
      <c r="L510" s="4">
        <f>IFERROR(__xludf.DUMMYFUNCTION("""COMPUTED_VALUE"""),20.0)</f>
        <v>20</v>
      </c>
      <c r="M510" s="4">
        <f>IFERROR(__xludf.DUMMYFUNCTION("""COMPUTED_VALUE"""),84.0)</f>
        <v>84</v>
      </c>
      <c r="N510" s="2" t="str">
        <f>IFERROR(__xludf.DUMMYFUNCTION("""COMPUTED_VALUE"""),"FALSO")</f>
        <v>FALSO</v>
      </c>
    </row>
    <row r="511">
      <c r="A511" s="2">
        <f>IFERROR(__xludf.DUMMYFUNCTION("""COMPUTED_VALUE"""),510.0)</f>
        <v>510</v>
      </c>
      <c r="B511" s="2" t="str">
        <f>IFERROR(__xludf.DUMMYFUNCTION("""COMPUTED_VALUE"""),"Arron Norfolk")</f>
        <v>Arron Norfolk</v>
      </c>
      <c r="C511" s="2" t="str">
        <f>IFERROR(__xludf.DUMMYFUNCTION("""COMPUTED_VALUE"""),"anorfolke6@friendfeed.com")</f>
        <v>anorfolke6@friendfeed.com</v>
      </c>
      <c r="D511" s="4">
        <f>IFERROR(__xludf.DUMMYFUNCTION("""COMPUTED_VALUE"""),112.0)</f>
        <v>112</v>
      </c>
      <c r="E511" s="4">
        <f>IFERROR(__xludf.DUMMYFUNCTION("""COMPUTED_VALUE"""),66.0)</f>
        <v>66</v>
      </c>
      <c r="F511" s="4">
        <f>IFERROR(__xludf.DUMMYFUNCTION("""COMPUTED_VALUE"""),6.0)</f>
        <v>6</v>
      </c>
      <c r="G511" s="4">
        <f>IFERROR(__xludf.DUMMYFUNCTION("""COMPUTED_VALUE"""),823.0)</f>
        <v>823</v>
      </c>
      <c r="H511" s="5">
        <f>IFERROR(__xludf.DUMMYFUNCTION("""COMPUTED_VALUE"""),2787.76)</f>
        <v>2787.76</v>
      </c>
      <c r="I511" s="5">
        <f>IFERROR(__xludf.DUMMYFUNCTION("""COMPUTED_VALUE"""),4344.0)</f>
        <v>4344</v>
      </c>
      <c r="J511" s="5">
        <f>IFERROR(__xludf.DUMMYFUNCTION("""COMPUTED_VALUE"""),1525.63)</f>
        <v>1525.63</v>
      </c>
      <c r="K511" s="5">
        <f>IFERROR(__xludf.DUMMYFUNCTION("""COMPUTED_VALUE"""),8337.4)</f>
        <v>8337.4</v>
      </c>
      <c r="L511" s="4">
        <f>IFERROR(__xludf.DUMMYFUNCTION("""COMPUTED_VALUE"""),19.0)</f>
        <v>19</v>
      </c>
      <c r="M511" s="4">
        <f>IFERROR(__xludf.DUMMYFUNCTION("""COMPUTED_VALUE"""),1.0)</f>
        <v>1</v>
      </c>
      <c r="N511" s="2" t="str">
        <f>IFERROR(__xludf.DUMMYFUNCTION("""COMPUTED_VALUE"""),"FALSO")</f>
        <v>FALSO</v>
      </c>
    </row>
    <row r="512">
      <c r="A512" s="2">
        <f>IFERROR(__xludf.DUMMYFUNCTION("""COMPUTED_VALUE"""),511.0)</f>
        <v>511</v>
      </c>
      <c r="B512" s="2" t="str">
        <f>IFERROR(__xludf.DUMMYFUNCTION("""COMPUTED_VALUE"""),"Samara Demongeot")</f>
        <v>Samara Demongeot</v>
      </c>
      <c r="C512" s="2" t="str">
        <f>IFERROR(__xludf.DUMMYFUNCTION("""COMPUTED_VALUE"""),"sdemongeote7@mozilla.org")</f>
        <v>sdemongeote7@mozilla.org</v>
      </c>
      <c r="D512" s="4">
        <f>IFERROR(__xludf.DUMMYFUNCTION("""COMPUTED_VALUE"""),30.0)</f>
        <v>30</v>
      </c>
      <c r="E512" s="4">
        <f>IFERROR(__xludf.DUMMYFUNCTION("""COMPUTED_VALUE"""),120.0)</f>
        <v>120</v>
      </c>
      <c r="F512" s="4">
        <f>IFERROR(__xludf.DUMMYFUNCTION("""COMPUTED_VALUE"""),5.0)</f>
        <v>5</v>
      </c>
      <c r="G512" s="4">
        <f>IFERROR(__xludf.DUMMYFUNCTION("""COMPUTED_VALUE"""),1454.0)</f>
        <v>1454</v>
      </c>
      <c r="H512" s="5">
        <f>IFERROR(__xludf.DUMMYFUNCTION("""COMPUTED_VALUE"""),8818.03)</f>
        <v>8818.03</v>
      </c>
      <c r="I512" s="5">
        <f>IFERROR(__xludf.DUMMYFUNCTION("""COMPUTED_VALUE"""),5445.29)</f>
        <v>5445.29</v>
      </c>
      <c r="J512" s="5">
        <f>IFERROR(__xludf.DUMMYFUNCTION("""COMPUTED_VALUE"""),9788.27)</f>
        <v>9788.27</v>
      </c>
      <c r="K512" s="5">
        <f>IFERROR(__xludf.DUMMYFUNCTION("""COMPUTED_VALUE"""),4177.85)</f>
        <v>4177.85</v>
      </c>
      <c r="L512" s="4">
        <f>IFERROR(__xludf.DUMMYFUNCTION("""COMPUTED_VALUE"""),16.0)</f>
        <v>16</v>
      </c>
      <c r="M512" s="4">
        <f>IFERROR(__xludf.DUMMYFUNCTION("""COMPUTED_VALUE"""),70.0)</f>
        <v>70</v>
      </c>
      <c r="N512" s="2" t="str">
        <f>IFERROR(__xludf.DUMMYFUNCTION("""COMPUTED_VALUE"""),"VERDADERO")</f>
        <v>VERDADERO</v>
      </c>
    </row>
    <row r="513">
      <c r="A513" s="2">
        <f>IFERROR(__xludf.DUMMYFUNCTION("""COMPUTED_VALUE"""),512.0)</f>
        <v>512</v>
      </c>
      <c r="B513" s="2" t="str">
        <f>IFERROR(__xludf.DUMMYFUNCTION("""COMPUTED_VALUE"""),"Rog Bruckner")</f>
        <v>Rog Bruckner</v>
      </c>
      <c r="C513" s="2" t="str">
        <f>IFERROR(__xludf.DUMMYFUNCTION("""COMPUTED_VALUE"""),"rbrucknere8@histats.com")</f>
        <v>rbrucknere8@histats.com</v>
      </c>
      <c r="D513" s="4">
        <f>IFERROR(__xludf.DUMMYFUNCTION("""COMPUTED_VALUE"""),29.0)</f>
        <v>29</v>
      </c>
      <c r="E513" s="4">
        <f>IFERROR(__xludf.DUMMYFUNCTION("""COMPUTED_VALUE"""),56.0)</f>
        <v>56</v>
      </c>
      <c r="F513" s="4">
        <f>IFERROR(__xludf.DUMMYFUNCTION("""COMPUTED_VALUE"""),6.0)</f>
        <v>6</v>
      </c>
      <c r="G513" s="4">
        <f>IFERROR(__xludf.DUMMYFUNCTION("""COMPUTED_VALUE"""),647.0)</f>
        <v>647</v>
      </c>
      <c r="H513" s="5">
        <f>IFERROR(__xludf.DUMMYFUNCTION("""COMPUTED_VALUE"""),4413.1)</f>
        <v>4413.1</v>
      </c>
      <c r="I513" s="5">
        <f>IFERROR(__xludf.DUMMYFUNCTION("""COMPUTED_VALUE"""),534.84)</f>
        <v>534.84</v>
      </c>
      <c r="J513" s="5">
        <f>IFERROR(__xludf.DUMMYFUNCTION("""COMPUTED_VALUE"""),1560.63)</f>
        <v>1560.63</v>
      </c>
      <c r="K513" s="5">
        <f>IFERROR(__xludf.DUMMYFUNCTION("""COMPUTED_VALUE"""),8477.1)</f>
        <v>8477.1</v>
      </c>
      <c r="L513" s="4">
        <f>IFERROR(__xludf.DUMMYFUNCTION("""COMPUTED_VALUE"""),2.0)</f>
        <v>2</v>
      </c>
      <c r="M513" s="4">
        <f>IFERROR(__xludf.DUMMYFUNCTION("""COMPUTED_VALUE"""),83.0)</f>
        <v>83</v>
      </c>
      <c r="N513" s="2" t="str">
        <f>IFERROR(__xludf.DUMMYFUNCTION("""COMPUTED_VALUE"""),"FALSO")</f>
        <v>FALSO</v>
      </c>
    </row>
    <row r="514">
      <c r="A514" s="2">
        <f>IFERROR(__xludf.DUMMYFUNCTION("""COMPUTED_VALUE"""),513.0)</f>
        <v>513</v>
      </c>
      <c r="B514" s="2" t="str">
        <f>IFERROR(__xludf.DUMMYFUNCTION("""COMPUTED_VALUE"""),"Ada Conaghy")</f>
        <v>Ada Conaghy</v>
      </c>
      <c r="C514" s="2" t="str">
        <f>IFERROR(__xludf.DUMMYFUNCTION("""COMPUTED_VALUE"""),"aconaghye9@netlog.com")</f>
        <v>aconaghye9@netlog.com</v>
      </c>
      <c r="D514" s="4">
        <f>IFERROR(__xludf.DUMMYFUNCTION("""COMPUTED_VALUE"""),29.0)</f>
        <v>29</v>
      </c>
      <c r="E514" s="4">
        <f>IFERROR(__xludf.DUMMYFUNCTION("""COMPUTED_VALUE"""),48.0)</f>
        <v>48</v>
      </c>
      <c r="F514" s="4">
        <f>IFERROR(__xludf.DUMMYFUNCTION("""COMPUTED_VALUE"""),4.0)</f>
        <v>4</v>
      </c>
      <c r="G514" s="4">
        <f>IFERROR(__xludf.DUMMYFUNCTION("""COMPUTED_VALUE"""),1154.0)</f>
        <v>1154</v>
      </c>
      <c r="H514" s="5">
        <f>IFERROR(__xludf.DUMMYFUNCTION("""COMPUTED_VALUE"""),831.4)</f>
        <v>831.4</v>
      </c>
      <c r="I514" s="5">
        <f>IFERROR(__xludf.DUMMYFUNCTION("""COMPUTED_VALUE"""),5427.27)</f>
        <v>5427.27</v>
      </c>
      <c r="J514" s="5">
        <f>IFERROR(__xludf.DUMMYFUNCTION("""COMPUTED_VALUE"""),8260.97)</f>
        <v>8260.97</v>
      </c>
      <c r="K514" s="5">
        <f>IFERROR(__xludf.DUMMYFUNCTION("""COMPUTED_VALUE"""),9444.45)</f>
        <v>9444.45</v>
      </c>
      <c r="L514" s="4">
        <f>IFERROR(__xludf.DUMMYFUNCTION("""COMPUTED_VALUE"""),17.0)</f>
        <v>17</v>
      </c>
      <c r="M514" s="4">
        <f>IFERROR(__xludf.DUMMYFUNCTION("""COMPUTED_VALUE"""),32.0)</f>
        <v>32</v>
      </c>
      <c r="N514" s="2" t="str">
        <f>IFERROR(__xludf.DUMMYFUNCTION("""COMPUTED_VALUE"""),"FALSO")</f>
        <v>FALSO</v>
      </c>
    </row>
    <row r="515">
      <c r="A515" s="2">
        <f>IFERROR(__xludf.DUMMYFUNCTION("""COMPUTED_VALUE"""),514.0)</f>
        <v>514</v>
      </c>
      <c r="B515" s="2" t="str">
        <f>IFERROR(__xludf.DUMMYFUNCTION("""COMPUTED_VALUE"""),"Allsun Muggeridge")</f>
        <v>Allsun Muggeridge</v>
      </c>
      <c r="C515" s="2" t="str">
        <f>IFERROR(__xludf.DUMMYFUNCTION("""COMPUTED_VALUE"""),"amuggeridgeea@devhub.com")</f>
        <v>amuggeridgeea@devhub.com</v>
      </c>
      <c r="D515" s="4">
        <f>IFERROR(__xludf.DUMMYFUNCTION("""COMPUTED_VALUE"""),65.0)</f>
        <v>65</v>
      </c>
      <c r="E515" s="4">
        <f>IFERROR(__xludf.DUMMYFUNCTION("""COMPUTED_VALUE"""),81.0)</f>
        <v>81</v>
      </c>
      <c r="F515" s="4">
        <f>IFERROR(__xludf.DUMMYFUNCTION("""COMPUTED_VALUE"""),2.0)</f>
        <v>2</v>
      </c>
      <c r="G515" s="4">
        <f>IFERROR(__xludf.DUMMYFUNCTION("""COMPUTED_VALUE"""),1421.0)</f>
        <v>1421</v>
      </c>
      <c r="H515" s="5">
        <f>IFERROR(__xludf.DUMMYFUNCTION("""COMPUTED_VALUE"""),3807.98)</f>
        <v>3807.98</v>
      </c>
      <c r="I515" s="5">
        <f>IFERROR(__xludf.DUMMYFUNCTION("""COMPUTED_VALUE"""),9298.09)</f>
        <v>9298.09</v>
      </c>
      <c r="J515" s="5">
        <f>IFERROR(__xludf.DUMMYFUNCTION("""COMPUTED_VALUE"""),8766.72)</f>
        <v>8766.72</v>
      </c>
      <c r="K515" s="5">
        <f>IFERROR(__xludf.DUMMYFUNCTION("""COMPUTED_VALUE"""),4584.3)</f>
        <v>4584.3</v>
      </c>
      <c r="L515" s="4">
        <f>IFERROR(__xludf.DUMMYFUNCTION("""COMPUTED_VALUE"""),9.0)</f>
        <v>9</v>
      </c>
      <c r="M515" s="4">
        <f>IFERROR(__xludf.DUMMYFUNCTION("""COMPUTED_VALUE"""),4.0)</f>
        <v>4</v>
      </c>
      <c r="N515" s="2" t="str">
        <f>IFERROR(__xludf.DUMMYFUNCTION("""COMPUTED_VALUE"""),"FALSO")</f>
        <v>FALSO</v>
      </c>
    </row>
    <row r="516">
      <c r="A516" s="2">
        <f>IFERROR(__xludf.DUMMYFUNCTION("""COMPUTED_VALUE"""),515.0)</f>
        <v>515</v>
      </c>
      <c r="B516" s="2" t="str">
        <f>IFERROR(__xludf.DUMMYFUNCTION("""COMPUTED_VALUE"""),"Caitlin Michele")</f>
        <v>Caitlin Michele</v>
      </c>
      <c r="C516" s="2" t="str">
        <f>IFERROR(__xludf.DUMMYFUNCTION("""COMPUTED_VALUE"""),"cmicheleeb@alexa.com")</f>
        <v>cmicheleeb@alexa.com</v>
      </c>
      <c r="D516" s="4">
        <f>IFERROR(__xludf.DUMMYFUNCTION("""COMPUTED_VALUE"""),153.0)</f>
        <v>153</v>
      </c>
      <c r="E516" s="4">
        <f>IFERROR(__xludf.DUMMYFUNCTION("""COMPUTED_VALUE"""),24.0)</f>
        <v>24</v>
      </c>
      <c r="F516" s="4">
        <f>IFERROR(__xludf.DUMMYFUNCTION("""COMPUTED_VALUE"""),3.0)</f>
        <v>3</v>
      </c>
      <c r="G516" s="4">
        <f>IFERROR(__xludf.DUMMYFUNCTION("""COMPUTED_VALUE"""),112.0)</f>
        <v>112</v>
      </c>
      <c r="H516" s="5">
        <f>IFERROR(__xludf.DUMMYFUNCTION("""COMPUTED_VALUE"""),9085.75)</f>
        <v>9085.75</v>
      </c>
      <c r="I516" s="5">
        <f>IFERROR(__xludf.DUMMYFUNCTION("""COMPUTED_VALUE"""),5639.41)</f>
        <v>5639.41</v>
      </c>
      <c r="J516" s="5">
        <f>IFERROR(__xludf.DUMMYFUNCTION("""COMPUTED_VALUE"""),3782.24)</f>
        <v>3782.24</v>
      </c>
      <c r="K516" s="5">
        <f>IFERROR(__xludf.DUMMYFUNCTION("""COMPUTED_VALUE"""),6147.55)</f>
        <v>6147.55</v>
      </c>
      <c r="L516" s="4">
        <f>IFERROR(__xludf.DUMMYFUNCTION("""COMPUTED_VALUE"""),12.0)</f>
        <v>12</v>
      </c>
      <c r="M516" s="4">
        <f>IFERROR(__xludf.DUMMYFUNCTION("""COMPUTED_VALUE"""),28.0)</f>
        <v>28</v>
      </c>
      <c r="N516" s="2" t="str">
        <f>IFERROR(__xludf.DUMMYFUNCTION("""COMPUTED_VALUE"""),"FALSO")</f>
        <v>FALSO</v>
      </c>
    </row>
    <row r="517">
      <c r="A517" s="2">
        <f>IFERROR(__xludf.DUMMYFUNCTION("""COMPUTED_VALUE"""),516.0)</f>
        <v>516</v>
      </c>
      <c r="B517" s="2" t="str">
        <f>IFERROR(__xludf.DUMMYFUNCTION("""COMPUTED_VALUE"""),"Austin Patel")</f>
        <v>Austin Patel</v>
      </c>
      <c r="C517" s="2" t="str">
        <f>IFERROR(__xludf.DUMMYFUNCTION("""COMPUTED_VALUE"""),"apatelec@cafepress.com")</f>
        <v>apatelec@cafepress.com</v>
      </c>
      <c r="D517" s="4">
        <f>IFERROR(__xludf.DUMMYFUNCTION("""COMPUTED_VALUE"""),29.0)</f>
        <v>29</v>
      </c>
      <c r="E517" s="4">
        <f>IFERROR(__xludf.DUMMYFUNCTION("""COMPUTED_VALUE"""),3.0)</f>
        <v>3</v>
      </c>
      <c r="F517" s="4">
        <f>IFERROR(__xludf.DUMMYFUNCTION("""COMPUTED_VALUE"""),8.0)</f>
        <v>8</v>
      </c>
      <c r="G517" s="4">
        <f>IFERROR(__xludf.DUMMYFUNCTION("""COMPUTED_VALUE"""),4.0)</f>
        <v>4</v>
      </c>
      <c r="H517" s="5">
        <f>IFERROR(__xludf.DUMMYFUNCTION("""COMPUTED_VALUE"""),2301.88)</f>
        <v>2301.88</v>
      </c>
      <c r="I517" s="5">
        <f>IFERROR(__xludf.DUMMYFUNCTION("""COMPUTED_VALUE"""),1457.43)</f>
        <v>1457.43</v>
      </c>
      <c r="J517" s="5">
        <f>IFERROR(__xludf.DUMMYFUNCTION("""COMPUTED_VALUE"""),6502.0)</f>
        <v>6502</v>
      </c>
      <c r="K517" s="5">
        <f>IFERROR(__xludf.DUMMYFUNCTION("""COMPUTED_VALUE"""),6746.11)</f>
        <v>6746.11</v>
      </c>
      <c r="L517" s="4">
        <f>IFERROR(__xludf.DUMMYFUNCTION("""COMPUTED_VALUE"""),14.0)</f>
        <v>14</v>
      </c>
      <c r="M517" s="4">
        <f>IFERROR(__xludf.DUMMYFUNCTION("""COMPUTED_VALUE"""),58.0)</f>
        <v>58</v>
      </c>
      <c r="N517" s="2" t="str">
        <f>IFERROR(__xludf.DUMMYFUNCTION("""COMPUTED_VALUE"""),"VERDADERO")</f>
        <v>VERDADERO</v>
      </c>
    </row>
    <row r="518">
      <c r="A518" s="2">
        <f>IFERROR(__xludf.DUMMYFUNCTION("""COMPUTED_VALUE"""),517.0)</f>
        <v>517</v>
      </c>
      <c r="B518" s="2" t="str">
        <f>IFERROR(__xludf.DUMMYFUNCTION("""COMPUTED_VALUE"""),"Claire Fierman")</f>
        <v>Claire Fierman</v>
      </c>
      <c r="C518" s="2" t="str">
        <f>IFERROR(__xludf.DUMMYFUNCTION("""COMPUTED_VALUE"""),"cfiermaned@constantcontact.com")</f>
        <v>cfiermaned@constantcontact.com</v>
      </c>
      <c r="D518" s="4">
        <f>IFERROR(__xludf.DUMMYFUNCTION("""COMPUTED_VALUE"""),71.0)</f>
        <v>71</v>
      </c>
      <c r="E518" s="4">
        <f>IFERROR(__xludf.DUMMYFUNCTION("""COMPUTED_VALUE"""),71.0)</f>
        <v>71</v>
      </c>
      <c r="F518" s="4">
        <f>IFERROR(__xludf.DUMMYFUNCTION("""COMPUTED_VALUE"""),6.0)</f>
        <v>6</v>
      </c>
      <c r="G518" s="4">
        <f>IFERROR(__xludf.DUMMYFUNCTION("""COMPUTED_VALUE"""),193.0)</f>
        <v>193</v>
      </c>
      <c r="H518" s="5">
        <f>IFERROR(__xludf.DUMMYFUNCTION("""COMPUTED_VALUE"""),2464.99)</f>
        <v>2464.99</v>
      </c>
      <c r="I518" s="5">
        <f>IFERROR(__xludf.DUMMYFUNCTION("""COMPUTED_VALUE"""),2786.24)</f>
        <v>2786.24</v>
      </c>
      <c r="J518" s="5">
        <f>IFERROR(__xludf.DUMMYFUNCTION("""COMPUTED_VALUE"""),1992.2)</f>
        <v>1992.2</v>
      </c>
      <c r="K518" s="5">
        <f>IFERROR(__xludf.DUMMYFUNCTION("""COMPUTED_VALUE"""),6870.27)</f>
        <v>6870.27</v>
      </c>
      <c r="L518" s="4">
        <f>IFERROR(__xludf.DUMMYFUNCTION("""COMPUTED_VALUE"""),17.0)</f>
        <v>17</v>
      </c>
      <c r="M518" s="4">
        <f>IFERROR(__xludf.DUMMYFUNCTION("""COMPUTED_VALUE"""),84.0)</f>
        <v>84</v>
      </c>
      <c r="N518" s="2" t="str">
        <f>IFERROR(__xludf.DUMMYFUNCTION("""COMPUTED_VALUE"""),"VERDADERO")</f>
        <v>VERDADERO</v>
      </c>
    </row>
    <row r="519">
      <c r="A519" s="2">
        <f>IFERROR(__xludf.DUMMYFUNCTION("""COMPUTED_VALUE"""),518.0)</f>
        <v>518</v>
      </c>
      <c r="B519" s="2" t="str">
        <f>IFERROR(__xludf.DUMMYFUNCTION("""COMPUTED_VALUE"""),"Cecily Goodbourn")</f>
        <v>Cecily Goodbourn</v>
      </c>
      <c r="C519" s="2" t="str">
        <f>IFERROR(__xludf.DUMMYFUNCTION("""COMPUTED_VALUE"""),"cgoodbournee@csmonitor.com")</f>
        <v>cgoodbournee@csmonitor.com</v>
      </c>
      <c r="D519" s="4">
        <f>IFERROR(__xludf.DUMMYFUNCTION("""COMPUTED_VALUE"""),86.0)</f>
        <v>86</v>
      </c>
      <c r="E519" s="4">
        <f>IFERROR(__xludf.DUMMYFUNCTION("""COMPUTED_VALUE"""),111.0)</f>
        <v>111</v>
      </c>
      <c r="F519" s="4">
        <f>IFERROR(__xludf.DUMMYFUNCTION("""COMPUTED_VALUE"""),4.0)</f>
        <v>4</v>
      </c>
      <c r="G519" s="4">
        <f>IFERROR(__xludf.DUMMYFUNCTION("""COMPUTED_VALUE"""),922.0)</f>
        <v>922</v>
      </c>
      <c r="H519" s="5">
        <f>IFERROR(__xludf.DUMMYFUNCTION("""COMPUTED_VALUE"""),2744.2)</f>
        <v>2744.2</v>
      </c>
      <c r="I519" s="5">
        <f>IFERROR(__xludf.DUMMYFUNCTION("""COMPUTED_VALUE"""),9086.02)</f>
        <v>9086.02</v>
      </c>
      <c r="J519" s="5">
        <f>IFERROR(__xludf.DUMMYFUNCTION("""COMPUTED_VALUE"""),7260.11)</f>
        <v>7260.11</v>
      </c>
      <c r="K519" s="5">
        <f>IFERROR(__xludf.DUMMYFUNCTION("""COMPUTED_VALUE"""),8715.11)</f>
        <v>8715.11</v>
      </c>
      <c r="L519" s="4">
        <f>IFERROR(__xludf.DUMMYFUNCTION("""COMPUTED_VALUE"""),12.0)</f>
        <v>12</v>
      </c>
      <c r="M519" s="4">
        <f>IFERROR(__xludf.DUMMYFUNCTION("""COMPUTED_VALUE"""),46.0)</f>
        <v>46</v>
      </c>
      <c r="N519" s="2" t="str">
        <f>IFERROR(__xludf.DUMMYFUNCTION("""COMPUTED_VALUE"""),"VERDADERO")</f>
        <v>VERDADERO</v>
      </c>
    </row>
    <row r="520">
      <c r="A520" s="2">
        <f>IFERROR(__xludf.DUMMYFUNCTION("""COMPUTED_VALUE"""),519.0)</f>
        <v>519</v>
      </c>
      <c r="B520" s="2" t="str">
        <f>IFERROR(__xludf.DUMMYFUNCTION("""COMPUTED_VALUE"""),"Jordana Yitzowitz")</f>
        <v>Jordana Yitzowitz</v>
      </c>
      <c r="C520" s="2" t="str">
        <f>IFERROR(__xludf.DUMMYFUNCTION("""COMPUTED_VALUE"""),"jyitzowitzef@usgs.gov")</f>
        <v>jyitzowitzef@usgs.gov</v>
      </c>
      <c r="D520" s="4">
        <f>IFERROR(__xludf.DUMMYFUNCTION("""COMPUTED_VALUE"""),142.0)</f>
        <v>142</v>
      </c>
      <c r="E520" s="4">
        <f>IFERROR(__xludf.DUMMYFUNCTION("""COMPUTED_VALUE"""),58.0)</f>
        <v>58</v>
      </c>
      <c r="F520" s="4">
        <f>IFERROR(__xludf.DUMMYFUNCTION("""COMPUTED_VALUE"""),8.0)</f>
        <v>8</v>
      </c>
      <c r="G520" s="4">
        <f>IFERROR(__xludf.DUMMYFUNCTION("""COMPUTED_VALUE"""),741.0)</f>
        <v>741</v>
      </c>
      <c r="H520" s="5">
        <f>IFERROR(__xludf.DUMMYFUNCTION("""COMPUTED_VALUE"""),4821.37)</f>
        <v>4821.37</v>
      </c>
      <c r="I520" s="5">
        <f>IFERROR(__xludf.DUMMYFUNCTION("""COMPUTED_VALUE"""),984.49)</f>
        <v>984.49</v>
      </c>
      <c r="J520" s="5">
        <f>IFERROR(__xludf.DUMMYFUNCTION("""COMPUTED_VALUE"""),9752.2)</f>
        <v>9752.2</v>
      </c>
      <c r="K520" s="5">
        <f>IFERROR(__xludf.DUMMYFUNCTION("""COMPUTED_VALUE"""),4647.1)</f>
        <v>4647.1</v>
      </c>
      <c r="L520" s="4">
        <f>IFERROR(__xludf.DUMMYFUNCTION("""COMPUTED_VALUE"""),8.0)</f>
        <v>8</v>
      </c>
      <c r="M520" s="4">
        <f>IFERROR(__xludf.DUMMYFUNCTION("""COMPUTED_VALUE"""),32.0)</f>
        <v>32</v>
      </c>
      <c r="N520" s="2" t="str">
        <f>IFERROR(__xludf.DUMMYFUNCTION("""COMPUTED_VALUE"""),"VERDADERO")</f>
        <v>VERDADERO</v>
      </c>
    </row>
    <row r="521">
      <c r="A521" s="2">
        <f>IFERROR(__xludf.DUMMYFUNCTION("""COMPUTED_VALUE"""),520.0)</f>
        <v>520</v>
      </c>
      <c r="B521" s="2" t="str">
        <f>IFERROR(__xludf.DUMMYFUNCTION("""COMPUTED_VALUE"""),"Sandor Dorgan")</f>
        <v>Sandor Dorgan</v>
      </c>
      <c r="C521" s="2" t="str">
        <f>IFERROR(__xludf.DUMMYFUNCTION("""COMPUTED_VALUE"""),"sdorganeg@slate.com")</f>
        <v>sdorganeg@slate.com</v>
      </c>
      <c r="D521" s="4">
        <f>IFERROR(__xludf.DUMMYFUNCTION("""COMPUTED_VALUE"""),124.0)</f>
        <v>124</v>
      </c>
      <c r="E521" s="4">
        <f>IFERROR(__xludf.DUMMYFUNCTION("""COMPUTED_VALUE"""),40.0)</f>
        <v>40</v>
      </c>
      <c r="F521" s="4">
        <f>IFERROR(__xludf.DUMMYFUNCTION("""COMPUTED_VALUE"""),1.0)</f>
        <v>1</v>
      </c>
      <c r="G521" s="4">
        <f>IFERROR(__xludf.DUMMYFUNCTION("""COMPUTED_VALUE"""),1372.0)</f>
        <v>1372</v>
      </c>
      <c r="H521" s="5">
        <f>IFERROR(__xludf.DUMMYFUNCTION("""COMPUTED_VALUE"""),8390.38)</f>
        <v>8390.38</v>
      </c>
      <c r="I521" s="5">
        <f>IFERROR(__xludf.DUMMYFUNCTION("""COMPUTED_VALUE"""),6250.15)</f>
        <v>6250.15</v>
      </c>
      <c r="J521" s="5">
        <f>IFERROR(__xludf.DUMMYFUNCTION("""COMPUTED_VALUE"""),765.37)</f>
        <v>765.37</v>
      </c>
      <c r="K521" s="5">
        <f>IFERROR(__xludf.DUMMYFUNCTION("""COMPUTED_VALUE"""),2419.19)</f>
        <v>2419.19</v>
      </c>
      <c r="L521" s="4">
        <f>IFERROR(__xludf.DUMMYFUNCTION("""COMPUTED_VALUE"""),1.0)</f>
        <v>1</v>
      </c>
      <c r="M521" s="4">
        <f>IFERROR(__xludf.DUMMYFUNCTION("""COMPUTED_VALUE"""),54.0)</f>
        <v>54</v>
      </c>
      <c r="N521" s="2" t="str">
        <f>IFERROR(__xludf.DUMMYFUNCTION("""COMPUTED_VALUE"""),"VERDADERO")</f>
        <v>VERDADERO</v>
      </c>
    </row>
    <row r="522">
      <c r="A522" s="2">
        <f>IFERROR(__xludf.DUMMYFUNCTION("""COMPUTED_VALUE"""),521.0)</f>
        <v>521</v>
      </c>
      <c r="B522" s="2" t="str">
        <f>IFERROR(__xludf.DUMMYFUNCTION("""COMPUTED_VALUE"""),"Mamie Wilfing")</f>
        <v>Mamie Wilfing</v>
      </c>
      <c r="C522" s="2" t="str">
        <f>IFERROR(__xludf.DUMMYFUNCTION("""COMPUTED_VALUE"""),"mwilfingeh@jugem.jp")</f>
        <v>mwilfingeh@jugem.jp</v>
      </c>
      <c r="D522" s="4">
        <f>IFERROR(__xludf.DUMMYFUNCTION("""COMPUTED_VALUE"""),124.0)</f>
        <v>124</v>
      </c>
      <c r="E522" s="4">
        <f>IFERROR(__xludf.DUMMYFUNCTION("""COMPUTED_VALUE"""),39.0)</f>
        <v>39</v>
      </c>
      <c r="F522" s="4">
        <f>IFERROR(__xludf.DUMMYFUNCTION("""COMPUTED_VALUE"""),11.0)</f>
        <v>11</v>
      </c>
      <c r="G522" s="4">
        <f>IFERROR(__xludf.DUMMYFUNCTION("""COMPUTED_VALUE"""),1470.0)</f>
        <v>1470</v>
      </c>
      <c r="H522" s="5">
        <f>IFERROR(__xludf.DUMMYFUNCTION("""COMPUTED_VALUE"""),6426.92)</f>
        <v>6426.92</v>
      </c>
      <c r="I522" s="5">
        <f>IFERROR(__xludf.DUMMYFUNCTION("""COMPUTED_VALUE"""),1783.17)</f>
        <v>1783.17</v>
      </c>
      <c r="J522" s="5">
        <f>IFERROR(__xludf.DUMMYFUNCTION("""COMPUTED_VALUE"""),9567.85)</f>
        <v>9567.85</v>
      </c>
      <c r="K522" s="5">
        <f>IFERROR(__xludf.DUMMYFUNCTION("""COMPUTED_VALUE"""),9438.41)</f>
        <v>9438.41</v>
      </c>
      <c r="L522" s="4">
        <f>IFERROR(__xludf.DUMMYFUNCTION("""COMPUTED_VALUE"""),14.0)</f>
        <v>14</v>
      </c>
      <c r="M522" s="4">
        <f>IFERROR(__xludf.DUMMYFUNCTION("""COMPUTED_VALUE"""),12.0)</f>
        <v>12</v>
      </c>
      <c r="N522" s="2" t="str">
        <f>IFERROR(__xludf.DUMMYFUNCTION("""COMPUTED_VALUE"""),"FALSO")</f>
        <v>FALSO</v>
      </c>
    </row>
    <row r="523">
      <c r="A523" s="2">
        <f>IFERROR(__xludf.DUMMYFUNCTION("""COMPUTED_VALUE"""),522.0)</f>
        <v>522</v>
      </c>
      <c r="B523" s="2" t="str">
        <f>IFERROR(__xludf.DUMMYFUNCTION("""COMPUTED_VALUE"""),"Genny Raigatt")</f>
        <v>Genny Raigatt</v>
      </c>
      <c r="C523" s="2" t="str">
        <f>IFERROR(__xludf.DUMMYFUNCTION("""COMPUTED_VALUE"""),"graigattei@java.com")</f>
        <v>graigattei@java.com</v>
      </c>
      <c r="D523" s="4">
        <f>IFERROR(__xludf.DUMMYFUNCTION("""COMPUTED_VALUE"""),29.0)</f>
        <v>29</v>
      </c>
      <c r="E523" s="4">
        <f>IFERROR(__xludf.DUMMYFUNCTION("""COMPUTED_VALUE"""),64.0)</f>
        <v>64</v>
      </c>
      <c r="F523" s="4">
        <f>IFERROR(__xludf.DUMMYFUNCTION("""COMPUTED_VALUE"""),4.0)</f>
        <v>4</v>
      </c>
      <c r="G523" s="4">
        <f>IFERROR(__xludf.DUMMYFUNCTION("""COMPUTED_VALUE"""),411.0)</f>
        <v>411</v>
      </c>
      <c r="H523" s="5">
        <f>IFERROR(__xludf.DUMMYFUNCTION("""COMPUTED_VALUE"""),7337.0)</f>
        <v>7337</v>
      </c>
      <c r="I523" s="5">
        <f>IFERROR(__xludf.DUMMYFUNCTION("""COMPUTED_VALUE"""),4530.79)</f>
        <v>4530.79</v>
      </c>
      <c r="J523" s="5">
        <f>IFERROR(__xludf.DUMMYFUNCTION("""COMPUTED_VALUE"""),9285.86)</f>
        <v>9285.86</v>
      </c>
      <c r="K523" s="5">
        <f>IFERROR(__xludf.DUMMYFUNCTION("""COMPUTED_VALUE"""),9144.75)</f>
        <v>9144.75</v>
      </c>
      <c r="L523" s="4">
        <f>IFERROR(__xludf.DUMMYFUNCTION("""COMPUTED_VALUE"""),17.0)</f>
        <v>17</v>
      </c>
      <c r="M523" s="4">
        <f>IFERROR(__xludf.DUMMYFUNCTION("""COMPUTED_VALUE"""),37.0)</f>
        <v>37</v>
      </c>
      <c r="N523" s="2" t="str">
        <f>IFERROR(__xludf.DUMMYFUNCTION("""COMPUTED_VALUE"""),"VERDADERO")</f>
        <v>VERDADERO</v>
      </c>
    </row>
    <row r="524">
      <c r="A524" s="2">
        <f>IFERROR(__xludf.DUMMYFUNCTION("""COMPUTED_VALUE"""),523.0)</f>
        <v>523</v>
      </c>
      <c r="B524" s="2" t="str">
        <f>IFERROR(__xludf.DUMMYFUNCTION("""COMPUTED_VALUE"""),"Kristina Luxen")</f>
        <v>Kristina Luxen</v>
      </c>
      <c r="C524" s="2" t="str">
        <f>IFERROR(__xludf.DUMMYFUNCTION("""COMPUTED_VALUE"""),"kluxenej@weebly.com")</f>
        <v>kluxenej@weebly.com</v>
      </c>
      <c r="D524" s="4">
        <f>IFERROR(__xludf.DUMMYFUNCTION("""COMPUTED_VALUE"""),143.0)</f>
        <v>143</v>
      </c>
      <c r="E524" s="4">
        <f>IFERROR(__xludf.DUMMYFUNCTION("""COMPUTED_VALUE"""),29.0)</f>
        <v>29</v>
      </c>
      <c r="F524" s="4">
        <f>IFERROR(__xludf.DUMMYFUNCTION("""COMPUTED_VALUE"""),11.0)</f>
        <v>11</v>
      </c>
      <c r="G524" s="4">
        <f>IFERROR(__xludf.DUMMYFUNCTION("""COMPUTED_VALUE"""),930.0)</f>
        <v>930</v>
      </c>
      <c r="H524" s="5">
        <f>IFERROR(__xludf.DUMMYFUNCTION("""COMPUTED_VALUE"""),8463.85)</f>
        <v>8463.85</v>
      </c>
      <c r="I524" s="5">
        <f>IFERROR(__xludf.DUMMYFUNCTION("""COMPUTED_VALUE"""),2114.55)</f>
        <v>2114.55</v>
      </c>
      <c r="J524" s="5">
        <f>IFERROR(__xludf.DUMMYFUNCTION("""COMPUTED_VALUE"""),3543.12)</f>
        <v>3543.12</v>
      </c>
      <c r="K524" s="5">
        <f>IFERROR(__xludf.DUMMYFUNCTION("""COMPUTED_VALUE"""),2210.52)</f>
        <v>2210.52</v>
      </c>
      <c r="L524" s="4">
        <f>IFERROR(__xludf.DUMMYFUNCTION("""COMPUTED_VALUE"""),14.0)</f>
        <v>14</v>
      </c>
      <c r="M524" s="4">
        <f>IFERROR(__xludf.DUMMYFUNCTION("""COMPUTED_VALUE"""),63.0)</f>
        <v>63</v>
      </c>
      <c r="N524" s="2" t="str">
        <f>IFERROR(__xludf.DUMMYFUNCTION("""COMPUTED_VALUE"""),"VERDADERO")</f>
        <v>VERDADERO</v>
      </c>
    </row>
    <row r="525">
      <c r="A525" s="2">
        <f>IFERROR(__xludf.DUMMYFUNCTION("""COMPUTED_VALUE"""),524.0)</f>
        <v>524</v>
      </c>
      <c r="B525" s="2" t="str">
        <f>IFERROR(__xludf.DUMMYFUNCTION("""COMPUTED_VALUE"""),"Ora Plaskett")</f>
        <v>Ora Plaskett</v>
      </c>
      <c r="C525" s="2" t="str">
        <f>IFERROR(__xludf.DUMMYFUNCTION("""COMPUTED_VALUE"""),"oplaskettek@godaddy.com")</f>
        <v>oplaskettek@godaddy.com</v>
      </c>
      <c r="D525" s="4">
        <f>IFERROR(__xludf.DUMMYFUNCTION("""COMPUTED_VALUE"""),29.0)</f>
        <v>29</v>
      </c>
      <c r="E525" s="4">
        <f>IFERROR(__xludf.DUMMYFUNCTION("""COMPUTED_VALUE"""),119.0)</f>
        <v>119</v>
      </c>
      <c r="F525" s="4">
        <f>IFERROR(__xludf.DUMMYFUNCTION("""COMPUTED_VALUE"""),5.0)</f>
        <v>5</v>
      </c>
      <c r="G525" s="4">
        <f>IFERROR(__xludf.DUMMYFUNCTION("""COMPUTED_VALUE"""),1582.0)</f>
        <v>1582</v>
      </c>
      <c r="H525" s="5">
        <f>IFERROR(__xludf.DUMMYFUNCTION("""COMPUTED_VALUE"""),4984.23)</f>
        <v>4984.23</v>
      </c>
      <c r="I525" s="5">
        <f>IFERROR(__xludf.DUMMYFUNCTION("""COMPUTED_VALUE"""),9355.35)</f>
        <v>9355.35</v>
      </c>
      <c r="J525" s="5">
        <f>IFERROR(__xludf.DUMMYFUNCTION("""COMPUTED_VALUE"""),52.38)</f>
        <v>52.38</v>
      </c>
      <c r="K525" s="5">
        <f>IFERROR(__xludf.DUMMYFUNCTION("""COMPUTED_VALUE"""),1789.54)</f>
        <v>1789.54</v>
      </c>
      <c r="L525" s="4">
        <f>IFERROR(__xludf.DUMMYFUNCTION("""COMPUTED_VALUE"""),3.0)</f>
        <v>3</v>
      </c>
      <c r="M525" s="4">
        <f>IFERROR(__xludf.DUMMYFUNCTION("""COMPUTED_VALUE"""),77.0)</f>
        <v>77</v>
      </c>
      <c r="N525" s="2" t="str">
        <f>IFERROR(__xludf.DUMMYFUNCTION("""COMPUTED_VALUE"""),"VERDADERO")</f>
        <v>VERDADERO</v>
      </c>
    </row>
    <row r="526">
      <c r="A526" s="2">
        <f>IFERROR(__xludf.DUMMYFUNCTION("""COMPUTED_VALUE"""),525.0)</f>
        <v>525</v>
      </c>
      <c r="B526" s="2" t="str">
        <f>IFERROR(__xludf.DUMMYFUNCTION("""COMPUTED_VALUE"""),"Clo Wallach")</f>
        <v>Clo Wallach</v>
      </c>
      <c r="C526" s="2" t="str">
        <f>IFERROR(__xludf.DUMMYFUNCTION("""COMPUTED_VALUE"""),"cwallachel@nytimes.com")</f>
        <v>cwallachel@nytimes.com</v>
      </c>
      <c r="D526" s="4">
        <f>IFERROR(__xludf.DUMMYFUNCTION("""COMPUTED_VALUE"""),137.0)</f>
        <v>137</v>
      </c>
      <c r="E526" s="4">
        <f>IFERROR(__xludf.DUMMYFUNCTION("""COMPUTED_VALUE"""),81.0)</f>
        <v>81</v>
      </c>
      <c r="F526" s="4">
        <f>IFERROR(__xludf.DUMMYFUNCTION("""COMPUTED_VALUE"""),2.0)</f>
        <v>2</v>
      </c>
      <c r="G526" s="4">
        <f>IFERROR(__xludf.DUMMYFUNCTION("""COMPUTED_VALUE"""),789.0)</f>
        <v>789</v>
      </c>
      <c r="H526" s="5">
        <f>IFERROR(__xludf.DUMMYFUNCTION("""COMPUTED_VALUE"""),1741.53)</f>
        <v>1741.53</v>
      </c>
      <c r="I526" s="5">
        <f>IFERROR(__xludf.DUMMYFUNCTION("""COMPUTED_VALUE"""),2532.33)</f>
        <v>2532.33</v>
      </c>
      <c r="J526" s="5">
        <f>IFERROR(__xludf.DUMMYFUNCTION("""COMPUTED_VALUE"""),146.09)</f>
        <v>146.09</v>
      </c>
      <c r="K526" s="5">
        <f>IFERROR(__xludf.DUMMYFUNCTION("""COMPUTED_VALUE"""),7608.49)</f>
        <v>7608.49</v>
      </c>
      <c r="L526" s="4">
        <f>IFERROR(__xludf.DUMMYFUNCTION("""COMPUTED_VALUE"""),20.0)</f>
        <v>20</v>
      </c>
      <c r="M526" s="4">
        <f>IFERROR(__xludf.DUMMYFUNCTION("""COMPUTED_VALUE"""),77.0)</f>
        <v>77</v>
      </c>
      <c r="N526" s="2" t="str">
        <f>IFERROR(__xludf.DUMMYFUNCTION("""COMPUTED_VALUE"""),"VERDADERO")</f>
        <v>VERDADERO</v>
      </c>
    </row>
    <row r="527">
      <c r="A527" s="2">
        <f>IFERROR(__xludf.DUMMYFUNCTION("""COMPUTED_VALUE"""),526.0)</f>
        <v>526</v>
      </c>
      <c r="B527" s="2" t="str">
        <f>IFERROR(__xludf.DUMMYFUNCTION("""COMPUTED_VALUE"""),"Sashenka Dybald")</f>
        <v>Sashenka Dybald</v>
      </c>
      <c r="C527" s="2" t="str">
        <f>IFERROR(__xludf.DUMMYFUNCTION("""COMPUTED_VALUE"""),"sdybaldem@twitpic.com")</f>
        <v>sdybaldem@twitpic.com</v>
      </c>
      <c r="D527" s="4">
        <f>IFERROR(__xludf.DUMMYFUNCTION("""COMPUTED_VALUE"""),73.0)</f>
        <v>73</v>
      </c>
      <c r="E527" s="4">
        <f>IFERROR(__xludf.DUMMYFUNCTION("""COMPUTED_VALUE"""),81.0)</f>
        <v>81</v>
      </c>
      <c r="F527" s="4">
        <f>IFERROR(__xludf.DUMMYFUNCTION("""COMPUTED_VALUE"""),2.0)</f>
        <v>2</v>
      </c>
      <c r="G527" s="4">
        <f>IFERROR(__xludf.DUMMYFUNCTION("""COMPUTED_VALUE"""),579.0)</f>
        <v>579</v>
      </c>
      <c r="H527" s="5">
        <f>IFERROR(__xludf.DUMMYFUNCTION("""COMPUTED_VALUE"""),510.28)</f>
        <v>510.28</v>
      </c>
      <c r="I527" s="5">
        <f>IFERROR(__xludf.DUMMYFUNCTION("""COMPUTED_VALUE"""),668.03)</f>
        <v>668.03</v>
      </c>
      <c r="J527" s="5">
        <f>IFERROR(__xludf.DUMMYFUNCTION("""COMPUTED_VALUE"""),3020.07)</f>
        <v>3020.07</v>
      </c>
      <c r="K527" s="5">
        <f>IFERROR(__xludf.DUMMYFUNCTION("""COMPUTED_VALUE"""),7004.47)</f>
        <v>7004.47</v>
      </c>
      <c r="L527" s="4">
        <f>IFERROR(__xludf.DUMMYFUNCTION("""COMPUTED_VALUE"""),19.0)</f>
        <v>19</v>
      </c>
      <c r="M527" s="4">
        <f>IFERROR(__xludf.DUMMYFUNCTION("""COMPUTED_VALUE"""),33.0)</f>
        <v>33</v>
      </c>
      <c r="N527" s="2" t="str">
        <f>IFERROR(__xludf.DUMMYFUNCTION("""COMPUTED_VALUE"""),"VERDADERO")</f>
        <v>VERDADERO</v>
      </c>
    </row>
    <row r="528">
      <c r="A528" s="2">
        <f>IFERROR(__xludf.DUMMYFUNCTION("""COMPUTED_VALUE"""),527.0)</f>
        <v>527</v>
      </c>
      <c r="B528" s="2" t="str">
        <f>IFERROR(__xludf.DUMMYFUNCTION("""COMPUTED_VALUE"""),"Read Davio")</f>
        <v>Read Davio</v>
      </c>
      <c r="C528" s="2" t="str">
        <f>IFERROR(__xludf.DUMMYFUNCTION("""COMPUTED_VALUE"""),"rdavioen@globo.com")</f>
        <v>rdavioen@globo.com</v>
      </c>
      <c r="D528" s="4">
        <f>IFERROR(__xludf.DUMMYFUNCTION("""COMPUTED_VALUE"""),124.0)</f>
        <v>124</v>
      </c>
      <c r="E528" s="4">
        <f>IFERROR(__xludf.DUMMYFUNCTION("""COMPUTED_VALUE"""),48.0)</f>
        <v>48</v>
      </c>
      <c r="F528" s="4">
        <f>IFERROR(__xludf.DUMMYFUNCTION("""COMPUTED_VALUE"""),4.0)</f>
        <v>4</v>
      </c>
      <c r="G528" s="4">
        <f>IFERROR(__xludf.DUMMYFUNCTION("""COMPUTED_VALUE"""),1271.0)</f>
        <v>1271</v>
      </c>
      <c r="H528" s="5">
        <f>IFERROR(__xludf.DUMMYFUNCTION("""COMPUTED_VALUE"""),8040.74)</f>
        <v>8040.74</v>
      </c>
      <c r="I528" s="5">
        <f>IFERROR(__xludf.DUMMYFUNCTION("""COMPUTED_VALUE"""),7170.68)</f>
        <v>7170.68</v>
      </c>
      <c r="J528" s="5">
        <f>IFERROR(__xludf.DUMMYFUNCTION("""COMPUTED_VALUE"""),8882.84)</f>
        <v>8882.84</v>
      </c>
      <c r="K528" s="5">
        <f>IFERROR(__xludf.DUMMYFUNCTION("""COMPUTED_VALUE"""),469.21)</f>
        <v>469.21</v>
      </c>
      <c r="L528" s="4">
        <f>IFERROR(__xludf.DUMMYFUNCTION("""COMPUTED_VALUE"""),17.0)</f>
        <v>17</v>
      </c>
      <c r="M528" s="4">
        <f>IFERROR(__xludf.DUMMYFUNCTION("""COMPUTED_VALUE"""),67.0)</f>
        <v>67</v>
      </c>
      <c r="N528" s="2" t="str">
        <f>IFERROR(__xludf.DUMMYFUNCTION("""COMPUTED_VALUE"""),"VERDADERO")</f>
        <v>VERDADERO</v>
      </c>
    </row>
    <row r="529">
      <c r="A529" s="2">
        <f>IFERROR(__xludf.DUMMYFUNCTION("""COMPUTED_VALUE"""),528.0)</f>
        <v>528</v>
      </c>
      <c r="B529" s="2" t="str">
        <f>IFERROR(__xludf.DUMMYFUNCTION("""COMPUTED_VALUE"""),"Abigael Juanes")</f>
        <v>Abigael Juanes</v>
      </c>
      <c r="C529" s="2" t="str">
        <f>IFERROR(__xludf.DUMMYFUNCTION("""COMPUTED_VALUE"""),"ajuaneseo@reference.com")</f>
        <v>ajuaneseo@reference.com</v>
      </c>
      <c r="D529" s="4">
        <f>IFERROR(__xludf.DUMMYFUNCTION("""COMPUTED_VALUE"""),73.0)</f>
        <v>73</v>
      </c>
      <c r="E529" s="4">
        <f>IFERROR(__xludf.DUMMYFUNCTION("""COMPUTED_VALUE"""),81.0)</f>
        <v>81</v>
      </c>
      <c r="F529" s="4">
        <f>IFERROR(__xludf.DUMMYFUNCTION("""COMPUTED_VALUE"""),2.0)</f>
        <v>2</v>
      </c>
      <c r="G529" s="4">
        <f>IFERROR(__xludf.DUMMYFUNCTION("""COMPUTED_VALUE"""),74.0)</f>
        <v>74</v>
      </c>
      <c r="H529" s="5">
        <f>IFERROR(__xludf.DUMMYFUNCTION("""COMPUTED_VALUE"""),6948.74)</f>
        <v>6948.74</v>
      </c>
      <c r="I529" s="5">
        <f>IFERROR(__xludf.DUMMYFUNCTION("""COMPUTED_VALUE"""),3920.89)</f>
        <v>3920.89</v>
      </c>
      <c r="J529" s="5">
        <f>IFERROR(__xludf.DUMMYFUNCTION("""COMPUTED_VALUE"""),4307.55)</f>
        <v>4307.55</v>
      </c>
      <c r="K529" s="5">
        <f>IFERROR(__xludf.DUMMYFUNCTION("""COMPUTED_VALUE"""),6508.01)</f>
        <v>6508.01</v>
      </c>
      <c r="L529" s="4">
        <f>IFERROR(__xludf.DUMMYFUNCTION("""COMPUTED_VALUE"""),6.0)</f>
        <v>6</v>
      </c>
      <c r="M529" s="4">
        <f>IFERROR(__xludf.DUMMYFUNCTION("""COMPUTED_VALUE"""),36.0)</f>
        <v>36</v>
      </c>
      <c r="N529" s="2" t="str">
        <f>IFERROR(__xludf.DUMMYFUNCTION("""COMPUTED_VALUE"""),"FALSO")</f>
        <v>FALSO</v>
      </c>
    </row>
    <row r="530">
      <c r="A530" s="2">
        <f>IFERROR(__xludf.DUMMYFUNCTION("""COMPUTED_VALUE"""),529.0)</f>
        <v>529</v>
      </c>
      <c r="B530" s="2" t="str">
        <f>IFERROR(__xludf.DUMMYFUNCTION("""COMPUTED_VALUE"""),"Claire Wadlow")</f>
        <v>Claire Wadlow</v>
      </c>
      <c r="C530" s="2" t="str">
        <f>IFERROR(__xludf.DUMMYFUNCTION("""COMPUTED_VALUE"""),"cwadlowep@webmd.com")</f>
        <v>cwadlowep@webmd.com</v>
      </c>
      <c r="D530" s="4">
        <f>IFERROR(__xludf.DUMMYFUNCTION("""COMPUTED_VALUE"""),137.0)</f>
        <v>137</v>
      </c>
      <c r="E530" s="4">
        <f>IFERROR(__xludf.DUMMYFUNCTION("""COMPUTED_VALUE"""),81.0)</f>
        <v>81</v>
      </c>
      <c r="F530" s="4">
        <f>IFERROR(__xludf.DUMMYFUNCTION("""COMPUTED_VALUE"""),2.0)</f>
        <v>2</v>
      </c>
      <c r="G530" s="4">
        <f>IFERROR(__xludf.DUMMYFUNCTION("""COMPUTED_VALUE"""),1151.0)</f>
        <v>1151</v>
      </c>
      <c r="H530" s="5">
        <f>IFERROR(__xludf.DUMMYFUNCTION("""COMPUTED_VALUE"""),9459.15)</f>
        <v>9459.15</v>
      </c>
      <c r="I530" s="5">
        <f>IFERROR(__xludf.DUMMYFUNCTION("""COMPUTED_VALUE"""),880.16)</f>
        <v>880.16</v>
      </c>
      <c r="J530" s="5">
        <f>IFERROR(__xludf.DUMMYFUNCTION("""COMPUTED_VALUE"""),5297.0)</f>
        <v>5297</v>
      </c>
      <c r="K530" s="5">
        <f>IFERROR(__xludf.DUMMYFUNCTION("""COMPUTED_VALUE"""),1710.12)</f>
        <v>1710.12</v>
      </c>
      <c r="L530" s="4">
        <f>IFERROR(__xludf.DUMMYFUNCTION("""COMPUTED_VALUE"""),13.0)</f>
        <v>13</v>
      </c>
      <c r="M530" s="4">
        <f>IFERROR(__xludf.DUMMYFUNCTION("""COMPUTED_VALUE"""),11.0)</f>
        <v>11</v>
      </c>
      <c r="N530" s="2" t="str">
        <f>IFERROR(__xludf.DUMMYFUNCTION("""COMPUTED_VALUE"""),"FALSO")</f>
        <v>FALSO</v>
      </c>
    </row>
    <row r="531">
      <c r="A531" s="2">
        <f>IFERROR(__xludf.DUMMYFUNCTION("""COMPUTED_VALUE"""),530.0)</f>
        <v>530</v>
      </c>
      <c r="B531" s="2" t="str">
        <f>IFERROR(__xludf.DUMMYFUNCTION("""COMPUTED_VALUE"""),"Mark Del Monte")</f>
        <v>Mark Del Monte</v>
      </c>
      <c r="C531" s="2" t="str">
        <f>IFERROR(__xludf.DUMMYFUNCTION("""COMPUTED_VALUE"""),"mdeleq@patch.com")</f>
        <v>mdeleq@patch.com</v>
      </c>
      <c r="D531" s="4">
        <f>IFERROR(__xludf.DUMMYFUNCTION("""COMPUTED_VALUE"""),120.0)</f>
        <v>120</v>
      </c>
      <c r="E531" s="4">
        <f>IFERROR(__xludf.DUMMYFUNCTION("""COMPUTED_VALUE"""),39.0)</f>
        <v>39</v>
      </c>
      <c r="F531" s="4">
        <f>IFERROR(__xludf.DUMMYFUNCTION("""COMPUTED_VALUE"""),11.0)</f>
        <v>11</v>
      </c>
      <c r="G531" s="4">
        <f>IFERROR(__xludf.DUMMYFUNCTION("""COMPUTED_VALUE"""),991.0)</f>
        <v>991</v>
      </c>
      <c r="H531" s="5">
        <f>IFERROR(__xludf.DUMMYFUNCTION("""COMPUTED_VALUE"""),6354.9)</f>
        <v>6354.9</v>
      </c>
      <c r="I531" s="5">
        <f>IFERROR(__xludf.DUMMYFUNCTION("""COMPUTED_VALUE"""),1995.28)</f>
        <v>1995.28</v>
      </c>
      <c r="J531" s="5">
        <f>IFERROR(__xludf.DUMMYFUNCTION("""COMPUTED_VALUE"""),2734.38)</f>
        <v>2734.38</v>
      </c>
      <c r="K531" s="5">
        <f>IFERROR(__xludf.DUMMYFUNCTION("""COMPUTED_VALUE"""),7777.74)</f>
        <v>7777.74</v>
      </c>
      <c r="L531" s="4">
        <f>IFERROR(__xludf.DUMMYFUNCTION("""COMPUTED_VALUE"""),20.0)</f>
        <v>20</v>
      </c>
      <c r="M531" s="4">
        <f>IFERROR(__xludf.DUMMYFUNCTION("""COMPUTED_VALUE"""),9.0)</f>
        <v>9</v>
      </c>
      <c r="N531" s="2" t="str">
        <f>IFERROR(__xludf.DUMMYFUNCTION("""COMPUTED_VALUE"""),"FALSO")</f>
        <v>FALSO</v>
      </c>
    </row>
    <row r="532">
      <c r="A532" s="2">
        <f>IFERROR(__xludf.DUMMYFUNCTION("""COMPUTED_VALUE"""),531.0)</f>
        <v>531</v>
      </c>
      <c r="B532" s="2" t="str">
        <f>IFERROR(__xludf.DUMMYFUNCTION("""COMPUTED_VALUE"""),"Duncan Tomalin")</f>
        <v>Duncan Tomalin</v>
      </c>
      <c r="C532" s="2" t="str">
        <f>IFERROR(__xludf.DUMMYFUNCTION("""COMPUTED_VALUE"""),"dtomaliner@slideshare.net")</f>
        <v>dtomaliner@slideshare.net</v>
      </c>
      <c r="D532" s="4">
        <f>IFERROR(__xludf.DUMMYFUNCTION("""COMPUTED_VALUE"""),29.0)</f>
        <v>29</v>
      </c>
      <c r="E532" s="4">
        <f>IFERROR(__xludf.DUMMYFUNCTION("""COMPUTED_VALUE"""),81.0)</f>
        <v>81</v>
      </c>
      <c r="F532" s="4">
        <f>IFERROR(__xludf.DUMMYFUNCTION("""COMPUTED_VALUE"""),2.0)</f>
        <v>2</v>
      </c>
      <c r="G532" s="4">
        <f>IFERROR(__xludf.DUMMYFUNCTION("""COMPUTED_VALUE"""),1174.0)</f>
        <v>1174</v>
      </c>
      <c r="H532" s="5">
        <f>IFERROR(__xludf.DUMMYFUNCTION("""COMPUTED_VALUE"""),5030.75)</f>
        <v>5030.75</v>
      </c>
      <c r="I532" s="5">
        <f>IFERROR(__xludf.DUMMYFUNCTION("""COMPUTED_VALUE"""),4052.88)</f>
        <v>4052.88</v>
      </c>
      <c r="J532" s="5">
        <f>IFERROR(__xludf.DUMMYFUNCTION("""COMPUTED_VALUE"""),5326.33)</f>
        <v>5326.33</v>
      </c>
      <c r="K532" s="5">
        <f>IFERROR(__xludf.DUMMYFUNCTION("""COMPUTED_VALUE"""),4021.12)</f>
        <v>4021.12</v>
      </c>
      <c r="L532" s="4">
        <f>IFERROR(__xludf.DUMMYFUNCTION("""COMPUTED_VALUE"""),11.0)</f>
        <v>11</v>
      </c>
      <c r="M532" s="4">
        <f>IFERROR(__xludf.DUMMYFUNCTION("""COMPUTED_VALUE"""),74.0)</f>
        <v>74</v>
      </c>
      <c r="N532" s="2" t="str">
        <f>IFERROR(__xludf.DUMMYFUNCTION("""COMPUTED_VALUE"""),"VERDADERO")</f>
        <v>VERDADERO</v>
      </c>
    </row>
    <row r="533">
      <c r="A533" s="2">
        <f>IFERROR(__xludf.DUMMYFUNCTION("""COMPUTED_VALUE"""),532.0)</f>
        <v>532</v>
      </c>
      <c r="B533" s="2" t="str">
        <f>IFERROR(__xludf.DUMMYFUNCTION("""COMPUTED_VALUE"""),"Christos Monte")</f>
        <v>Christos Monte</v>
      </c>
      <c r="C533" s="2" t="str">
        <f>IFERROR(__xludf.DUMMYFUNCTION("""COMPUTED_VALUE"""),"cmontees@hud.gov")</f>
        <v>cmontees@hud.gov</v>
      </c>
      <c r="D533" s="4">
        <f>IFERROR(__xludf.DUMMYFUNCTION("""COMPUTED_VALUE"""),29.0)</f>
        <v>29</v>
      </c>
      <c r="E533" s="4">
        <f>IFERROR(__xludf.DUMMYFUNCTION("""COMPUTED_VALUE"""),65.0)</f>
        <v>65</v>
      </c>
      <c r="F533" s="4">
        <f>IFERROR(__xludf.DUMMYFUNCTION("""COMPUTED_VALUE"""),9.0)</f>
        <v>9</v>
      </c>
      <c r="G533" s="4">
        <f>IFERROR(__xludf.DUMMYFUNCTION("""COMPUTED_VALUE"""),1376.0)</f>
        <v>1376</v>
      </c>
      <c r="H533" s="5">
        <f>IFERROR(__xludf.DUMMYFUNCTION("""COMPUTED_VALUE"""),5883.66)</f>
        <v>5883.66</v>
      </c>
      <c r="I533" s="5">
        <f>IFERROR(__xludf.DUMMYFUNCTION("""COMPUTED_VALUE"""),7161.13)</f>
        <v>7161.13</v>
      </c>
      <c r="J533" s="5">
        <f>IFERROR(__xludf.DUMMYFUNCTION("""COMPUTED_VALUE"""),4621.26)</f>
        <v>4621.26</v>
      </c>
      <c r="K533" s="5">
        <f>IFERROR(__xludf.DUMMYFUNCTION("""COMPUTED_VALUE"""),7018.93)</f>
        <v>7018.93</v>
      </c>
      <c r="L533" s="4">
        <f>IFERROR(__xludf.DUMMYFUNCTION("""COMPUTED_VALUE"""),2.0)</f>
        <v>2</v>
      </c>
      <c r="M533" s="4">
        <f>IFERROR(__xludf.DUMMYFUNCTION("""COMPUTED_VALUE"""),61.0)</f>
        <v>61</v>
      </c>
      <c r="N533" s="2" t="str">
        <f>IFERROR(__xludf.DUMMYFUNCTION("""COMPUTED_VALUE"""),"VERDADERO")</f>
        <v>VERDADERO</v>
      </c>
    </row>
    <row r="534">
      <c r="A534" s="2">
        <f>IFERROR(__xludf.DUMMYFUNCTION("""COMPUTED_VALUE"""),533.0)</f>
        <v>533</v>
      </c>
      <c r="B534" s="2" t="str">
        <f>IFERROR(__xludf.DUMMYFUNCTION("""COMPUTED_VALUE"""),"Drud Houlston")</f>
        <v>Drud Houlston</v>
      </c>
      <c r="C534" s="2" t="str">
        <f>IFERROR(__xludf.DUMMYFUNCTION("""COMPUTED_VALUE"""),"dhoulstonet@prnewswire.com")</f>
        <v>dhoulstonet@prnewswire.com</v>
      </c>
      <c r="D534" s="4">
        <f>IFERROR(__xludf.DUMMYFUNCTION("""COMPUTED_VALUE"""),120.0)</f>
        <v>120</v>
      </c>
      <c r="E534" s="4">
        <f>IFERROR(__xludf.DUMMYFUNCTION("""COMPUTED_VALUE"""),119.0)</f>
        <v>119</v>
      </c>
      <c r="F534" s="4">
        <f>IFERROR(__xludf.DUMMYFUNCTION("""COMPUTED_VALUE"""),1.0)</f>
        <v>1</v>
      </c>
      <c r="G534" s="4">
        <f>IFERROR(__xludf.DUMMYFUNCTION("""COMPUTED_VALUE"""),304.0)</f>
        <v>304</v>
      </c>
      <c r="H534" s="5">
        <f>IFERROR(__xludf.DUMMYFUNCTION("""COMPUTED_VALUE"""),1207.93)</f>
        <v>1207.93</v>
      </c>
      <c r="I534" s="5">
        <f>IFERROR(__xludf.DUMMYFUNCTION("""COMPUTED_VALUE"""),4230.59)</f>
        <v>4230.59</v>
      </c>
      <c r="J534" s="5">
        <f>IFERROR(__xludf.DUMMYFUNCTION("""COMPUTED_VALUE"""),3191.05)</f>
        <v>3191.05</v>
      </c>
      <c r="K534" s="5">
        <f>IFERROR(__xludf.DUMMYFUNCTION("""COMPUTED_VALUE"""),4159.25)</f>
        <v>4159.25</v>
      </c>
      <c r="L534" s="4">
        <f>IFERROR(__xludf.DUMMYFUNCTION("""COMPUTED_VALUE"""),19.0)</f>
        <v>19</v>
      </c>
      <c r="M534" s="4">
        <f>IFERROR(__xludf.DUMMYFUNCTION("""COMPUTED_VALUE"""),20.0)</f>
        <v>20</v>
      </c>
      <c r="N534" s="2" t="str">
        <f>IFERROR(__xludf.DUMMYFUNCTION("""COMPUTED_VALUE"""),"FALSO")</f>
        <v>FALSO</v>
      </c>
    </row>
    <row r="535">
      <c r="A535" s="2">
        <f>IFERROR(__xludf.DUMMYFUNCTION("""COMPUTED_VALUE"""),534.0)</f>
        <v>534</v>
      </c>
      <c r="B535" s="2" t="str">
        <f>IFERROR(__xludf.DUMMYFUNCTION("""COMPUTED_VALUE"""),"Marsh Gladtbach")</f>
        <v>Marsh Gladtbach</v>
      </c>
      <c r="C535" s="2" t="str">
        <f>IFERROR(__xludf.DUMMYFUNCTION("""COMPUTED_VALUE"""),"mgladtbacheu@shinystat.com")</f>
        <v>mgladtbacheu@shinystat.com</v>
      </c>
      <c r="D535" s="4">
        <f>IFERROR(__xludf.DUMMYFUNCTION("""COMPUTED_VALUE"""),17.0)</f>
        <v>17</v>
      </c>
      <c r="E535" s="4">
        <f>IFERROR(__xludf.DUMMYFUNCTION("""COMPUTED_VALUE"""),117.0)</f>
        <v>117</v>
      </c>
      <c r="F535" s="4">
        <f>IFERROR(__xludf.DUMMYFUNCTION("""COMPUTED_VALUE"""),4.0)</f>
        <v>4</v>
      </c>
      <c r="G535" s="4">
        <f>IFERROR(__xludf.DUMMYFUNCTION("""COMPUTED_VALUE"""),96.0)</f>
        <v>96</v>
      </c>
      <c r="H535" s="5">
        <f>IFERROR(__xludf.DUMMYFUNCTION("""COMPUTED_VALUE"""),417.74)</f>
        <v>417.74</v>
      </c>
      <c r="I535" s="5">
        <f>IFERROR(__xludf.DUMMYFUNCTION("""COMPUTED_VALUE"""),9247.5)</f>
        <v>9247.5</v>
      </c>
      <c r="J535" s="5">
        <f>IFERROR(__xludf.DUMMYFUNCTION("""COMPUTED_VALUE"""),4561.31)</f>
        <v>4561.31</v>
      </c>
      <c r="K535" s="5">
        <f>IFERROR(__xludf.DUMMYFUNCTION("""COMPUTED_VALUE"""),9509.73)</f>
        <v>9509.73</v>
      </c>
      <c r="L535" s="4">
        <f>IFERROR(__xludf.DUMMYFUNCTION("""COMPUTED_VALUE"""),8.0)</f>
        <v>8</v>
      </c>
      <c r="M535" s="4">
        <f>IFERROR(__xludf.DUMMYFUNCTION("""COMPUTED_VALUE"""),12.0)</f>
        <v>12</v>
      </c>
      <c r="N535" s="2" t="str">
        <f>IFERROR(__xludf.DUMMYFUNCTION("""COMPUTED_VALUE"""),"VERDADERO")</f>
        <v>VERDADERO</v>
      </c>
    </row>
    <row r="536">
      <c r="A536" s="2">
        <f>IFERROR(__xludf.DUMMYFUNCTION("""COMPUTED_VALUE"""),535.0)</f>
        <v>535</v>
      </c>
      <c r="B536" s="2" t="str">
        <f>IFERROR(__xludf.DUMMYFUNCTION("""COMPUTED_VALUE"""),"Barthel Kays")</f>
        <v>Barthel Kays</v>
      </c>
      <c r="C536" s="2" t="str">
        <f>IFERROR(__xludf.DUMMYFUNCTION("""COMPUTED_VALUE"""),"bkaysev@prlog.org")</f>
        <v>bkaysev@prlog.org</v>
      </c>
      <c r="D536" s="4">
        <f>IFERROR(__xludf.DUMMYFUNCTION("""COMPUTED_VALUE"""),29.0)</f>
        <v>29</v>
      </c>
      <c r="E536" s="4">
        <f>IFERROR(__xludf.DUMMYFUNCTION("""COMPUTED_VALUE"""),81.0)</f>
        <v>81</v>
      </c>
      <c r="F536" s="4">
        <f>IFERROR(__xludf.DUMMYFUNCTION("""COMPUTED_VALUE"""),2.0)</f>
        <v>2</v>
      </c>
      <c r="G536" s="4">
        <f>IFERROR(__xludf.DUMMYFUNCTION("""COMPUTED_VALUE"""),130.0)</f>
        <v>130</v>
      </c>
      <c r="H536" s="5">
        <f>IFERROR(__xludf.DUMMYFUNCTION("""COMPUTED_VALUE"""),650.43)</f>
        <v>650.43</v>
      </c>
      <c r="I536" s="5">
        <f>IFERROR(__xludf.DUMMYFUNCTION("""COMPUTED_VALUE"""),4876.22)</f>
        <v>4876.22</v>
      </c>
      <c r="J536" s="5">
        <f>IFERROR(__xludf.DUMMYFUNCTION("""COMPUTED_VALUE"""),5499.7)</f>
        <v>5499.7</v>
      </c>
      <c r="K536" s="5">
        <f>IFERROR(__xludf.DUMMYFUNCTION("""COMPUTED_VALUE"""),6985.32)</f>
        <v>6985.32</v>
      </c>
      <c r="L536" s="4">
        <f>IFERROR(__xludf.DUMMYFUNCTION("""COMPUTED_VALUE"""),17.0)</f>
        <v>17</v>
      </c>
      <c r="M536" s="4">
        <f>IFERROR(__xludf.DUMMYFUNCTION("""COMPUTED_VALUE"""),95.0)</f>
        <v>95</v>
      </c>
      <c r="N536" s="2" t="str">
        <f>IFERROR(__xludf.DUMMYFUNCTION("""COMPUTED_VALUE"""),"VERDADERO")</f>
        <v>VERDADERO</v>
      </c>
    </row>
    <row r="537">
      <c r="A537" s="2">
        <f>IFERROR(__xludf.DUMMYFUNCTION("""COMPUTED_VALUE"""),536.0)</f>
        <v>536</v>
      </c>
      <c r="B537" s="2" t="str">
        <f>IFERROR(__xludf.DUMMYFUNCTION("""COMPUTED_VALUE"""),"Afton Catt")</f>
        <v>Afton Catt</v>
      </c>
      <c r="C537" s="2" t="str">
        <f>IFERROR(__xludf.DUMMYFUNCTION("""COMPUTED_VALUE"""),"acattew@reuters.com")</f>
        <v>acattew@reuters.com</v>
      </c>
      <c r="D537" s="4">
        <f>IFERROR(__xludf.DUMMYFUNCTION("""COMPUTED_VALUE"""),150.0)</f>
        <v>150</v>
      </c>
      <c r="E537" s="4">
        <f>IFERROR(__xludf.DUMMYFUNCTION("""COMPUTED_VALUE"""),21.0)</f>
        <v>21</v>
      </c>
      <c r="F537" s="4">
        <f>IFERROR(__xludf.DUMMYFUNCTION("""COMPUTED_VALUE"""),12.0)</f>
        <v>12</v>
      </c>
      <c r="G537" s="4">
        <f>IFERROR(__xludf.DUMMYFUNCTION("""COMPUTED_VALUE"""),1132.0)</f>
        <v>1132</v>
      </c>
      <c r="H537" s="5">
        <f>IFERROR(__xludf.DUMMYFUNCTION("""COMPUTED_VALUE"""),1127.68)</f>
        <v>1127.68</v>
      </c>
      <c r="I537" s="5">
        <f>IFERROR(__xludf.DUMMYFUNCTION("""COMPUTED_VALUE"""),2079.92)</f>
        <v>2079.92</v>
      </c>
      <c r="J537" s="5">
        <f>IFERROR(__xludf.DUMMYFUNCTION("""COMPUTED_VALUE"""),6352.98)</f>
        <v>6352.98</v>
      </c>
      <c r="K537" s="5">
        <f>IFERROR(__xludf.DUMMYFUNCTION("""COMPUTED_VALUE"""),2811.76)</f>
        <v>2811.76</v>
      </c>
      <c r="L537" s="4">
        <f>IFERROR(__xludf.DUMMYFUNCTION("""COMPUTED_VALUE"""),13.0)</f>
        <v>13</v>
      </c>
      <c r="M537" s="4">
        <f>IFERROR(__xludf.DUMMYFUNCTION("""COMPUTED_VALUE"""),18.0)</f>
        <v>18</v>
      </c>
      <c r="N537" s="2" t="str">
        <f>IFERROR(__xludf.DUMMYFUNCTION("""COMPUTED_VALUE"""),"FALSO")</f>
        <v>FALSO</v>
      </c>
    </row>
    <row r="538">
      <c r="A538" s="2">
        <f>IFERROR(__xludf.DUMMYFUNCTION("""COMPUTED_VALUE"""),537.0)</f>
        <v>537</v>
      </c>
      <c r="B538" s="2" t="str">
        <f>IFERROR(__xludf.DUMMYFUNCTION("""COMPUTED_VALUE"""),"Zane Doody")</f>
        <v>Zane Doody</v>
      </c>
      <c r="C538" s="2" t="str">
        <f>IFERROR(__xludf.DUMMYFUNCTION("""COMPUTED_VALUE"""),"zdoodyex@foxnews.com")</f>
        <v>zdoodyex@foxnews.com</v>
      </c>
      <c r="D538" s="4">
        <f>IFERROR(__xludf.DUMMYFUNCTION("""COMPUTED_VALUE"""),120.0)</f>
        <v>120</v>
      </c>
      <c r="E538" s="4">
        <f>IFERROR(__xludf.DUMMYFUNCTION("""COMPUTED_VALUE"""),42.0)</f>
        <v>42</v>
      </c>
      <c r="F538" s="4">
        <f>IFERROR(__xludf.DUMMYFUNCTION("""COMPUTED_VALUE"""),13.0)</f>
        <v>13</v>
      </c>
      <c r="G538" s="4">
        <f>IFERROR(__xludf.DUMMYFUNCTION("""COMPUTED_VALUE"""),1354.0)</f>
        <v>1354</v>
      </c>
      <c r="H538" s="5">
        <f>IFERROR(__xludf.DUMMYFUNCTION("""COMPUTED_VALUE"""),1417.03)</f>
        <v>1417.03</v>
      </c>
      <c r="I538" s="5">
        <f>IFERROR(__xludf.DUMMYFUNCTION("""COMPUTED_VALUE"""),3112.07)</f>
        <v>3112.07</v>
      </c>
      <c r="J538" s="5">
        <f>IFERROR(__xludf.DUMMYFUNCTION("""COMPUTED_VALUE"""),258.3)</f>
        <v>258.3</v>
      </c>
      <c r="K538" s="5">
        <f>IFERROR(__xludf.DUMMYFUNCTION("""COMPUTED_VALUE"""),424.92)</f>
        <v>424.92</v>
      </c>
      <c r="L538" s="4">
        <f>IFERROR(__xludf.DUMMYFUNCTION("""COMPUTED_VALUE"""),12.0)</f>
        <v>12</v>
      </c>
      <c r="M538" s="4">
        <f>IFERROR(__xludf.DUMMYFUNCTION("""COMPUTED_VALUE"""),14.0)</f>
        <v>14</v>
      </c>
      <c r="N538" s="2" t="str">
        <f>IFERROR(__xludf.DUMMYFUNCTION("""COMPUTED_VALUE"""),"FALSO")</f>
        <v>FALSO</v>
      </c>
    </row>
    <row r="539">
      <c r="A539" s="2">
        <f>IFERROR(__xludf.DUMMYFUNCTION("""COMPUTED_VALUE"""),538.0)</f>
        <v>538</v>
      </c>
      <c r="B539" s="2" t="str">
        <f>IFERROR(__xludf.DUMMYFUNCTION("""COMPUTED_VALUE"""),"Tymothy Gerlack")</f>
        <v>Tymothy Gerlack</v>
      </c>
      <c r="C539" s="2" t="str">
        <f>IFERROR(__xludf.DUMMYFUNCTION("""COMPUTED_VALUE"""),"tgerlackey@flickr.com")</f>
        <v>tgerlackey@flickr.com</v>
      </c>
      <c r="D539" s="4">
        <f>IFERROR(__xludf.DUMMYFUNCTION("""COMPUTED_VALUE"""),121.0)</f>
        <v>121</v>
      </c>
      <c r="E539" s="4">
        <f>IFERROR(__xludf.DUMMYFUNCTION("""COMPUTED_VALUE"""),58.0)</f>
        <v>58</v>
      </c>
      <c r="F539" s="4">
        <f>IFERROR(__xludf.DUMMYFUNCTION("""COMPUTED_VALUE"""),8.0)</f>
        <v>8</v>
      </c>
      <c r="G539" s="4">
        <f>IFERROR(__xludf.DUMMYFUNCTION("""COMPUTED_VALUE"""),736.0)</f>
        <v>736</v>
      </c>
      <c r="H539" s="5">
        <f>IFERROR(__xludf.DUMMYFUNCTION("""COMPUTED_VALUE"""),9913.54)</f>
        <v>9913.54</v>
      </c>
      <c r="I539" s="5">
        <f>IFERROR(__xludf.DUMMYFUNCTION("""COMPUTED_VALUE"""),1327.1)</f>
        <v>1327.1</v>
      </c>
      <c r="J539" s="5">
        <f>IFERROR(__xludf.DUMMYFUNCTION("""COMPUTED_VALUE"""),2833.69)</f>
        <v>2833.69</v>
      </c>
      <c r="K539" s="5">
        <f>IFERROR(__xludf.DUMMYFUNCTION("""COMPUTED_VALUE"""),7474.49)</f>
        <v>7474.49</v>
      </c>
      <c r="L539" s="4">
        <f>IFERROR(__xludf.DUMMYFUNCTION("""COMPUTED_VALUE"""),16.0)</f>
        <v>16</v>
      </c>
      <c r="M539" s="4">
        <f>IFERROR(__xludf.DUMMYFUNCTION("""COMPUTED_VALUE"""),24.0)</f>
        <v>24</v>
      </c>
      <c r="N539" s="2" t="str">
        <f>IFERROR(__xludf.DUMMYFUNCTION("""COMPUTED_VALUE"""),"FALSO")</f>
        <v>FALSO</v>
      </c>
    </row>
    <row r="540">
      <c r="A540" s="2">
        <f>IFERROR(__xludf.DUMMYFUNCTION("""COMPUTED_VALUE"""),539.0)</f>
        <v>539</v>
      </c>
      <c r="B540" s="2" t="str">
        <f>IFERROR(__xludf.DUMMYFUNCTION("""COMPUTED_VALUE"""),"Joshia Wais")</f>
        <v>Joshia Wais</v>
      </c>
      <c r="C540" s="2" t="str">
        <f>IFERROR(__xludf.DUMMYFUNCTION("""COMPUTED_VALUE"""),"jwaisez@geocities.jp")</f>
        <v>jwaisez@geocities.jp</v>
      </c>
      <c r="D540" s="4">
        <f>IFERROR(__xludf.DUMMYFUNCTION("""COMPUTED_VALUE"""),34.0)</f>
        <v>34</v>
      </c>
      <c r="E540" s="4">
        <f>IFERROR(__xludf.DUMMYFUNCTION("""COMPUTED_VALUE"""),64.0)</f>
        <v>64</v>
      </c>
      <c r="F540" s="4">
        <f>IFERROR(__xludf.DUMMYFUNCTION("""COMPUTED_VALUE"""),4.0)</f>
        <v>4</v>
      </c>
      <c r="G540" s="4">
        <f>IFERROR(__xludf.DUMMYFUNCTION("""COMPUTED_VALUE"""),544.0)</f>
        <v>544</v>
      </c>
      <c r="H540" s="5">
        <f>IFERROR(__xludf.DUMMYFUNCTION("""COMPUTED_VALUE"""),6277.05)</f>
        <v>6277.05</v>
      </c>
      <c r="I540" s="5">
        <f>IFERROR(__xludf.DUMMYFUNCTION("""COMPUTED_VALUE"""),3801.4)</f>
        <v>3801.4</v>
      </c>
      <c r="J540" s="5">
        <f>IFERROR(__xludf.DUMMYFUNCTION("""COMPUTED_VALUE"""),8576.4)</f>
        <v>8576.4</v>
      </c>
      <c r="K540" s="5">
        <f>IFERROR(__xludf.DUMMYFUNCTION("""COMPUTED_VALUE"""),6842.06)</f>
        <v>6842.06</v>
      </c>
      <c r="L540" s="4">
        <f>IFERROR(__xludf.DUMMYFUNCTION("""COMPUTED_VALUE"""),17.0)</f>
        <v>17</v>
      </c>
      <c r="M540" s="4">
        <f>IFERROR(__xludf.DUMMYFUNCTION("""COMPUTED_VALUE"""),74.0)</f>
        <v>74</v>
      </c>
      <c r="N540" s="2" t="str">
        <f>IFERROR(__xludf.DUMMYFUNCTION("""COMPUTED_VALUE"""),"FALSO")</f>
        <v>FALSO</v>
      </c>
    </row>
    <row r="541">
      <c r="A541" s="2">
        <f>IFERROR(__xludf.DUMMYFUNCTION("""COMPUTED_VALUE"""),540.0)</f>
        <v>540</v>
      </c>
      <c r="B541" s="2" t="str">
        <f>IFERROR(__xludf.DUMMYFUNCTION("""COMPUTED_VALUE"""),"Marilin Pantling")</f>
        <v>Marilin Pantling</v>
      </c>
      <c r="C541" s="2" t="str">
        <f>IFERROR(__xludf.DUMMYFUNCTION("""COMPUTED_VALUE"""),"mpantlingf0@yellowbook.com")</f>
        <v>mpantlingf0@yellowbook.com</v>
      </c>
      <c r="D541" s="4">
        <f>IFERROR(__xludf.DUMMYFUNCTION("""COMPUTED_VALUE"""),149.0)</f>
        <v>149</v>
      </c>
      <c r="E541" s="4">
        <f>IFERROR(__xludf.DUMMYFUNCTION("""COMPUTED_VALUE"""),67.0)</f>
        <v>67</v>
      </c>
      <c r="F541" s="4">
        <f>IFERROR(__xludf.DUMMYFUNCTION("""COMPUTED_VALUE"""),5.0)</f>
        <v>5</v>
      </c>
      <c r="G541" s="4">
        <f>IFERROR(__xludf.DUMMYFUNCTION("""COMPUTED_VALUE"""),1016.0)</f>
        <v>1016</v>
      </c>
      <c r="H541" s="5">
        <f>IFERROR(__xludf.DUMMYFUNCTION("""COMPUTED_VALUE"""),6627.4)</f>
        <v>6627.4</v>
      </c>
      <c r="I541" s="5">
        <f>IFERROR(__xludf.DUMMYFUNCTION("""COMPUTED_VALUE"""),568.43)</f>
        <v>568.43</v>
      </c>
      <c r="J541" s="5">
        <f>IFERROR(__xludf.DUMMYFUNCTION("""COMPUTED_VALUE"""),1963.62)</f>
        <v>1963.62</v>
      </c>
      <c r="K541" s="5">
        <f>IFERROR(__xludf.DUMMYFUNCTION("""COMPUTED_VALUE"""),5718.79)</f>
        <v>5718.79</v>
      </c>
      <c r="L541" s="4">
        <f>IFERROR(__xludf.DUMMYFUNCTION("""COMPUTED_VALUE"""),12.0)</f>
        <v>12</v>
      </c>
      <c r="M541" s="4">
        <f>IFERROR(__xludf.DUMMYFUNCTION("""COMPUTED_VALUE"""),4.0)</f>
        <v>4</v>
      </c>
      <c r="N541" s="2" t="str">
        <f>IFERROR(__xludf.DUMMYFUNCTION("""COMPUTED_VALUE"""),"FALSO")</f>
        <v>FALSO</v>
      </c>
    </row>
    <row r="542">
      <c r="A542" s="2">
        <f>IFERROR(__xludf.DUMMYFUNCTION("""COMPUTED_VALUE"""),541.0)</f>
        <v>541</v>
      </c>
      <c r="B542" s="2" t="str">
        <f>IFERROR(__xludf.DUMMYFUNCTION("""COMPUTED_VALUE"""),"Catrina Domingues")</f>
        <v>Catrina Domingues</v>
      </c>
      <c r="C542" s="2" t="str">
        <f>IFERROR(__xludf.DUMMYFUNCTION("""COMPUTED_VALUE"""),"cdominguesf1@eventbrite.com")</f>
        <v>cdominguesf1@eventbrite.com</v>
      </c>
      <c r="D542" s="4">
        <f>IFERROR(__xludf.DUMMYFUNCTION("""COMPUTED_VALUE"""),49.0)</f>
        <v>49</v>
      </c>
      <c r="E542" s="4">
        <f>IFERROR(__xludf.DUMMYFUNCTION("""COMPUTED_VALUE"""),16.0)</f>
        <v>16</v>
      </c>
      <c r="F542" s="4">
        <f>IFERROR(__xludf.DUMMYFUNCTION("""COMPUTED_VALUE"""),8.0)</f>
        <v>8</v>
      </c>
      <c r="G542" s="4">
        <f>IFERROR(__xludf.DUMMYFUNCTION("""COMPUTED_VALUE"""),32.0)</f>
        <v>32</v>
      </c>
      <c r="H542" s="5">
        <f>IFERROR(__xludf.DUMMYFUNCTION("""COMPUTED_VALUE"""),9382.78)</f>
        <v>9382.78</v>
      </c>
      <c r="I542" s="5">
        <f>IFERROR(__xludf.DUMMYFUNCTION("""COMPUTED_VALUE"""),6042.59)</f>
        <v>6042.59</v>
      </c>
      <c r="J542" s="5">
        <f>IFERROR(__xludf.DUMMYFUNCTION("""COMPUTED_VALUE"""),2724.87)</f>
        <v>2724.87</v>
      </c>
      <c r="K542" s="5">
        <f>IFERROR(__xludf.DUMMYFUNCTION("""COMPUTED_VALUE"""),2848.5)</f>
        <v>2848.5</v>
      </c>
      <c r="L542" s="4">
        <f>IFERROR(__xludf.DUMMYFUNCTION("""COMPUTED_VALUE"""),13.0)</f>
        <v>13</v>
      </c>
      <c r="M542" s="4">
        <f>IFERROR(__xludf.DUMMYFUNCTION("""COMPUTED_VALUE"""),77.0)</f>
        <v>77</v>
      </c>
      <c r="N542" s="2" t="str">
        <f>IFERROR(__xludf.DUMMYFUNCTION("""COMPUTED_VALUE"""),"FALSO")</f>
        <v>FALSO</v>
      </c>
    </row>
    <row r="543">
      <c r="A543" s="2">
        <f>IFERROR(__xludf.DUMMYFUNCTION("""COMPUTED_VALUE"""),542.0)</f>
        <v>542</v>
      </c>
      <c r="B543" s="2" t="str">
        <f>IFERROR(__xludf.DUMMYFUNCTION("""COMPUTED_VALUE"""),"Felizio Marin")</f>
        <v>Felizio Marin</v>
      </c>
      <c r="C543" s="2" t="str">
        <f>IFERROR(__xludf.DUMMYFUNCTION("""COMPUTED_VALUE"""),"fmarinf2@cyberchimps.com")</f>
        <v>fmarinf2@cyberchimps.com</v>
      </c>
      <c r="D543" s="4">
        <f>IFERROR(__xludf.DUMMYFUNCTION("""COMPUTED_VALUE"""),122.0)</f>
        <v>122</v>
      </c>
      <c r="E543" s="4">
        <f>IFERROR(__xludf.DUMMYFUNCTION("""COMPUTED_VALUE"""),12.0)</f>
        <v>12</v>
      </c>
      <c r="F543" s="4">
        <f>IFERROR(__xludf.DUMMYFUNCTION("""COMPUTED_VALUE"""),6.0)</f>
        <v>6</v>
      </c>
      <c r="G543" s="4">
        <f>IFERROR(__xludf.DUMMYFUNCTION("""COMPUTED_VALUE"""),328.0)</f>
        <v>328</v>
      </c>
      <c r="H543" s="5">
        <f>IFERROR(__xludf.DUMMYFUNCTION("""COMPUTED_VALUE"""),6546.7)</f>
        <v>6546.7</v>
      </c>
      <c r="I543" s="5">
        <f>IFERROR(__xludf.DUMMYFUNCTION("""COMPUTED_VALUE"""),5405.65)</f>
        <v>5405.65</v>
      </c>
      <c r="J543" s="5">
        <f>IFERROR(__xludf.DUMMYFUNCTION("""COMPUTED_VALUE"""),7078.05)</f>
        <v>7078.05</v>
      </c>
      <c r="K543" s="5">
        <f>IFERROR(__xludf.DUMMYFUNCTION("""COMPUTED_VALUE"""),9467.67)</f>
        <v>9467.67</v>
      </c>
      <c r="L543" s="4">
        <f>IFERROR(__xludf.DUMMYFUNCTION("""COMPUTED_VALUE"""),1.0)</f>
        <v>1</v>
      </c>
      <c r="M543" s="4">
        <f>IFERROR(__xludf.DUMMYFUNCTION("""COMPUTED_VALUE"""),18.0)</f>
        <v>18</v>
      </c>
      <c r="N543" s="2" t="str">
        <f>IFERROR(__xludf.DUMMYFUNCTION("""COMPUTED_VALUE"""),"FALSO")</f>
        <v>FALSO</v>
      </c>
    </row>
    <row r="544">
      <c r="A544" s="2">
        <f>IFERROR(__xludf.DUMMYFUNCTION("""COMPUTED_VALUE"""),543.0)</f>
        <v>543</v>
      </c>
      <c r="B544" s="2" t="str">
        <f>IFERROR(__xludf.DUMMYFUNCTION("""COMPUTED_VALUE"""),"Penny Simonds")</f>
        <v>Penny Simonds</v>
      </c>
      <c r="C544" s="2" t="str">
        <f>IFERROR(__xludf.DUMMYFUNCTION("""COMPUTED_VALUE"""),"psimondsf3@so-net.ne.jp")</f>
        <v>psimondsf3@so-net.ne.jp</v>
      </c>
      <c r="D544" s="4">
        <f>IFERROR(__xludf.DUMMYFUNCTION("""COMPUTED_VALUE"""),137.0)</f>
        <v>137</v>
      </c>
      <c r="E544" s="4">
        <f>IFERROR(__xludf.DUMMYFUNCTION("""COMPUTED_VALUE"""),24.0)</f>
        <v>24</v>
      </c>
      <c r="F544" s="4">
        <f>IFERROR(__xludf.DUMMYFUNCTION("""COMPUTED_VALUE"""),3.0)</f>
        <v>3</v>
      </c>
      <c r="G544" s="4">
        <f>IFERROR(__xludf.DUMMYFUNCTION("""COMPUTED_VALUE"""),1099.0)</f>
        <v>1099</v>
      </c>
      <c r="H544" s="5">
        <f>IFERROR(__xludf.DUMMYFUNCTION("""COMPUTED_VALUE"""),1699.35)</f>
        <v>1699.35</v>
      </c>
      <c r="I544" s="5">
        <f>IFERROR(__xludf.DUMMYFUNCTION("""COMPUTED_VALUE"""),1651.51)</f>
        <v>1651.51</v>
      </c>
      <c r="J544" s="5">
        <f>IFERROR(__xludf.DUMMYFUNCTION("""COMPUTED_VALUE"""),2723.11)</f>
        <v>2723.11</v>
      </c>
      <c r="K544" s="5">
        <f>IFERROR(__xludf.DUMMYFUNCTION("""COMPUTED_VALUE"""),2111.8)</f>
        <v>2111.8</v>
      </c>
      <c r="L544" s="4">
        <f>IFERROR(__xludf.DUMMYFUNCTION("""COMPUTED_VALUE"""),20.0)</f>
        <v>20</v>
      </c>
      <c r="M544" s="4">
        <f>IFERROR(__xludf.DUMMYFUNCTION("""COMPUTED_VALUE"""),16.0)</f>
        <v>16</v>
      </c>
      <c r="N544" s="2" t="str">
        <f>IFERROR(__xludf.DUMMYFUNCTION("""COMPUTED_VALUE"""),"FALSO")</f>
        <v>FALSO</v>
      </c>
    </row>
    <row r="545">
      <c r="A545" s="2">
        <f>IFERROR(__xludf.DUMMYFUNCTION("""COMPUTED_VALUE"""),544.0)</f>
        <v>544</v>
      </c>
      <c r="B545" s="2" t="str">
        <f>IFERROR(__xludf.DUMMYFUNCTION("""COMPUTED_VALUE"""),"Sidney Itzhayek")</f>
        <v>Sidney Itzhayek</v>
      </c>
      <c r="C545" s="2" t="str">
        <f>IFERROR(__xludf.DUMMYFUNCTION("""COMPUTED_VALUE"""),"sitzhayekf4@trellian.com")</f>
        <v>sitzhayekf4@trellian.com</v>
      </c>
      <c r="D545" s="4">
        <f>IFERROR(__xludf.DUMMYFUNCTION("""COMPUTED_VALUE"""),49.0)</f>
        <v>49</v>
      </c>
      <c r="E545" s="4">
        <f>IFERROR(__xludf.DUMMYFUNCTION("""COMPUTED_VALUE"""),66.0)</f>
        <v>66</v>
      </c>
      <c r="F545" s="4">
        <f>IFERROR(__xludf.DUMMYFUNCTION("""COMPUTED_VALUE"""),6.0)</f>
        <v>6</v>
      </c>
      <c r="G545" s="4">
        <f>IFERROR(__xludf.DUMMYFUNCTION("""COMPUTED_VALUE"""),761.0)</f>
        <v>761</v>
      </c>
      <c r="H545" s="5">
        <f>IFERROR(__xludf.DUMMYFUNCTION("""COMPUTED_VALUE"""),9545.38)</f>
        <v>9545.38</v>
      </c>
      <c r="I545" s="5">
        <f>IFERROR(__xludf.DUMMYFUNCTION("""COMPUTED_VALUE"""),8337.21)</f>
        <v>8337.21</v>
      </c>
      <c r="J545" s="5">
        <f>IFERROR(__xludf.DUMMYFUNCTION("""COMPUTED_VALUE"""),5854.85)</f>
        <v>5854.85</v>
      </c>
      <c r="K545" s="5">
        <f>IFERROR(__xludf.DUMMYFUNCTION("""COMPUTED_VALUE"""),8492.18)</f>
        <v>8492.18</v>
      </c>
      <c r="L545" s="4">
        <f>IFERROR(__xludf.DUMMYFUNCTION("""COMPUTED_VALUE"""),5.0)</f>
        <v>5</v>
      </c>
      <c r="M545" s="4">
        <f>IFERROR(__xludf.DUMMYFUNCTION("""COMPUTED_VALUE"""),1.0)</f>
        <v>1</v>
      </c>
      <c r="N545" s="2" t="str">
        <f>IFERROR(__xludf.DUMMYFUNCTION("""COMPUTED_VALUE"""),"FALSO")</f>
        <v>FALSO</v>
      </c>
    </row>
    <row r="546">
      <c r="A546" s="2">
        <f>IFERROR(__xludf.DUMMYFUNCTION("""COMPUTED_VALUE"""),545.0)</f>
        <v>545</v>
      </c>
      <c r="B546" s="2" t="str">
        <f>IFERROR(__xludf.DUMMYFUNCTION("""COMPUTED_VALUE"""),"Mose Oleszczak")</f>
        <v>Mose Oleszczak</v>
      </c>
      <c r="C546" s="2" t="str">
        <f>IFERROR(__xludf.DUMMYFUNCTION("""COMPUTED_VALUE"""),"moleszczakf5@home.pl")</f>
        <v>moleszczakf5@home.pl</v>
      </c>
      <c r="D546" s="4">
        <f>IFERROR(__xludf.DUMMYFUNCTION("""COMPUTED_VALUE"""),17.0)</f>
        <v>17</v>
      </c>
      <c r="E546" s="4">
        <f>IFERROR(__xludf.DUMMYFUNCTION("""COMPUTED_VALUE"""),81.0)</f>
        <v>81</v>
      </c>
      <c r="F546" s="4">
        <f>IFERROR(__xludf.DUMMYFUNCTION("""COMPUTED_VALUE"""),2.0)</f>
        <v>2</v>
      </c>
      <c r="G546" s="4">
        <f>IFERROR(__xludf.DUMMYFUNCTION("""COMPUTED_VALUE"""),1145.0)</f>
        <v>1145</v>
      </c>
      <c r="H546" s="5">
        <f>IFERROR(__xludf.DUMMYFUNCTION("""COMPUTED_VALUE"""),2197.51)</f>
        <v>2197.51</v>
      </c>
      <c r="I546" s="5">
        <f>IFERROR(__xludf.DUMMYFUNCTION("""COMPUTED_VALUE"""),9898.94)</f>
        <v>9898.94</v>
      </c>
      <c r="J546" s="5">
        <f>IFERROR(__xludf.DUMMYFUNCTION("""COMPUTED_VALUE"""),3479.39)</f>
        <v>3479.39</v>
      </c>
      <c r="K546" s="5">
        <f>IFERROR(__xludf.DUMMYFUNCTION("""COMPUTED_VALUE"""),902.71)</f>
        <v>902.71</v>
      </c>
      <c r="L546" s="4">
        <f>IFERROR(__xludf.DUMMYFUNCTION("""COMPUTED_VALUE"""),9.0)</f>
        <v>9</v>
      </c>
      <c r="M546" s="4">
        <f>IFERROR(__xludf.DUMMYFUNCTION("""COMPUTED_VALUE"""),47.0)</f>
        <v>47</v>
      </c>
      <c r="N546" s="2" t="str">
        <f>IFERROR(__xludf.DUMMYFUNCTION("""COMPUTED_VALUE"""),"VERDADERO")</f>
        <v>VERDADERO</v>
      </c>
    </row>
    <row r="547">
      <c r="A547" s="2">
        <f>IFERROR(__xludf.DUMMYFUNCTION("""COMPUTED_VALUE"""),546.0)</f>
        <v>546</v>
      </c>
      <c r="B547" s="2" t="str">
        <f>IFERROR(__xludf.DUMMYFUNCTION("""COMPUTED_VALUE"""),"Eirena Grzelczyk")</f>
        <v>Eirena Grzelczyk</v>
      </c>
      <c r="C547" s="2" t="str">
        <f>IFERROR(__xludf.DUMMYFUNCTION("""COMPUTED_VALUE"""),"egrzelczykf6@spotify.com")</f>
        <v>egrzelczykf6@spotify.com</v>
      </c>
      <c r="D547" s="4">
        <f>IFERROR(__xludf.DUMMYFUNCTION("""COMPUTED_VALUE"""),29.0)</f>
        <v>29</v>
      </c>
      <c r="E547" s="4">
        <f>IFERROR(__xludf.DUMMYFUNCTION("""COMPUTED_VALUE"""),114.0)</f>
        <v>114</v>
      </c>
      <c r="F547" s="4">
        <f>IFERROR(__xludf.DUMMYFUNCTION("""COMPUTED_VALUE"""),13.0)</f>
        <v>13</v>
      </c>
      <c r="G547" s="4">
        <f>IFERROR(__xludf.DUMMYFUNCTION("""COMPUTED_VALUE"""),434.0)</f>
        <v>434</v>
      </c>
      <c r="H547" s="5">
        <f>IFERROR(__xludf.DUMMYFUNCTION("""COMPUTED_VALUE"""),5483.53)</f>
        <v>5483.53</v>
      </c>
      <c r="I547" s="5">
        <f>IFERROR(__xludf.DUMMYFUNCTION("""COMPUTED_VALUE"""),9935.1)</f>
        <v>9935.1</v>
      </c>
      <c r="J547" s="5">
        <f>IFERROR(__xludf.DUMMYFUNCTION("""COMPUTED_VALUE"""),6805.81)</f>
        <v>6805.81</v>
      </c>
      <c r="K547" s="5">
        <f>IFERROR(__xludf.DUMMYFUNCTION("""COMPUTED_VALUE"""),2191.67)</f>
        <v>2191.67</v>
      </c>
      <c r="L547" s="4">
        <f>IFERROR(__xludf.DUMMYFUNCTION("""COMPUTED_VALUE"""),10.0)</f>
        <v>10</v>
      </c>
      <c r="M547" s="4">
        <f>IFERROR(__xludf.DUMMYFUNCTION("""COMPUTED_VALUE"""),82.0)</f>
        <v>82</v>
      </c>
      <c r="N547" s="2" t="str">
        <f>IFERROR(__xludf.DUMMYFUNCTION("""COMPUTED_VALUE"""),"FALSO")</f>
        <v>FALSO</v>
      </c>
    </row>
    <row r="548">
      <c r="A548" s="2">
        <f>IFERROR(__xludf.DUMMYFUNCTION("""COMPUTED_VALUE"""),547.0)</f>
        <v>547</v>
      </c>
      <c r="B548" s="2" t="str">
        <f>IFERROR(__xludf.DUMMYFUNCTION("""COMPUTED_VALUE"""),"Burlie Sturgess")</f>
        <v>Burlie Sturgess</v>
      </c>
      <c r="C548" s="2" t="str">
        <f>IFERROR(__xludf.DUMMYFUNCTION("""COMPUTED_VALUE"""),"bsturgessf7@networksolutions.com")</f>
        <v>bsturgessf7@networksolutions.com</v>
      </c>
      <c r="D548" s="4">
        <f>IFERROR(__xludf.DUMMYFUNCTION("""COMPUTED_VALUE"""),29.0)</f>
        <v>29</v>
      </c>
      <c r="E548" s="4">
        <f>IFERROR(__xludf.DUMMYFUNCTION("""COMPUTED_VALUE"""),81.0)</f>
        <v>81</v>
      </c>
      <c r="F548" s="4">
        <f>IFERROR(__xludf.DUMMYFUNCTION("""COMPUTED_VALUE"""),2.0)</f>
        <v>2</v>
      </c>
      <c r="G548" s="4">
        <f>IFERROR(__xludf.DUMMYFUNCTION("""COMPUTED_VALUE"""),946.0)</f>
        <v>946</v>
      </c>
      <c r="H548" s="5">
        <f>IFERROR(__xludf.DUMMYFUNCTION("""COMPUTED_VALUE"""),447.31)</f>
        <v>447.31</v>
      </c>
      <c r="I548" s="5">
        <f>IFERROR(__xludf.DUMMYFUNCTION("""COMPUTED_VALUE"""),8605.06)</f>
        <v>8605.06</v>
      </c>
      <c r="J548" s="5">
        <f>IFERROR(__xludf.DUMMYFUNCTION("""COMPUTED_VALUE"""),9136.63)</f>
        <v>9136.63</v>
      </c>
      <c r="K548" s="5">
        <f>IFERROR(__xludf.DUMMYFUNCTION("""COMPUTED_VALUE"""),6526.56)</f>
        <v>6526.56</v>
      </c>
      <c r="L548" s="4">
        <f>IFERROR(__xludf.DUMMYFUNCTION("""COMPUTED_VALUE"""),18.0)</f>
        <v>18</v>
      </c>
      <c r="M548" s="4">
        <f>IFERROR(__xludf.DUMMYFUNCTION("""COMPUTED_VALUE"""),5.0)</f>
        <v>5</v>
      </c>
      <c r="N548" s="2" t="str">
        <f>IFERROR(__xludf.DUMMYFUNCTION("""COMPUTED_VALUE"""),"VERDADERO")</f>
        <v>VERDADERO</v>
      </c>
    </row>
    <row r="549">
      <c r="A549" s="2">
        <f>IFERROR(__xludf.DUMMYFUNCTION("""COMPUTED_VALUE"""),548.0)</f>
        <v>548</v>
      </c>
      <c r="B549" s="2" t="str">
        <f>IFERROR(__xludf.DUMMYFUNCTION("""COMPUTED_VALUE"""),"Aili Seiler")</f>
        <v>Aili Seiler</v>
      </c>
      <c r="C549" s="2" t="str">
        <f>IFERROR(__xludf.DUMMYFUNCTION("""COMPUTED_VALUE"""),"aseilerf8@about.com")</f>
        <v>aseilerf8@about.com</v>
      </c>
      <c r="D549" s="4">
        <f>IFERROR(__xludf.DUMMYFUNCTION("""COMPUTED_VALUE"""),17.0)</f>
        <v>17</v>
      </c>
      <c r="E549" s="4">
        <f>IFERROR(__xludf.DUMMYFUNCTION("""COMPUTED_VALUE"""),55.0)</f>
        <v>55</v>
      </c>
      <c r="F549" s="4">
        <f>IFERROR(__xludf.DUMMYFUNCTION("""COMPUTED_VALUE"""),8.0)</f>
        <v>8</v>
      </c>
      <c r="G549" s="4">
        <f>IFERROR(__xludf.DUMMYFUNCTION("""COMPUTED_VALUE"""),1179.0)</f>
        <v>1179</v>
      </c>
      <c r="H549" s="5">
        <f>IFERROR(__xludf.DUMMYFUNCTION("""COMPUTED_VALUE"""),3450.7)</f>
        <v>3450.7</v>
      </c>
      <c r="I549" s="5">
        <f>IFERROR(__xludf.DUMMYFUNCTION("""COMPUTED_VALUE"""),9938.68)</f>
        <v>9938.68</v>
      </c>
      <c r="J549" s="5">
        <f>IFERROR(__xludf.DUMMYFUNCTION("""COMPUTED_VALUE"""),6481.46)</f>
        <v>6481.46</v>
      </c>
      <c r="K549" s="5">
        <f>IFERROR(__xludf.DUMMYFUNCTION("""COMPUTED_VALUE"""),8930.57)</f>
        <v>8930.57</v>
      </c>
      <c r="L549" s="4">
        <f>IFERROR(__xludf.DUMMYFUNCTION("""COMPUTED_VALUE"""),2.0)</f>
        <v>2</v>
      </c>
      <c r="M549" s="4">
        <f>IFERROR(__xludf.DUMMYFUNCTION("""COMPUTED_VALUE"""),21.0)</f>
        <v>21</v>
      </c>
      <c r="N549" s="2" t="str">
        <f>IFERROR(__xludf.DUMMYFUNCTION("""COMPUTED_VALUE"""),"VERDADERO")</f>
        <v>VERDADERO</v>
      </c>
    </row>
    <row r="550">
      <c r="A550" s="2">
        <f>IFERROR(__xludf.DUMMYFUNCTION("""COMPUTED_VALUE"""),549.0)</f>
        <v>549</v>
      </c>
      <c r="B550" s="2" t="str">
        <f>IFERROR(__xludf.DUMMYFUNCTION("""COMPUTED_VALUE"""),"Teriann Lisle")</f>
        <v>Teriann Lisle</v>
      </c>
      <c r="C550" s="2" t="str">
        <f>IFERROR(__xludf.DUMMYFUNCTION("""COMPUTED_VALUE"""),"tlislef9@scientificamerican.com")</f>
        <v>tlislef9@scientificamerican.com</v>
      </c>
      <c r="D550" s="4">
        <f>IFERROR(__xludf.DUMMYFUNCTION("""COMPUTED_VALUE"""),120.0)</f>
        <v>120</v>
      </c>
      <c r="E550" s="4">
        <f>IFERROR(__xludf.DUMMYFUNCTION("""COMPUTED_VALUE"""),73.0)</f>
        <v>73</v>
      </c>
      <c r="F550" s="4">
        <f>IFERROR(__xludf.DUMMYFUNCTION("""COMPUTED_VALUE"""),9.0)</f>
        <v>9</v>
      </c>
      <c r="G550" s="4">
        <f>IFERROR(__xludf.DUMMYFUNCTION("""COMPUTED_VALUE"""),1061.0)</f>
        <v>1061</v>
      </c>
      <c r="H550" s="5">
        <f>IFERROR(__xludf.DUMMYFUNCTION("""COMPUTED_VALUE"""),1990.21)</f>
        <v>1990.21</v>
      </c>
      <c r="I550" s="5">
        <f>IFERROR(__xludf.DUMMYFUNCTION("""COMPUTED_VALUE"""),2887.73)</f>
        <v>2887.73</v>
      </c>
      <c r="J550" s="5">
        <f>IFERROR(__xludf.DUMMYFUNCTION("""COMPUTED_VALUE"""),9234.01)</f>
        <v>9234.01</v>
      </c>
      <c r="K550" s="5">
        <f>IFERROR(__xludf.DUMMYFUNCTION("""COMPUTED_VALUE"""),1368.04)</f>
        <v>1368.04</v>
      </c>
      <c r="L550" s="4">
        <f>IFERROR(__xludf.DUMMYFUNCTION("""COMPUTED_VALUE"""),18.0)</f>
        <v>18</v>
      </c>
      <c r="M550" s="4">
        <f>IFERROR(__xludf.DUMMYFUNCTION("""COMPUTED_VALUE"""),23.0)</f>
        <v>23</v>
      </c>
      <c r="N550" s="2" t="str">
        <f>IFERROR(__xludf.DUMMYFUNCTION("""COMPUTED_VALUE"""),"FALSO")</f>
        <v>FALSO</v>
      </c>
    </row>
    <row r="551">
      <c r="A551" s="2">
        <f>IFERROR(__xludf.DUMMYFUNCTION("""COMPUTED_VALUE"""),550.0)</f>
        <v>550</v>
      </c>
      <c r="B551" s="2" t="str">
        <f>IFERROR(__xludf.DUMMYFUNCTION("""COMPUTED_VALUE"""),"Rene Rubbert")</f>
        <v>Rene Rubbert</v>
      </c>
      <c r="C551" s="2" t="str">
        <f>IFERROR(__xludf.DUMMYFUNCTION("""COMPUTED_VALUE"""),"rrubbertfa@usda.gov")</f>
        <v>rrubbertfa@usda.gov</v>
      </c>
      <c r="D551" s="4">
        <f>IFERROR(__xludf.DUMMYFUNCTION("""COMPUTED_VALUE"""),49.0)</f>
        <v>49</v>
      </c>
      <c r="E551" s="4">
        <f>IFERROR(__xludf.DUMMYFUNCTION("""COMPUTED_VALUE"""),81.0)</f>
        <v>81</v>
      </c>
      <c r="F551" s="4">
        <f>IFERROR(__xludf.DUMMYFUNCTION("""COMPUTED_VALUE"""),2.0)</f>
        <v>2</v>
      </c>
      <c r="G551" s="4">
        <f>IFERROR(__xludf.DUMMYFUNCTION("""COMPUTED_VALUE"""),626.0)</f>
        <v>626</v>
      </c>
      <c r="H551" s="5">
        <f>IFERROR(__xludf.DUMMYFUNCTION("""COMPUTED_VALUE"""),2799.82)</f>
        <v>2799.82</v>
      </c>
      <c r="I551" s="5">
        <f>IFERROR(__xludf.DUMMYFUNCTION("""COMPUTED_VALUE"""),1883.57)</f>
        <v>1883.57</v>
      </c>
      <c r="J551" s="5">
        <f>IFERROR(__xludf.DUMMYFUNCTION("""COMPUTED_VALUE"""),3476.25)</f>
        <v>3476.25</v>
      </c>
      <c r="K551" s="5">
        <f>IFERROR(__xludf.DUMMYFUNCTION("""COMPUTED_VALUE"""),426.65)</f>
        <v>426.65</v>
      </c>
      <c r="L551" s="4">
        <f>IFERROR(__xludf.DUMMYFUNCTION("""COMPUTED_VALUE"""),2.0)</f>
        <v>2</v>
      </c>
      <c r="M551" s="4">
        <f>IFERROR(__xludf.DUMMYFUNCTION("""COMPUTED_VALUE"""),61.0)</f>
        <v>61</v>
      </c>
      <c r="N551" s="2" t="str">
        <f>IFERROR(__xludf.DUMMYFUNCTION("""COMPUTED_VALUE"""),"FALSO")</f>
        <v>FALSO</v>
      </c>
    </row>
    <row r="552">
      <c r="A552" s="2">
        <f>IFERROR(__xludf.DUMMYFUNCTION("""COMPUTED_VALUE"""),551.0)</f>
        <v>551</v>
      </c>
      <c r="B552" s="2" t="str">
        <f>IFERROR(__xludf.DUMMYFUNCTION("""COMPUTED_VALUE"""),"Arte Garvagh")</f>
        <v>Arte Garvagh</v>
      </c>
      <c r="C552" s="2" t="str">
        <f>IFERROR(__xludf.DUMMYFUNCTION("""COMPUTED_VALUE"""),"agarvaghfb@biblegateway.com")</f>
        <v>agarvaghfb@biblegateway.com</v>
      </c>
      <c r="D552" s="4">
        <f>IFERROR(__xludf.DUMMYFUNCTION("""COMPUTED_VALUE"""),150.0)</f>
        <v>150</v>
      </c>
      <c r="E552" s="4">
        <f>IFERROR(__xludf.DUMMYFUNCTION("""COMPUTED_VALUE"""),94.0)</f>
        <v>94</v>
      </c>
      <c r="F552" s="4">
        <f>IFERROR(__xludf.DUMMYFUNCTION("""COMPUTED_VALUE"""),13.0)</f>
        <v>13</v>
      </c>
      <c r="G552" s="4">
        <f>IFERROR(__xludf.DUMMYFUNCTION("""COMPUTED_VALUE"""),759.0)</f>
        <v>759</v>
      </c>
      <c r="H552" s="5">
        <f>IFERROR(__xludf.DUMMYFUNCTION("""COMPUTED_VALUE"""),8985.03)</f>
        <v>8985.03</v>
      </c>
      <c r="I552" s="5">
        <f>IFERROR(__xludf.DUMMYFUNCTION("""COMPUTED_VALUE"""),6586.38)</f>
        <v>6586.38</v>
      </c>
      <c r="J552" s="5">
        <f>IFERROR(__xludf.DUMMYFUNCTION("""COMPUTED_VALUE"""),5466.21)</f>
        <v>5466.21</v>
      </c>
      <c r="K552" s="5">
        <f>IFERROR(__xludf.DUMMYFUNCTION("""COMPUTED_VALUE"""),7997.24)</f>
        <v>7997.24</v>
      </c>
      <c r="L552" s="4">
        <f>IFERROR(__xludf.DUMMYFUNCTION("""COMPUTED_VALUE"""),8.0)</f>
        <v>8</v>
      </c>
      <c r="M552" s="4">
        <f>IFERROR(__xludf.DUMMYFUNCTION("""COMPUTED_VALUE"""),20.0)</f>
        <v>20</v>
      </c>
      <c r="N552" s="2" t="str">
        <f>IFERROR(__xludf.DUMMYFUNCTION("""COMPUTED_VALUE"""),"VERDADERO")</f>
        <v>VERDADERO</v>
      </c>
    </row>
    <row r="553">
      <c r="A553" s="2">
        <f>IFERROR(__xludf.DUMMYFUNCTION("""COMPUTED_VALUE"""),552.0)</f>
        <v>552</v>
      </c>
      <c r="B553" s="2" t="str">
        <f>IFERROR(__xludf.DUMMYFUNCTION("""COMPUTED_VALUE"""),"Eb Fantini")</f>
        <v>Eb Fantini</v>
      </c>
      <c r="C553" s="2" t="str">
        <f>IFERROR(__xludf.DUMMYFUNCTION("""COMPUTED_VALUE"""),"efantinifc@ustream.tv")</f>
        <v>efantinifc@ustream.tv</v>
      </c>
      <c r="D553" s="4">
        <f>IFERROR(__xludf.DUMMYFUNCTION("""COMPUTED_VALUE"""),49.0)</f>
        <v>49</v>
      </c>
      <c r="E553" s="4">
        <f>IFERROR(__xludf.DUMMYFUNCTION("""COMPUTED_VALUE"""),37.0)</f>
        <v>37</v>
      </c>
      <c r="F553" s="4">
        <f>IFERROR(__xludf.DUMMYFUNCTION("""COMPUTED_VALUE"""),4.0)</f>
        <v>4</v>
      </c>
      <c r="G553" s="4">
        <f>IFERROR(__xludf.DUMMYFUNCTION("""COMPUTED_VALUE"""),8.0)</f>
        <v>8</v>
      </c>
      <c r="H553" s="5">
        <f>IFERROR(__xludf.DUMMYFUNCTION("""COMPUTED_VALUE"""),6188.09)</f>
        <v>6188.09</v>
      </c>
      <c r="I553" s="5">
        <f>IFERROR(__xludf.DUMMYFUNCTION("""COMPUTED_VALUE"""),9529.14)</f>
        <v>9529.14</v>
      </c>
      <c r="J553" s="5">
        <f>IFERROR(__xludf.DUMMYFUNCTION("""COMPUTED_VALUE"""),841.15)</f>
        <v>841.15</v>
      </c>
      <c r="K553" s="5">
        <f>IFERROR(__xludf.DUMMYFUNCTION("""COMPUTED_VALUE"""),623.15)</f>
        <v>623.15</v>
      </c>
      <c r="L553" s="4">
        <f>IFERROR(__xludf.DUMMYFUNCTION("""COMPUTED_VALUE"""),6.0)</f>
        <v>6</v>
      </c>
      <c r="M553" s="4">
        <f>IFERROR(__xludf.DUMMYFUNCTION("""COMPUTED_VALUE"""),91.0)</f>
        <v>91</v>
      </c>
      <c r="N553" s="2" t="str">
        <f>IFERROR(__xludf.DUMMYFUNCTION("""COMPUTED_VALUE"""),"VERDADERO")</f>
        <v>VERDADERO</v>
      </c>
    </row>
    <row r="554">
      <c r="A554" s="2">
        <f>IFERROR(__xludf.DUMMYFUNCTION("""COMPUTED_VALUE"""),553.0)</f>
        <v>553</v>
      </c>
      <c r="B554" s="2" t="str">
        <f>IFERROR(__xludf.DUMMYFUNCTION("""COMPUTED_VALUE"""),"Alana Corday")</f>
        <v>Alana Corday</v>
      </c>
      <c r="C554" s="2" t="str">
        <f>IFERROR(__xludf.DUMMYFUNCTION("""COMPUTED_VALUE"""),"acordayfd@skype.com")</f>
        <v>acordayfd@skype.com</v>
      </c>
      <c r="D554" s="4">
        <f>IFERROR(__xludf.DUMMYFUNCTION("""COMPUTED_VALUE"""),156.0)</f>
        <v>156</v>
      </c>
      <c r="E554" s="4">
        <f>IFERROR(__xludf.DUMMYFUNCTION("""COMPUTED_VALUE"""),65.0)</f>
        <v>65</v>
      </c>
      <c r="F554" s="4">
        <f>IFERROR(__xludf.DUMMYFUNCTION("""COMPUTED_VALUE"""),9.0)</f>
        <v>9</v>
      </c>
      <c r="G554" s="4">
        <f>IFERROR(__xludf.DUMMYFUNCTION("""COMPUTED_VALUE"""),595.0)</f>
        <v>595</v>
      </c>
      <c r="H554" s="5">
        <f>IFERROR(__xludf.DUMMYFUNCTION("""COMPUTED_VALUE"""),5514.78)</f>
        <v>5514.78</v>
      </c>
      <c r="I554" s="5">
        <f>IFERROR(__xludf.DUMMYFUNCTION("""COMPUTED_VALUE"""),4425.79)</f>
        <v>4425.79</v>
      </c>
      <c r="J554" s="5">
        <f>IFERROR(__xludf.DUMMYFUNCTION("""COMPUTED_VALUE"""),6235.5)</f>
        <v>6235.5</v>
      </c>
      <c r="K554" s="5">
        <f>IFERROR(__xludf.DUMMYFUNCTION("""COMPUTED_VALUE"""),9232.66)</f>
        <v>9232.66</v>
      </c>
      <c r="L554" s="4">
        <f>IFERROR(__xludf.DUMMYFUNCTION("""COMPUTED_VALUE"""),12.0)</f>
        <v>12</v>
      </c>
      <c r="M554" s="4">
        <f>IFERROR(__xludf.DUMMYFUNCTION("""COMPUTED_VALUE"""),21.0)</f>
        <v>21</v>
      </c>
      <c r="N554" s="2" t="str">
        <f>IFERROR(__xludf.DUMMYFUNCTION("""COMPUTED_VALUE"""),"VERDADERO")</f>
        <v>VERDADERO</v>
      </c>
    </row>
    <row r="555">
      <c r="A555" s="2">
        <f>IFERROR(__xludf.DUMMYFUNCTION("""COMPUTED_VALUE"""),554.0)</f>
        <v>554</v>
      </c>
      <c r="B555" s="2" t="str">
        <f>IFERROR(__xludf.DUMMYFUNCTION("""COMPUTED_VALUE"""),"Conroy Aronoff")</f>
        <v>Conroy Aronoff</v>
      </c>
      <c r="C555" s="2" t="str">
        <f>IFERROR(__xludf.DUMMYFUNCTION("""COMPUTED_VALUE"""),"caronofffe@multiply.com")</f>
        <v>caronofffe@multiply.com</v>
      </c>
      <c r="D555" s="4">
        <f>IFERROR(__xludf.DUMMYFUNCTION("""COMPUTED_VALUE"""),16.0)</f>
        <v>16</v>
      </c>
      <c r="E555" s="4">
        <f>IFERROR(__xludf.DUMMYFUNCTION("""COMPUTED_VALUE"""),79.0)</f>
        <v>79</v>
      </c>
      <c r="F555" s="4">
        <f>IFERROR(__xludf.DUMMYFUNCTION("""COMPUTED_VALUE"""),5.0)</f>
        <v>5</v>
      </c>
      <c r="G555" s="4">
        <f>IFERROR(__xludf.DUMMYFUNCTION("""COMPUTED_VALUE"""),1208.0)</f>
        <v>1208</v>
      </c>
      <c r="H555" s="5">
        <f>IFERROR(__xludf.DUMMYFUNCTION("""COMPUTED_VALUE"""),1631.65)</f>
        <v>1631.65</v>
      </c>
      <c r="I555" s="5">
        <f>IFERROR(__xludf.DUMMYFUNCTION("""COMPUTED_VALUE"""),9547.66)</f>
        <v>9547.66</v>
      </c>
      <c r="J555" s="5">
        <f>IFERROR(__xludf.DUMMYFUNCTION("""COMPUTED_VALUE"""),7347.08)</f>
        <v>7347.08</v>
      </c>
      <c r="K555" s="5">
        <f>IFERROR(__xludf.DUMMYFUNCTION("""COMPUTED_VALUE"""),771.78)</f>
        <v>771.78</v>
      </c>
      <c r="L555" s="4">
        <f>IFERROR(__xludf.DUMMYFUNCTION("""COMPUTED_VALUE"""),19.0)</f>
        <v>19</v>
      </c>
      <c r="M555" s="4">
        <f>IFERROR(__xludf.DUMMYFUNCTION("""COMPUTED_VALUE"""),97.0)</f>
        <v>97</v>
      </c>
      <c r="N555" s="2" t="str">
        <f>IFERROR(__xludf.DUMMYFUNCTION("""COMPUTED_VALUE"""),"FALSO")</f>
        <v>FALSO</v>
      </c>
    </row>
    <row r="556">
      <c r="A556" s="2">
        <f>IFERROR(__xludf.DUMMYFUNCTION("""COMPUTED_VALUE"""),555.0)</f>
        <v>555</v>
      </c>
      <c r="B556" s="2" t="str">
        <f>IFERROR(__xludf.DUMMYFUNCTION("""COMPUTED_VALUE"""),"Briggs Crossthwaite")</f>
        <v>Briggs Crossthwaite</v>
      </c>
      <c r="C556" s="2" t="str">
        <f>IFERROR(__xludf.DUMMYFUNCTION("""COMPUTED_VALUE"""),"bcrossthwaiteff@ucoz.ru")</f>
        <v>bcrossthwaiteff@ucoz.ru</v>
      </c>
      <c r="D556" s="4">
        <f>IFERROR(__xludf.DUMMYFUNCTION("""COMPUTED_VALUE"""),119.0)</f>
        <v>119</v>
      </c>
      <c r="E556" s="4">
        <f>IFERROR(__xludf.DUMMYFUNCTION("""COMPUTED_VALUE"""),17.0)</f>
        <v>17</v>
      </c>
      <c r="F556" s="4">
        <f>IFERROR(__xludf.DUMMYFUNCTION("""COMPUTED_VALUE"""),5.0)</f>
        <v>5</v>
      </c>
      <c r="G556" s="4">
        <f>IFERROR(__xludf.DUMMYFUNCTION("""COMPUTED_VALUE"""),301.0)</f>
        <v>301</v>
      </c>
      <c r="H556" s="5">
        <f>IFERROR(__xludf.DUMMYFUNCTION("""COMPUTED_VALUE"""),5804.15)</f>
        <v>5804.15</v>
      </c>
      <c r="I556" s="5">
        <f>IFERROR(__xludf.DUMMYFUNCTION("""COMPUTED_VALUE"""),3848.01)</f>
        <v>3848.01</v>
      </c>
      <c r="J556" s="5">
        <f>IFERROR(__xludf.DUMMYFUNCTION("""COMPUTED_VALUE"""),8411.31)</f>
        <v>8411.31</v>
      </c>
      <c r="K556" s="5">
        <f>IFERROR(__xludf.DUMMYFUNCTION("""COMPUTED_VALUE"""),9283.1)</f>
        <v>9283.1</v>
      </c>
      <c r="L556" s="4">
        <f>IFERROR(__xludf.DUMMYFUNCTION("""COMPUTED_VALUE"""),14.0)</f>
        <v>14</v>
      </c>
      <c r="M556" s="4">
        <f>IFERROR(__xludf.DUMMYFUNCTION("""COMPUTED_VALUE"""),13.0)</f>
        <v>13</v>
      </c>
      <c r="N556" s="2" t="str">
        <f>IFERROR(__xludf.DUMMYFUNCTION("""COMPUTED_VALUE"""),"VERDADERO")</f>
        <v>VERDADERO</v>
      </c>
    </row>
    <row r="557">
      <c r="A557" s="2">
        <f>IFERROR(__xludf.DUMMYFUNCTION("""COMPUTED_VALUE"""),556.0)</f>
        <v>556</v>
      </c>
      <c r="B557" s="2" t="str">
        <f>IFERROR(__xludf.DUMMYFUNCTION("""COMPUTED_VALUE"""),"Alvy Trulocke")</f>
        <v>Alvy Trulocke</v>
      </c>
      <c r="C557" s="2" t="str">
        <f>IFERROR(__xludf.DUMMYFUNCTION("""COMPUTED_VALUE"""),"atrulockefg@reddit.com")</f>
        <v>atrulockefg@reddit.com</v>
      </c>
      <c r="D557" s="4">
        <f>IFERROR(__xludf.DUMMYFUNCTION("""COMPUTED_VALUE"""),119.0)</f>
        <v>119</v>
      </c>
      <c r="E557" s="4">
        <f>IFERROR(__xludf.DUMMYFUNCTION("""COMPUTED_VALUE"""),107.0)</f>
        <v>107</v>
      </c>
      <c r="F557" s="4">
        <f>IFERROR(__xludf.DUMMYFUNCTION("""COMPUTED_VALUE"""),5.0)</f>
        <v>5</v>
      </c>
      <c r="G557" s="4">
        <f>IFERROR(__xludf.DUMMYFUNCTION("""COMPUTED_VALUE"""),605.0)</f>
        <v>605</v>
      </c>
      <c r="H557" s="5">
        <f>IFERROR(__xludf.DUMMYFUNCTION("""COMPUTED_VALUE"""),9181.05)</f>
        <v>9181.05</v>
      </c>
      <c r="I557" s="5">
        <f>IFERROR(__xludf.DUMMYFUNCTION("""COMPUTED_VALUE"""),1216.91)</f>
        <v>1216.91</v>
      </c>
      <c r="J557" s="5">
        <f>IFERROR(__xludf.DUMMYFUNCTION("""COMPUTED_VALUE"""),5926.34)</f>
        <v>5926.34</v>
      </c>
      <c r="K557" s="5">
        <f>IFERROR(__xludf.DUMMYFUNCTION("""COMPUTED_VALUE"""),5410.98)</f>
        <v>5410.98</v>
      </c>
      <c r="L557" s="4">
        <f>IFERROR(__xludf.DUMMYFUNCTION("""COMPUTED_VALUE"""),12.0)</f>
        <v>12</v>
      </c>
      <c r="M557" s="4">
        <f>IFERROR(__xludf.DUMMYFUNCTION("""COMPUTED_VALUE"""),29.0)</f>
        <v>29</v>
      </c>
      <c r="N557" s="2" t="str">
        <f>IFERROR(__xludf.DUMMYFUNCTION("""COMPUTED_VALUE"""),"FALSO")</f>
        <v>FALSO</v>
      </c>
    </row>
    <row r="558">
      <c r="A558" s="2">
        <f>IFERROR(__xludf.DUMMYFUNCTION("""COMPUTED_VALUE"""),557.0)</f>
        <v>557</v>
      </c>
      <c r="B558" s="2" t="str">
        <f>IFERROR(__xludf.DUMMYFUNCTION("""COMPUTED_VALUE"""),"Clemmy Audrey")</f>
        <v>Clemmy Audrey</v>
      </c>
      <c r="C558" s="2" t="str">
        <f>IFERROR(__xludf.DUMMYFUNCTION("""COMPUTED_VALUE"""),"caudreyfh@simplemachines.org")</f>
        <v>caudreyfh@simplemachines.org</v>
      </c>
      <c r="D558" s="4">
        <f>IFERROR(__xludf.DUMMYFUNCTION("""COMPUTED_VALUE"""),29.0)</f>
        <v>29</v>
      </c>
      <c r="E558" s="4">
        <f>IFERROR(__xludf.DUMMYFUNCTION("""COMPUTED_VALUE"""),81.0)</f>
        <v>81</v>
      </c>
      <c r="F558" s="4">
        <f>IFERROR(__xludf.DUMMYFUNCTION("""COMPUTED_VALUE"""),2.0)</f>
        <v>2</v>
      </c>
      <c r="G558" s="4">
        <f>IFERROR(__xludf.DUMMYFUNCTION("""COMPUTED_VALUE"""),641.0)</f>
        <v>641</v>
      </c>
      <c r="H558" s="5">
        <f>IFERROR(__xludf.DUMMYFUNCTION("""COMPUTED_VALUE"""),8942.14)</f>
        <v>8942.14</v>
      </c>
      <c r="I558" s="5">
        <f>IFERROR(__xludf.DUMMYFUNCTION("""COMPUTED_VALUE"""),6497.05)</f>
        <v>6497.05</v>
      </c>
      <c r="J558" s="5">
        <f>IFERROR(__xludf.DUMMYFUNCTION("""COMPUTED_VALUE"""),3129.47)</f>
        <v>3129.47</v>
      </c>
      <c r="K558" s="5">
        <f>IFERROR(__xludf.DUMMYFUNCTION("""COMPUTED_VALUE"""),3908.85)</f>
        <v>3908.85</v>
      </c>
      <c r="L558" s="4">
        <f>IFERROR(__xludf.DUMMYFUNCTION("""COMPUTED_VALUE"""),13.0)</f>
        <v>13</v>
      </c>
      <c r="M558" s="4">
        <f>IFERROR(__xludf.DUMMYFUNCTION("""COMPUTED_VALUE"""),56.0)</f>
        <v>56</v>
      </c>
      <c r="N558" s="2" t="str">
        <f>IFERROR(__xludf.DUMMYFUNCTION("""COMPUTED_VALUE"""),"FALSO")</f>
        <v>FALSO</v>
      </c>
    </row>
    <row r="559">
      <c r="A559" s="2">
        <f>IFERROR(__xludf.DUMMYFUNCTION("""COMPUTED_VALUE"""),558.0)</f>
        <v>558</v>
      </c>
      <c r="B559" s="2" t="str">
        <f>IFERROR(__xludf.DUMMYFUNCTION("""COMPUTED_VALUE"""),"Tanney Spalton")</f>
        <v>Tanney Spalton</v>
      </c>
      <c r="C559" s="2" t="str">
        <f>IFERROR(__xludf.DUMMYFUNCTION("""COMPUTED_VALUE"""),"tspaltonfi@prlog.org")</f>
        <v>tspaltonfi@prlog.org</v>
      </c>
      <c r="D559" s="4">
        <f>IFERROR(__xludf.DUMMYFUNCTION("""COMPUTED_VALUE"""),98.0)</f>
        <v>98</v>
      </c>
      <c r="E559" s="4">
        <f>IFERROR(__xludf.DUMMYFUNCTION("""COMPUTED_VALUE"""),64.0)</f>
        <v>64</v>
      </c>
      <c r="F559" s="4">
        <f>IFERROR(__xludf.DUMMYFUNCTION("""COMPUTED_VALUE"""),4.0)</f>
        <v>4</v>
      </c>
      <c r="G559" s="4">
        <f>IFERROR(__xludf.DUMMYFUNCTION("""COMPUTED_VALUE"""),1600.0)</f>
        <v>1600</v>
      </c>
      <c r="H559" s="5">
        <f>IFERROR(__xludf.DUMMYFUNCTION("""COMPUTED_VALUE"""),4247.82)</f>
        <v>4247.82</v>
      </c>
      <c r="I559" s="5">
        <f>IFERROR(__xludf.DUMMYFUNCTION("""COMPUTED_VALUE"""),3150.72)</f>
        <v>3150.72</v>
      </c>
      <c r="J559" s="5">
        <f>IFERROR(__xludf.DUMMYFUNCTION("""COMPUTED_VALUE"""),1026.76)</f>
        <v>1026.76</v>
      </c>
      <c r="K559" s="5">
        <f>IFERROR(__xludf.DUMMYFUNCTION("""COMPUTED_VALUE"""),6871.02)</f>
        <v>6871.02</v>
      </c>
      <c r="L559" s="4">
        <f>IFERROR(__xludf.DUMMYFUNCTION("""COMPUTED_VALUE"""),14.0)</f>
        <v>14</v>
      </c>
      <c r="M559" s="4">
        <f>IFERROR(__xludf.DUMMYFUNCTION("""COMPUTED_VALUE"""),51.0)</f>
        <v>51</v>
      </c>
      <c r="N559" s="2" t="str">
        <f>IFERROR(__xludf.DUMMYFUNCTION("""COMPUTED_VALUE"""),"VERDADERO")</f>
        <v>VERDADERO</v>
      </c>
    </row>
    <row r="560">
      <c r="A560" s="2">
        <f>IFERROR(__xludf.DUMMYFUNCTION("""COMPUTED_VALUE"""),559.0)</f>
        <v>559</v>
      </c>
      <c r="B560" s="2" t="str">
        <f>IFERROR(__xludf.DUMMYFUNCTION("""COMPUTED_VALUE"""),"Donny Eggleston")</f>
        <v>Donny Eggleston</v>
      </c>
      <c r="C560" s="2" t="str">
        <f>IFERROR(__xludf.DUMMYFUNCTION("""COMPUTED_VALUE"""),"degglestonfj@ebay.com")</f>
        <v>degglestonfj@ebay.com</v>
      </c>
      <c r="D560" s="4">
        <f>IFERROR(__xludf.DUMMYFUNCTION("""COMPUTED_VALUE"""),111.0)</f>
        <v>111</v>
      </c>
      <c r="E560" s="4">
        <f>IFERROR(__xludf.DUMMYFUNCTION("""COMPUTED_VALUE"""),51.0)</f>
        <v>51</v>
      </c>
      <c r="F560" s="4">
        <f>IFERROR(__xludf.DUMMYFUNCTION("""COMPUTED_VALUE"""),13.0)</f>
        <v>13</v>
      </c>
      <c r="G560" s="4">
        <f>IFERROR(__xludf.DUMMYFUNCTION("""COMPUTED_VALUE"""),428.0)</f>
        <v>428</v>
      </c>
      <c r="H560" s="5">
        <f>IFERROR(__xludf.DUMMYFUNCTION("""COMPUTED_VALUE"""),6175.26)</f>
        <v>6175.26</v>
      </c>
      <c r="I560" s="5">
        <f>IFERROR(__xludf.DUMMYFUNCTION("""COMPUTED_VALUE"""),3482.5)</f>
        <v>3482.5</v>
      </c>
      <c r="J560" s="5">
        <f>IFERROR(__xludf.DUMMYFUNCTION("""COMPUTED_VALUE"""),6183.71)</f>
        <v>6183.71</v>
      </c>
      <c r="K560" s="5">
        <f>IFERROR(__xludf.DUMMYFUNCTION("""COMPUTED_VALUE"""),9495.07)</f>
        <v>9495.07</v>
      </c>
      <c r="L560" s="4">
        <f>IFERROR(__xludf.DUMMYFUNCTION("""COMPUTED_VALUE"""),19.0)</f>
        <v>19</v>
      </c>
      <c r="M560" s="4">
        <f>IFERROR(__xludf.DUMMYFUNCTION("""COMPUTED_VALUE"""),84.0)</f>
        <v>84</v>
      </c>
      <c r="N560" s="2" t="str">
        <f>IFERROR(__xludf.DUMMYFUNCTION("""COMPUTED_VALUE"""),"FALSO")</f>
        <v>FALSO</v>
      </c>
    </row>
    <row r="561">
      <c r="A561" s="2">
        <f>IFERROR(__xludf.DUMMYFUNCTION("""COMPUTED_VALUE"""),560.0)</f>
        <v>560</v>
      </c>
      <c r="B561" s="2" t="str">
        <f>IFERROR(__xludf.DUMMYFUNCTION("""COMPUTED_VALUE"""),"Lita Jacobbe")</f>
        <v>Lita Jacobbe</v>
      </c>
      <c r="C561" s="2" t="str">
        <f>IFERROR(__xludf.DUMMYFUNCTION("""COMPUTED_VALUE"""),"ljacobbefk@tuttocitta.it")</f>
        <v>ljacobbefk@tuttocitta.it</v>
      </c>
      <c r="D561" s="4">
        <f>IFERROR(__xludf.DUMMYFUNCTION("""COMPUTED_VALUE"""),73.0)</f>
        <v>73</v>
      </c>
      <c r="E561" s="4">
        <f>IFERROR(__xludf.DUMMYFUNCTION("""COMPUTED_VALUE"""),3.0)</f>
        <v>3</v>
      </c>
      <c r="F561" s="4">
        <f>IFERROR(__xludf.DUMMYFUNCTION("""COMPUTED_VALUE"""),8.0)</f>
        <v>8</v>
      </c>
      <c r="G561" s="4">
        <f>IFERROR(__xludf.DUMMYFUNCTION("""COMPUTED_VALUE"""),1443.0)</f>
        <v>1443</v>
      </c>
      <c r="H561" s="5">
        <f>IFERROR(__xludf.DUMMYFUNCTION("""COMPUTED_VALUE"""),2237.9)</f>
        <v>2237.9</v>
      </c>
      <c r="I561" s="5">
        <f>IFERROR(__xludf.DUMMYFUNCTION("""COMPUTED_VALUE"""),5221.06)</f>
        <v>5221.06</v>
      </c>
      <c r="J561" s="5">
        <f>IFERROR(__xludf.DUMMYFUNCTION("""COMPUTED_VALUE"""),944.97)</f>
        <v>944.97</v>
      </c>
      <c r="K561" s="5">
        <f>IFERROR(__xludf.DUMMYFUNCTION("""COMPUTED_VALUE"""),278.04)</f>
        <v>278.04</v>
      </c>
      <c r="L561" s="4">
        <f>IFERROR(__xludf.DUMMYFUNCTION("""COMPUTED_VALUE"""),1.0)</f>
        <v>1</v>
      </c>
      <c r="M561" s="4">
        <f>IFERROR(__xludf.DUMMYFUNCTION("""COMPUTED_VALUE"""),64.0)</f>
        <v>64</v>
      </c>
      <c r="N561" s="2" t="str">
        <f>IFERROR(__xludf.DUMMYFUNCTION("""COMPUTED_VALUE"""),"FALSO")</f>
        <v>FALSO</v>
      </c>
    </row>
    <row r="562">
      <c r="A562" s="2">
        <f>IFERROR(__xludf.DUMMYFUNCTION("""COMPUTED_VALUE"""),561.0)</f>
        <v>561</v>
      </c>
      <c r="B562" s="2" t="str">
        <f>IFERROR(__xludf.DUMMYFUNCTION("""COMPUTED_VALUE"""),"Earlie Carnihan")</f>
        <v>Earlie Carnihan</v>
      </c>
      <c r="C562" s="2" t="str">
        <f>IFERROR(__xludf.DUMMYFUNCTION("""COMPUTED_VALUE"""),"ecarnihanfl@arstechnica.com")</f>
        <v>ecarnihanfl@arstechnica.com</v>
      </c>
      <c r="D562" s="4">
        <f>IFERROR(__xludf.DUMMYFUNCTION("""COMPUTED_VALUE"""),49.0)</f>
        <v>49</v>
      </c>
      <c r="E562" s="4">
        <f>IFERROR(__xludf.DUMMYFUNCTION("""COMPUTED_VALUE"""),4.0)</f>
        <v>4</v>
      </c>
      <c r="F562" s="4">
        <f>IFERROR(__xludf.DUMMYFUNCTION("""COMPUTED_VALUE"""),9.0)</f>
        <v>9</v>
      </c>
      <c r="G562" s="4">
        <f>IFERROR(__xludf.DUMMYFUNCTION("""COMPUTED_VALUE"""),1373.0)</f>
        <v>1373</v>
      </c>
      <c r="H562" s="5">
        <f>IFERROR(__xludf.DUMMYFUNCTION("""COMPUTED_VALUE"""),6033.65)</f>
        <v>6033.65</v>
      </c>
      <c r="I562" s="5">
        <f>IFERROR(__xludf.DUMMYFUNCTION("""COMPUTED_VALUE"""),7570.11)</f>
        <v>7570.11</v>
      </c>
      <c r="J562" s="5">
        <f>IFERROR(__xludf.DUMMYFUNCTION("""COMPUTED_VALUE"""),5101.3)</f>
        <v>5101.3</v>
      </c>
      <c r="K562" s="5">
        <f>IFERROR(__xludf.DUMMYFUNCTION("""COMPUTED_VALUE"""),9695.27)</f>
        <v>9695.27</v>
      </c>
      <c r="L562" s="4">
        <f>IFERROR(__xludf.DUMMYFUNCTION("""COMPUTED_VALUE"""),20.0)</f>
        <v>20</v>
      </c>
      <c r="M562" s="4">
        <f>IFERROR(__xludf.DUMMYFUNCTION("""COMPUTED_VALUE"""),69.0)</f>
        <v>69</v>
      </c>
      <c r="N562" s="2" t="str">
        <f>IFERROR(__xludf.DUMMYFUNCTION("""COMPUTED_VALUE"""),"FALSO")</f>
        <v>FALSO</v>
      </c>
    </row>
    <row r="563">
      <c r="A563" s="2">
        <f>IFERROR(__xludf.DUMMYFUNCTION("""COMPUTED_VALUE"""),562.0)</f>
        <v>562</v>
      </c>
      <c r="B563" s="2" t="str">
        <f>IFERROR(__xludf.DUMMYFUNCTION("""COMPUTED_VALUE"""),"Tait Gozard")</f>
        <v>Tait Gozard</v>
      </c>
      <c r="C563" s="2" t="str">
        <f>IFERROR(__xludf.DUMMYFUNCTION("""COMPUTED_VALUE"""),"tgozardfm@digg.com")</f>
        <v>tgozardfm@digg.com</v>
      </c>
      <c r="D563" s="4">
        <f>IFERROR(__xludf.DUMMYFUNCTION("""COMPUTED_VALUE"""),128.0)</f>
        <v>128</v>
      </c>
      <c r="E563" s="4">
        <f>IFERROR(__xludf.DUMMYFUNCTION("""COMPUTED_VALUE"""),17.0)</f>
        <v>17</v>
      </c>
      <c r="F563" s="4">
        <f>IFERROR(__xludf.DUMMYFUNCTION("""COMPUTED_VALUE"""),5.0)</f>
        <v>5</v>
      </c>
      <c r="G563" s="4">
        <f>IFERROR(__xludf.DUMMYFUNCTION("""COMPUTED_VALUE"""),1298.0)</f>
        <v>1298</v>
      </c>
      <c r="H563" s="5">
        <f>IFERROR(__xludf.DUMMYFUNCTION("""COMPUTED_VALUE"""),4378.05)</f>
        <v>4378.05</v>
      </c>
      <c r="I563" s="5">
        <f>IFERROR(__xludf.DUMMYFUNCTION("""COMPUTED_VALUE"""),4022.73)</f>
        <v>4022.73</v>
      </c>
      <c r="J563" s="5">
        <f>IFERROR(__xludf.DUMMYFUNCTION("""COMPUTED_VALUE"""),2671.98)</f>
        <v>2671.98</v>
      </c>
      <c r="K563" s="5">
        <f>IFERROR(__xludf.DUMMYFUNCTION("""COMPUTED_VALUE"""),2637.16)</f>
        <v>2637.16</v>
      </c>
      <c r="L563" s="4">
        <f>IFERROR(__xludf.DUMMYFUNCTION("""COMPUTED_VALUE"""),4.0)</f>
        <v>4</v>
      </c>
      <c r="M563" s="4">
        <f>IFERROR(__xludf.DUMMYFUNCTION("""COMPUTED_VALUE"""),64.0)</f>
        <v>64</v>
      </c>
      <c r="N563" s="2" t="str">
        <f>IFERROR(__xludf.DUMMYFUNCTION("""COMPUTED_VALUE"""),"VERDADERO")</f>
        <v>VERDADERO</v>
      </c>
    </row>
    <row r="564">
      <c r="A564" s="2">
        <f>IFERROR(__xludf.DUMMYFUNCTION("""COMPUTED_VALUE"""),563.0)</f>
        <v>563</v>
      </c>
      <c r="B564" s="2" t="str">
        <f>IFERROR(__xludf.DUMMYFUNCTION("""COMPUTED_VALUE"""),"Natty Carverhill")</f>
        <v>Natty Carverhill</v>
      </c>
      <c r="C564" s="2" t="str">
        <f>IFERROR(__xludf.DUMMYFUNCTION("""COMPUTED_VALUE"""),"ncarverhillfn@wsj.com")</f>
        <v>ncarverhillfn@wsj.com</v>
      </c>
      <c r="D564" s="4">
        <f>IFERROR(__xludf.DUMMYFUNCTION("""COMPUTED_VALUE"""),65.0)</f>
        <v>65</v>
      </c>
      <c r="E564" s="4">
        <f>IFERROR(__xludf.DUMMYFUNCTION("""COMPUTED_VALUE"""),106.0)</f>
        <v>106</v>
      </c>
      <c r="F564" s="4">
        <f>IFERROR(__xludf.DUMMYFUNCTION("""COMPUTED_VALUE"""),4.0)</f>
        <v>4</v>
      </c>
      <c r="G564" s="4">
        <f>IFERROR(__xludf.DUMMYFUNCTION("""COMPUTED_VALUE"""),1476.0)</f>
        <v>1476</v>
      </c>
      <c r="H564" s="5">
        <f>IFERROR(__xludf.DUMMYFUNCTION("""COMPUTED_VALUE"""),1546.32)</f>
        <v>1546.32</v>
      </c>
      <c r="I564" s="5">
        <f>IFERROR(__xludf.DUMMYFUNCTION("""COMPUTED_VALUE"""),5290.06)</f>
        <v>5290.06</v>
      </c>
      <c r="J564" s="5">
        <f>IFERROR(__xludf.DUMMYFUNCTION("""COMPUTED_VALUE"""),7081.88)</f>
        <v>7081.88</v>
      </c>
      <c r="K564" s="5">
        <f>IFERROR(__xludf.DUMMYFUNCTION("""COMPUTED_VALUE"""),9612.1)</f>
        <v>9612.1</v>
      </c>
      <c r="L564" s="4">
        <f>IFERROR(__xludf.DUMMYFUNCTION("""COMPUTED_VALUE"""),17.0)</f>
        <v>17</v>
      </c>
      <c r="M564" s="4">
        <f>IFERROR(__xludf.DUMMYFUNCTION("""COMPUTED_VALUE"""),88.0)</f>
        <v>88</v>
      </c>
      <c r="N564" s="2" t="str">
        <f>IFERROR(__xludf.DUMMYFUNCTION("""COMPUTED_VALUE"""),"VERDADERO")</f>
        <v>VERDADERO</v>
      </c>
    </row>
    <row r="565">
      <c r="A565" s="2">
        <f>IFERROR(__xludf.DUMMYFUNCTION("""COMPUTED_VALUE"""),564.0)</f>
        <v>564</v>
      </c>
      <c r="B565" s="2" t="str">
        <f>IFERROR(__xludf.DUMMYFUNCTION("""COMPUTED_VALUE"""),"Cathryn Balma")</f>
        <v>Cathryn Balma</v>
      </c>
      <c r="C565" s="2" t="str">
        <f>IFERROR(__xludf.DUMMYFUNCTION("""COMPUTED_VALUE"""),"cbalmafo@yandex.ru")</f>
        <v>cbalmafo@yandex.ru</v>
      </c>
      <c r="D565" s="4">
        <f>IFERROR(__xludf.DUMMYFUNCTION("""COMPUTED_VALUE"""),94.0)</f>
        <v>94</v>
      </c>
      <c r="E565" s="4">
        <f>IFERROR(__xludf.DUMMYFUNCTION("""COMPUTED_VALUE"""),88.0)</f>
        <v>88</v>
      </c>
      <c r="F565" s="4">
        <f>IFERROR(__xludf.DUMMYFUNCTION("""COMPUTED_VALUE"""),3.0)</f>
        <v>3</v>
      </c>
      <c r="G565" s="4">
        <f>IFERROR(__xludf.DUMMYFUNCTION("""COMPUTED_VALUE"""),251.0)</f>
        <v>251</v>
      </c>
      <c r="H565" s="5">
        <f>IFERROR(__xludf.DUMMYFUNCTION("""COMPUTED_VALUE"""),7665.48)</f>
        <v>7665.48</v>
      </c>
      <c r="I565" s="5">
        <f>IFERROR(__xludf.DUMMYFUNCTION("""COMPUTED_VALUE"""),9056.15)</f>
        <v>9056.15</v>
      </c>
      <c r="J565" s="5">
        <f>IFERROR(__xludf.DUMMYFUNCTION("""COMPUTED_VALUE"""),5123.74)</f>
        <v>5123.74</v>
      </c>
      <c r="K565" s="5">
        <f>IFERROR(__xludf.DUMMYFUNCTION("""COMPUTED_VALUE"""),9456.99)</f>
        <v>9456.99</v>
      </c>
      <c r="L565" s="4">
        <f>IFERROR(__xludf.DUMMYFUNCTION("""COMPUTED_VALUE"""),16.0)</f>
        <v>16</v>
      </c>
      <c r="M565" s="4">
        <f>IFERROR(__xludf.DUMMYFUNCTION("""COMPUTED_VALUE"""),5.0)</f>
        <v>5</v>
      </c>
      <c r="N565" s="2" t="str">
        <f>IFERROR(__xludf.DUMMYFUNCTION("""COMPUTED_VALUE"""),"FALSO")</f>
        <v>FALSO</v>
      </c>
    </row>
    <row r="566">
      <c r="A566" s="2">
        <f>IFERROR(__xludf.DUMMYFUNCTION("""COMPUTED_VALUE"""),565.0)</f>
        <v>565</v>
      </c>
      <c r="B566" s="2" t="str">
        <f>IFERROR(__xludf.DUMMYFUNCTION("""COMPUTED_VALUE"""),"Guinna Rolfini")</f>
        <v>Guinna Rolfini</v>
      </c>
      <c r="C566" s="2" t="str">
        <f>IFERROR(__xludf.DUMMYFUNCTION("""COMPUTED_VALUE"""),"grolfinifp@gov.uk")</f>
        <v>grolfinifp@gov.uk</v>
      </c>
      <c r="D566" s="4">
        <f>IFERROR(__xludf.DUMMYFUNCTION("""COMPUTED_VALUE"""),137.0)</f>
        <v>137</v>
      </c>
      <c r="E566" s="4">
        <f>IFERROR(__xludf.DUMMYFUNCTION("""COMPUTED_VALUE"""),81.0)</f>
        <v>81</v>
      </c>
      <c r="F566" s="4">
        <f>IFERROR(__xludf.DUMMYFUNCTION("""COMPUTED_VALUE"""),2.0)</f>
        <v>2</v>
      </c>
      <c r="G566" s="4">
        <f>IFERROR(__xludf.DUMMYFUNCTION("""COMPUTED_VALUE"""),165.0)</f>
        <v>165</v>
      </c>
      <c r="H566" s="5">
        <f>IFERROR(__xludf.DUMMYFUNCTION("""COMPUTED_VALUE"""),2498.98)</f>
        <v>2498.98</v>
      </c>
      <c r="I566" s="5">
        <f>IFERROR(__xludf.DUMMYFUNCTION("""COMPUTED_VALUE"""),7419.22)</f>
        <v>7419.22</v>
      </c>
      <c r="J566" s="5">
        <f>IFERROR(__xludf.DUMMYFUNCTION("""COMPUTED_VALUE"""),8941.85)</f>
        <v>8941.85</v>
      </c>
      <c r="K566" s="5">
        <f>IFERROR(__xludf.DUMMYFUNCTION("""COMPUTED_VALUE"""),776.12)</f>
        <v>776.12</v>
      </c>
      <c r="L566" s="4">
        <f>IFERROR(__xludf.DUMMYFUNCTION("""COMPUTED_VALUE"""),11.0)</f>
        <v>11</v>
      </c>
      <c r="M566" s="4">
        <f>IFERROR(__xludf.DUMMYFUNCTION("""COMPUTED_VALUE"""),96.0)</f>
        <v>96</v>
      </c>
      <c r="N566" s="2" t="str">
        <f>IFERROR(__xludf.DUMMYFUNCTION("""COMPUTED_VALUE"""),"VERDADERO")</f>
        <v>VERDADERO</v>
      </c>
    </row>
    <row r="567">
      <c r="A567" s="2">
        <f>IFERROR(__xludf.DUMMYFUNCTION("""COMPUTED_VALUE"""),566.0)</f>
        <v>566</v>
      </c>
      <c r="B567" s="2" t="str">
        <f>IFERROR(__xludf.DUMMYFUNCTION("""COMPUTED_VALUE"""),"Elsa Cartin")</f>
        <v>Elsa Cartin</v>
      </c>
      <c r="C567" s="2" t="str">
        <f>IFERROR(__xludf.DUMMYFUNCTION("""COMPUTED_VALUE"""),"ecartinfq@ameblo.jp")</f>
        <v>ecartinfq@ameblo.jp</v>
      </c>
      <c r="D567" s="4">
        <f>IFERROR(__xludf.DUMMYFUNCTION("""COMPUTED_VALUE"""),29.0)</f>
        <v>29</v>
      </c>
      <c r="E567" s="4">
        <f>IFERROR(__xludf.DUMMYFUNCTION("""COMPUTED_VALUE"""),62.0)</f>
        <v>62</v>
      </c>
      <c r="F567" s="4">
        <f>IFERROR(__xludf.DUMMYFUNCTION("""COMPUTED_VALUE"""),4.0)</f>
        <v>4</v>
      </c>
      <c r="G567" s="4">
        <f>IFERROR(__xludf.DUMMYFUNCTION("""COMPUTED_VALUE"""),848.0)</f>
        <v>848</v>
      </c>
      <c r="H567" s="5">
        <f>IFERROR(__xludf.DUMMYFUNCTION("""COMPUTED_VALUE"""),908.79)</f>
        <v>908.79</v>
      </c>
      <c r="I567" s="5">
        <f>IFERROR(__xludf.DUMMYFUNCTION("""COMPUTED_VALUE"""),3880.32)</f>
        <v>3880.32</v>
      </c>
      <c r="J567" s="5">
        <f>IFERROR(__xludf.DUMMYFUNCTION("""COMPUTED_VALUE"""),9421.34)</f>
        <v>9421.34</v>
      </c>
      <c r="K567" s="5">
        <f>IFERROR(__xludf.DUMMYFUNCTION("""COMPUTED_VALUE"""),3609.35)</f>
        <v>3609.35</v>
      </c>
      <c r="L567" s="4">
        <f>IFERROR(__xludf.DUMMYFUNCTION("""COMPUTED_VALUE"""),4.0)</f>
        <v>4</v>
      </c>
      <c r="M567" s="4">
        <f>IFERROR(__xludf.DUMMYFUNCTION("""COMPUTED_VALUE"""),71.0)</f>
        <v>71</v>
      </c>
      <c r="N567" s="2" t="str">
        <f>IFERROR(__xludf.DUMMYFUNCTION("""COMPUTED_VALUE"""),"VERDADERO")</f>
        <v>VERDADERO</v>
      </c>
    </row>
    <row r="568">
      <c r="A568" s="2">
        <f>IFERROR(__xludf.DUMMYFUNCTION("""COMPUTED_VALUE"""),567.0)</f>
        <v>567</v>
      </c>
      <c r="B568" s="2" t="str">
        <f>IFERROR(__xludf.DUMMYFUNCTION("""COMPUTED_VALUE"""),"Andriana MacLeese")</f>
        <v>Andriana MacLeese</v>
      </c>
      <c r="C568" s="2" t="str">
        <f>IFERROR(__xludf.DUMMYFUNCTION("""COMPUTED_VALUE"""),"amacleesefr@mit.edu")</f>
        <v>amacleesefr@mit.edu</v>
      </c>
      <c r="D568" s="4">
        <f>IFERROR(__xludf.DUMMYFUNCTION("""COMPUTED_VALUE"""),30.0)</f>
        <v>30</v>
      </c>
      <c r="E568" s="4">
        <f>IFERROR(__xludf.DUMMYFUNCTION("""COMPUTED_VALUE"""),18.0)</f>
        <v>18</v>
      </c>
      <c r="F568" s="4">
        <f>IFERROR(__xludf.DUMMYFUNCTION("""COMPUTED_VALUE"""),8.0)</f>
        <v>8</v>
      </c>
      <c r="G568" s="4">
        <f>IFERROR(__xludf.DUMMYFUNCTION("""COMPUTED_VALUE"""),315.0)</f>
        <v>315</v>
      </c>
      <c r="H568" s="5">
        <f>IFERROR(__xludf.DUMMYFUNCTION("""COMPUTED_VALUE"""),1775.71)</f>
        <v>1775.71</v>
      </c>
      <c r="I568" s="5">
        <f>IFERROR(__xludf.DUMMYFUNCTION("""COMPUTED_VALUE"""),6169.5)</f>
        <v>6169.5</v>
      </c>
      <c r="J568" s="5">
        <f>IFERROR(__xludf.DUMMYFUNCTION("""COMPUTED_VALUE"""),1491.47)</f>
        <v>1491.47</v>
      </c>
      <c r="K568" s="5">
        <f>IFERROR(__xludf.DUMMYFUNCTION("""COMPUTED_VALUE"""),6466.48)</f>
        <v>6466.48</v>
      </c>
      <c r="L568" s="4">
        <f>IFERROR(__xludf.DUMMYFUNCTION("""COMPUTED_VALUE"""),1.0)</f>
        <v>1</v>
      </c>
      <c r="M568" s="4">
        <f>IFERROR(__xludf.DUMMYFUNCTION("""COMPUTED_VALUE"""),80.0)</f>
        <v>80</v>
      </c>
      <c r="N568" s="2" t="str">
        <f>IFERROR(__xludf.DUMMYFUNCTION("""COMPUTED_VALUE"""),"FALSO")</f>
        <v>FALSO</v>
      </c>
    </row>
    <row r="569">
      <c r="A569" s="2">
        <f>IFERROR(__xludf.DUMMYFUNCTION("""COMPUTED_VALUE"""),568.0)</f>
        <v>568</v>
      </c>
      <c r="B569" s="2" t="str">
        <f>IFERROR(__xludf.DUMMYFUNCTION("""COMPUTED_VALUE"""),"Erastus Nevill")</f>
        <v>Erastus Nevill</v>
      </c>
      <c r="C569" s="2" t="str">
        <f>IFERROR(__xludf.DUMMYFUNCTION("""COMPUTED_VALUE"""),"enevillfs@jigsy.com")</f>
        <v>enevillfs@jigsy.com</v>
      </c>
      <c r="D569" s="4">
        <f>IFERROR(__xludf.DUMMYFUNCTION("""COMPUTED_VALUE"""),29.0)</f>
        <v>29</v>
      </c>
      <c r="E569" s="4">
        <f>IFERROR(__xludf.DUMMYFUNCTION("""COMPUTED_VALUE"""),106.0)</f>
        <v>106</v>
      </c>
      <c r="F569" s="4">
        <f>IFERROR(__xludf.DUMMYFUNCTION("""COMPUTED_VALUE"""),4.0)</f>
        <v>4</v>
      </c>
      <c r="G569" s="4">
        <f>IFERROR(__xludf.DUMMYFUNCTION("""COMPUTED_VALUE"""),1364.0)</f>
        <v>1364</v>
      </c>
      <c r="H569" s="5">
        <f>IFERROR(__xludf.DUMMYFUNCTION("""COMPUTED_VALUE"""),6041.95)</f>
        <v>6041.95</v>
      </c>
      <c r="I569" s="5">
        <f>IFERROR(__xludf.DUMMYFUNCTION("""COMPUTED_VALUE"""),4511.88)</f>
        <v>4511.88</v>
      </c>
      <c r="J569" s="5">
        <f>IFERROR(__xludf.DUMMYFUNCTION("""COMPUTED_VALUE"""),7790.06)</f>
        <v>7790.06</v>
      </c>
      <c r="K569" s="5">
        <f>IFERROR(__xludf.DUMMYFUNCTION("""COMPUTED_VALUE"""),9677.25)</f>
        <v>9677.25</v>
      </c>
      <c r="L569" s="4">
        <f>IFERROR(__xludf.DUMMYFUNCTION("""COMPUTED_VALUE"""),11.0)</f>
        <v>11</v>
      </c>
      <c r="M569" s="4">
        <f>IFERROR(__xludf.DUMMYFUNCTION("""COMPUTED_VALUE"""),84.0)</f>
        <v>84</v>
      </c>
      <c r="N569" s="2" t="str">
        <f>IFERROR(__xludf.DUMMYFUNCTION("""COMPUTED_VALUE"""),"FALSO")</f>
        <v>FALSO</v>
      </c>
    </row>
    <row r="570">
      <c r="A570" s="2">
        <f>IFERROR(__xludf.DUMMYFUNCTION("""COMPUTED_VALUE"""),569.0)</f>
        <v>569</v>
      </c>
      <c r="B570" s="2" t="str">
        <f>IFERROR(__xludf.DUMMYFUNCTION("""COMPUTED_VALUE"""),"Eunice Hurlston")</f>
        <v>Eunice Hurlston</v>
      </c>
      <c r="C570" s="2" t="str">
        <f>IFERROR(__xludf.DUMMYFUNCTION("""COMPUTED_VALUE"""),"ehurlstonft@twitter.com")</f>
        <v>ehurlstonft@twitter.com</v>
      </c>
      <c r="D570" s="4">
        <f>IFERROR(__xludf.DUMMYFUNCTION("""COMPUTED_VALUE"""),149.0)</f>
        <v>149</v>
      </c>
      <c r="E570" s="4">
        <f>IFERROR(__xludf.DUMMYFUNCTION("""COMPUTED_VALUE"""),61.0)</f>
        <v>61</v>
      </c>
      <c r="F570" s="4">
        <f>IFERROR(__xludf.DUMMYFUNCTION("""COMPUTED_VALUE"""),4.0)</f>
        <v>4</v>
      </c>
      <c r="G570" s="4">
        <f>IFERROR(__xludf.DUMMYFUNCTION("""COMPUTED_VALUE"""),1326.0)</f>
        <v>1326</v>
      </c>
      <c r="H570" s="5">
        <f>IFERROR(__xludf.DUMMYFUNCTION("""COMPUTED_VALUE"""),9986.53)</f>
        <v>9986.53</v>
      </c>
      <c r="I570" s="5">
        <f>IFERROR(__xludf.DUMMYFUNCTION("""COMPUTED_VALUE"""),1892.87)</f>
        <v>1892.87</v>
      </c>
      <c r="J570" s="5">
        <f>IFERROR(__xludf.DUMMYFUNCTION("""COMPUTED_VALUE"""),187.51)</f>
        <v>187.51</v>
      </c>
      <c r="K570" s="5">
        <f>IFERROR(__xludf.DUMMYFUNCTION("""COMPUTED_VALUE"""),2322.54)</f>
        <v>2322.54</v>
      </c>
      <c r="L570" s="4">
        <f>IFERROR(__xludf.DUMMYFUNCTION("""COMPUTED_VALUE"""),4.0)</f>
        <v>4</v>
      </c>
      <c r="M570" s="4">
        <f>IFERROR(__xludf.DUMMYFUNCTION("""COMPUTED_VALUE"""),53.0)</f>
        <v>53</v>
      </c>
      <c r="N570" s="2" t="str">
        <f>IFERROR(__xludf.DUMMYFUNCTION("""COMPUTED_VALUE"""),"VERDADERO")</f>
        <v>VERDADERO</v>
      </c>
    </row>
    <row r="571">
      <c r="A571" s="2">
        <f>IFERROR(__xludf.DUMMYFUNCTION("""COMPUTED_VALUE"""),570.0)</f>
        <v>570</v>
      </c>
      <c r="B571" s="2" t="str">
        <f>IFERROR(__xludf.DUMMYFUNCTION("""COMPUTED_VALUE"""),"Normy Clines")</f>
        <v>Normy Clines</v>
      </c>
      <c r="C571" s="2" t="str">
        <f>IFERROR(__xludf.DUMMYFUNCTION("""COMPUTED_VALUE"""),"nclinesfu@comcast.net")</f>
        <v>nclinesfu@comcast.net</v>
      </c>
      <c r="D571" s="4">
        <f>IFERROR(__xludf.DUMMYFUNCTION("""COMPUTED_VALUE"""),52.0)</f>
        <v>52</v>
      </c>
      <c r="E571" s="4">
        <f>IFERROR(__xludf.DUMMYFUNCTION("""COMPUTED_VALUE"""),81.0)</f>
        <v>81</v>
      </c>
      <c r="F571" s="4">
        <f>IFERROR(__xludf.DUMMYFUNCTION("""COMPUTED_VALUE"""),2.0)</f>
        <v>2</v>
      </c>
      <c r="G571" s="4">
        <f>IFERROR(__xludf.DUMMYFUNCTION("""COMPUTED_VALUE"""),926.0)</f>
        <v>926</v>
      </c>
      <c r="H571" s="5">
        <f>IFERROR(__xludf.DUMMYFUNCTION("""COMPUTED_VALUE"""),8093.18)</f>
        <v>8093.18</v>
      </c>
      <c r="I571" s="5">
        <f>IFERROR(__xludf.DUMMYFUNCTION("""COMPUTED_VALUE"""),3812.69)</f>
        <v>3812.69</v>
      </c>
      <c r="J571" s="5">
        <f>IFERROR(__xludf.DUMMYFUNCTION("""COMPUTED_VALUE"""),9686.52)</f>
        <v>9686.52</v>
      </c>
      <c r="K571" s="5">
        <f>IFERROR(__xludf.DUMMYFUNCTION("""COMPUTED_VALUE"""),9487.51)</f>
        <v>9487.51</v>
      </c>
      <c r="L571" s="4">
        <f>IFERROR(__xludf.DUMMYFUNCTION("""COMPUTED_VALUE"""),15.0)</f>
        <v>15</v>
      </c>
      <c r="M571" s="4">
        <f>IFERROR(__xludf.DUMMYFUNCTION("""COMPUTED_VALUE"""),62.0)</f>
        <v>62</v>
      </c>
      <c r="N571" s="2" t="str">
        <f>IFERROR(__xludf.DUMMYFUNCTION("""COMPUTED_VALUE"""),"FALSO")</f>
        <v>FALSO</v>
      </c>
    </row>
    <row r="572">
      <c r="A572" s="2">
        <f>IFERROR(__xludf.DUMMYFUNCTION("""COMPUTED_VALUE"""),571.0)</f>
        <v>571</v>
      </c>
      <c r="B572" s="2" t="str">
        <f>IFERROR(__xludf.DUMMYFUNCTION("""COMPUTED_VALUE"""),"Marlane Izakof")</f>
        <v>Marlane Izakof</v>
      </c>
      <c r="C572" s="2" t="str">
        <f>IFERROR(__xludf.DUMMYFUNCTION("""COMPUTED_VALUE"""),"mizakoffv@sohu.com")</f>
        <v>mizakoffv@sohu.com</v>
      </c>
      <c r="D572" s="4">
        <f>IFERROR(__xludf.DUMMYFUNCTION("""COMPUTED_VALUE"""),53.0)</f>
        <v>53</v>
      </c>
      <c r="E572" s="4">
        <f>IFERROR(__xludf.DUMMYFUNCTION("""COMPUTED_VALUE"""),38.0)</f>
        <v>38</v>
      </c>
      <c r="F572" s="4">
        <f>IFERROR(__xludf.DUMMYFUNCTION("""COMPUTED_VALUE"""),4.0)</f>
        <v>4</v>
      </c>
      <c r="G572" s="4">
        <f>IFERROR(__xludf.DUMMYFUNCTION("""COMPUTED_VALUE"""),1112.0)</f>
        <v>1112</v>
      </c>
      <c r="H572" s="5">
        <f>IFERROR(__xludf.DUMMYFUNCTION("""COMPUTED_VALUE"""),5365.4)</f>
        <v>5365.4</v>
      </c>
      <c r="I572" s="5">
        <f>IFERROR(__xludf.DUMMYFUNCTION("""COMPUTED_VALUE"""),9839.94)</f>
        <v>9839.94</v>
      </c>
      <c r="J572" s="5">
        <f>IFERROR(__xludf.DUMMYFUNCTION("""COMPUTED_VALUE"""),9336.5)</f>
        <v>9336.5</v>
      </c>
      <c r="K572" s="5">
        <f>IFERROR(__xludf.DUMMYFUNCTION("""COMPUTED_VALUE"""),7894.4)</f>
        <v>7894.4</v>
      </c>
      <c r="L572" s="4">
        <f>IFERROR(__xludf.DUMMYFUNCTION("""COMPUTED_VALUE"""),8.0)</f>
        <v>8</v>
      </c>
      <c r="M572" s="4">
        <f>IFERROR(__xludf.DUMMYFUNCTION("""COMPUTED_VALUE"""),96.0)</f>
        <v>96</v>
      </c>
      <c r="N572" s="2" t="str">
        <f>IFERROR(__xludf.DUMMYFUNCTION("""COMPUTED_VALUE"""),"FALSO")</f>
        <v>FALSO</v>
      </c>
    </row>
    <row r="573">
      <c r="A573" s="2">
        <f>IFERROR(__xludf.DUMMYFUNCTION("""COMPUTED_VALUE"""),572.0)</f>
        <v>572</v>
      </c>
      <c r="B573" s="2" t="str">
        <f>IFERROR(__xludf.DUMMYFUNCTION("""COMPUTED_VALUE"""),"Lian Cofax")</f>
        <v>Lian Cofax</v>
      </c>
      <c r="C573" s="2" t="str">
        <f>IFERROR(__xludf.DUMMYFUNCTION("""COMPUTED_VALUE"""),"lcofaxfw@chron.com")</f>
        <v>lcofaxfw@chron.com</v>
      </c>
      <c r="D573" s="4">
        <f>IFERROR(__xludf.DUMMYFUNCTION("""COMPUTED_VALUE"""),65.0)</f>
        <v>65</v>
      </c>
      <c r="E573" s="4">
        <f>IFERROR(__xludf.DUMMYFUNCTION("""COMPUTED_VALUE"""),63.0)</f>
        <v>63</v>
      </c>
      <c r="F573" s="4">
        <f>IFERROR(__xludf.DUMMYFUNCTION("""COMPUTED_VALUE"""),4.0)</f>
        <v>4</v>
      </c>
      <c r="G573" s="4">
        <f>IFERROR(__xludf.DUMMYFUNCTION("""COMPUTED_VALUE"""),138.0)</f>
        <v>138</v>
      </c>
      <c r="H573" s="5">
        <f>IFERROR(__xludf.DUMMYFUNCTION("""COMPUTED_VALUE"""),7591.65)</f>
        <v>7591.65</v>
      </c>
      <c r="I573" s="5">
        <f>IFERROR(__xludf.DUMMYFUNCTION("""COMPUTED_VALUE"""),1050.87)</f>
        <v>1050.87</v>
      </c>
      <c r="J573" s="5">
        <f>IFERROR(__xludf.DUMMYFUNCTION("""COMPUTED_VALUE"""),2636.53)</f>
        <v>2636.53</v>
      </c>
      <c r="K573" s="5">
        <f>IFERROR(__xludf.DUMMYFUNCTION("""COMPUTED_VALUE"""),7776.12)</f>
        <v>7776.12</v>
      </c>
      <c r="L573" s="4">
        <f>IFERROR(__xludf.DUMMYFUNCTION("""COMPUTED_VALUE"""),19.0)</f>
        <v>19</v>
      </c>
      <c r="M573" s="4">
        <f>IFERROR(__xludf.DUMMYFUNCTION("""COMPUTED_VALUE"""),4.0)</f>
        <v>4</v>
      </c>
      <c r="N573" s="2" t="str">
        <f>IFERROR(__xludf.DUMMYFUNCTION("""COMPUTED_VALUE"""),"VERDADERO")</f>
        <v>VERDADERO</v>
      </c>
    </row>
    <row r="574">
      <c r="A574" s="2">
        <f>IFERROR(__xludf.DUMMYFUNCTION("""COMPUTED_VALUE"""),573.0)</f>
        <v>573</v>
      </c>
      <c r="B574" s="2" t="str">
        <f>IFERROR(__xludf.DUMMYFUNCTION("""COMPUTED_VALUE"""),"Beatrice Medler")</f>
        <v>Beatrice Medler</v>
      </c>
      <c r="C574" s="2" t="str">
        <f>IFERROR(__xludf.DUMMYFUNCTION("""COMPUTED_VALUE"""),"bmedlerfx@tripadvisor.com")</f>
        <v>bmedlerfx@tripadvisor.com</v>
      </c>
      <c r="D574" s="4">
        <f>IFERROR(__xludf.DUMMYFUNCTION("""COMPUTED_VALUE"""),119.0)</f>
        <v>119</v>
      </c>
      <c r="E574" s="4">
        <f>IFERROR(__xludf.DUMMYFUNCTION("""COMPUTED_VALUE"""),83.0)</f>
        <v>83</v>
      </c>
      <c r="F574" s="4">
        <f>IFERROR(__xludf.DUMMYFUNCTION("""COMPUTED_VALUE"""),5.0)</f>
        <v>5</v>
      </c>
      <c r="G574" s="4">
        <f>IFERROR(__xludf.DUMMYFUNCTION("""COMPUTED_VALUE"""),1445.0)</f>
        <v>1445</v>
      </c>
      <c r="H574" s="5">
        <f>IFERROR(__xludf.DUMMYFUNCTION("""COMPUTED_VALUE"""),8160.51)</f>
        <v>8160.51</v>
      </c>
      <c r="I574" s="5">
        <f>IFERROR(__xludf.DUMMYFUNCTION("""COMPUTED_VALUE"""),1257.86)</f>
        <v>1257.86</v>
      </c>
      <c r="J574" s="5">
        <f>IFERROR(__xludf.DUMMYFUNCTION("""COMPUTED_VALUE"""),216.1)</f>
        <v>216.1</v>
      </c>
      <c r="K574" s="5">
        <f>IFERROR(__xludf.DUMMYFUNCTION("""COMPUTED_VALUE"""),3680.47)</f>
        <v>3680.47</v>
      </c>
      <c r="L574" s="4">
        <f>IFERROR(__xludf.DUMMYFUNCTION("""COMPUTED_VALUE"""),14.0)</f>
        <v>14</v>
      </c>
      <c r="M574" s="4">
        <f>IFERROR(__xludf.DUMMYFUNCTION("""COMPUTED_VALUE"""),47.0)</f>
        <v>47</v>
      </c>
      <c r="N574" s="2" t="str">
        <f>IFERROR(__xludf.DUMMYFUNCTION("""COMPUTED_VALUE"""),"VERDADERO")</f>
        <v>VERDADERO</v>
      </c>
    </row>
    <row r="575">
      <c r="A575" s="2">
        <f>IFERROR(__xludf.DUMMYFUNCTION("""COMPUTED_VALUE"""),574.0)</f>
        <v>574</v>
      </c>
      <c r="B575" s="2" t="str">
        <f>IFERROR(__xludf.DUMMYFUNCTION("""COMPUTED_VALUE"""),"Sibby Heeps")</f>
        <v>Sibby Heeps</v>
      </c>
      <c r="C575" s="2" t="str">
        <f>IFERROR(__xludf.DUMMYFUNCTION("""COMPUTED_VALUE"""),"sheepsfy@barnesandnoble.com")</f>
        <v>sheepsfy@barnesandnoble.com</v>
      </c>
      <c r="D575" s="4">
        <f>IFERROR(__xludf.DUMMYFUNCTION("""COMPUTED_VALUE"""),94.0)</f>
        <v>94</v>
      </c>
      <c r="E575" s="4">
        <f>IFERROR(__xludf.DUMMYFUNCTION("""COMPUTED_VALUE"""),39.0)</f>
        <v>39</v>
      </c>
      <c r="F575" s="4">
        <f>IFERROR(__xludf.DUMMYFUNCTION("""COMPUTED_VALUE"""),11.0)</f>
        <v>11</v>
      </c>
      <c r="G575" s="4">
        <f>IFERROR(__xludf.DUMMYFUNCTION("""COMPUTED_VALUE"""),380.0)</f>
        <v>380</v>
      </c>
      <c r="H575" s="5">
        <f>IFERROR(__xludf.DUMMYFUNCTION("""COMPUTED_VALUE"""),3856.06)</f>
        <v>3856.06</v>
      </c>
      <c r="I575" s="5">
        <f>IFERROR(__xludf.DUMMYFUNCTION("""COMPUTED_VALUE"""),5989.68)</f>
        <v>5989.68</v>
      </c>
      <c r="J575" s="5">
        <f>IFERROR(__xludf.DUMMYFUNCTION("""COMPUTED_VALUE"""),2019.9)</f>
        <v>2019.9</v>
      </c>
      <c r="K575" s="5">
        <f>IFERROR(__xludf.DUMMYFUNCTION("""COMPUTED_VALUE"""),1636.83)</f>
        <v>1636.83</v>
      </c>
      <c r="L575" s="4">
        <f>IFERROR(__xludf.DUMMYFUNCTION("""COMPUTED_VALUE"""),6.0)</f>
        <v>6</v>
      </c>
      <c r="M575" s="4">
        <f>IFERROR(__xludf.DUMMYFUNCTION("""COMPUTED_VALUE"""),4.0)</f>
        <v>4</v>
      </c>
      <c r="N575" s="2" t="str">
        <f>IFERROR(__xludf.DUMMYFUNCTION("""COMPUTED_VALUE"""),"FALSO")</f>
        <v>FALSO</v>
      </c>
    </row>
    <row r="576">
      <c r="A576" s="2">
        <f>IFERROR(__xludf.DUMMYFUNCTION("""COMPUTED_VALUE"""),575.0)</f>
        <v>575</v>
      </c>
      <c r="B576" s="2" t="str">
        <f>IFERROR(__xludf.DUMMYFUNCTION("""COMPUTED_VALUE"""),"Goddart Provost")</f>
        <v>Goddart Provost</v>
      </c>
      <c r="C576" s="2" t="str">
        <f>IFERROR(__xludf.DUMMYFUNCTION("""COMPUTED_VALUE"""),"gprovostfz@wix.com")</f>
        <v>gprovostfz@wix.com</v>
      </c>
      <c r="D576" s="4">
        <f>IFERROR(__xludf.DUMMYFUNCTION("""COMPUTED_VALUE"""),30.0)</f>
        <v>30</v>
      </c>
      <c r="E576" s="4">
        <f>IFERROR(__xludf.DUMMYFUNCTION("""COMPUTED_VALUE"""),111.0)</f>
        <v>111</v>
      </c>
      <c r="F576" s="4">
        <f>IFERROR(__xludf.DUMMYFUNCTION("""COMPUTED_VALUE"""),4.0)</f>
        <v>4</v>
      </c>
      <c r="G576" s="4">
        <f>IFERROR(__xludf.DUMMYFUNCTION("""COMPUTED_VALUE"""),722.0)</f>
        <v>722</v>
      </c>
      <c r="H576" s="5">
        <f>IFERROR(__xludf.DUMMYFUNCTION("""COMPUTED_VALUE"""),9769.49)</f>
        <v>9769.49</v>
      </c>
      <c r="I576" s="5">
        <f>IFERROR(__xludf.DUMMYFUNCTION("""COMPUTED_VALUE"""),7749.4)</f>
        <v>7749.4</v>
      </c>
      <c r="J576" s="5">
        <f>IFERROR(__xludf.DUMMYFUNCTION("""COMPUTED_VALUE"""),8473.34)</f>
        <v>8473.34</v>
      </c>
      <c r="K576" s="5">
        <f>IFERROR(__xludf.DUMMYFUNCTION("""COMPUTED_VALUE"""),8293.71)</f>
        <v>8293.71</v>
      </c>
      <c r="L576" s="4">
        <f>IFERROR(__xludf.DUMMYFUNCTION("""COMPUTED_VALUE"""),12.0)</f>
        <v>12</v>
      </c>
      <c r="M576" s="4">
        <f>IFERROR(__xludf.DUMMYFUNCTION("""COMPUTED_VALUE"""),5.0)</f>
        <v>5</v>
      </c>
      <c r="N576" s="2" t="str">
        <f>IFERROR(__xludf.DUMMYFUNCTION("""COMPUTED_VALUE"""),"VERDADERO")</f>
        <v>VERDADERO</v>
      </c>
    </row>
    <row r="577">
      <c r="A577" s="2">
        <f>IFERROR(__xludf.DUMMYFUNCTION("""COMPUTED_VALUE"""),576.0)</f>
        <v>576</v>
      </c>
      <c r="B577" s="2" t="str">
        <f>IFERROR(__xludf.DUMMYFUNCTION("""COMPUTED_VALUE"""),"Brittany Vallentin")</f>
        <v>Brittany Vallentin</v>
      </c>
      <c r="C577" s="2" t="str">
        <f>IFERROR(__xludf.DUMMYFUNCTION("""COMPUTED_VALUE"""),"bvallenting0@free.fr")</f>
        <v>bvallenting0@free.fr</v>
      </c>
      <c r="D577" s="4">
        <f>IFERROR(__xludf.DUMMYFUNCTION("""COMPUTED_VALUE"""),66.0)</f>
        <v>66</v>
      </c>
      <c r="E577" s="4">
        <f>IFERROR(__xludf.DUMMYFUNCTION("""COMPUTED_VALUE"""),81.0)</f>
        <v>81</v>
      </c>
      <c r="F577" s="4">
        <f>IFERROR(__xludf.DUMMYFUNCTION("""COMPUTED_VALUE"""),2.0)</f>
        <v>2</v>
      </c>
      <c r="G577" s="4">
        <f>IFERROR(__xludf.DUMMYFUNCTION("""COMPUTED_VALUE"""),206.0)</f>
        <v>206</v>
      </c>
      <c r="H577" s="5">
        <f>IFERROR(__xludf.DUMMYFUNCTION("""COMPUTED_VALUE"""),3449.36)</f>
        <v>3449.36</v>
      </c>
      <c r="I577" s="5">
        <f>IFERROR(__xludf.DUMMYFUNCTION("""COMPUTED_VALUE"""),1098.14)</f>
        <v>1098.14</v>
      </c>
      <c r="J577" s="5">
        <f>IFERROR(__xludf.DUMMYFUNCTION("""COMPUTED_VALUE"""),4211.36)</f>
        <v>4211.36</v>
      </c>
      <c r="K577" s="5">
        <f>IFERROR(__xludf.DUMMYFUNCTION("""COMPUTED_VALUE"""),3955.1)</f>
        <v>3955.1</v>
      </c>
      <c r="L577" s="4">
        <f>IFERROR(__xludf.DUMMYFUNCTION("""COMPUTED_VALUE"""),20.0)</f>
        <v>20</v>
      </c>
      <c r="M577" s="4">
        <f>IFERROR(__xludf.DUMMYFUNCTION("""COMPUTED_VALUE"""),21.0)</f>
        <v>21</v>
      </c>
      <c r="N577" s="2" t="str">
        <f>IFERROR(__xludf.DUMMYFUNCTION("""COMPUTED_VALUE"""),"VERDADERO")</f>
        <v>VERDADERO</v>
      </c>
    </row>
    <row r="578">
      <c r="A578" s="2">
        <f>IFERROR(__xludf.DUMMYFUNCTION("""COMPUTED_VALUE"""),577.0)</f>
        <v>577</v>
      </c>
      <c r="B578" s="2" t="str">
        <f>IFERROR(__xludf.DUMMYFUNCTION("""COMPUTED_VALUE"""),"Francklin Eakens")</f>
        <v>Francklin Eakens</v>
      </c>
      <c r="C578" s="2" t="str">
        <f>IFERROR(__xludf.DUMMYFUNCTION("""COMPUTED_VALUE"""),"feakensg1@sphinn.com")</f>
        <v>feakensg1@sphinn.com</v>
      </c>
      <c r="D578" s="4">
        <f>IFERROR(__xludf.DUMMYFUNCTION("""COMPUTED_VALUE"""),121.0)</f>
        <v>121</v>
      </c>
      <c r="E578" s="4">
        <f>IFERROR(__xludf.DUMMYFUNCTION("""COMPUTED_VALUE"""),81.0)</f>
        <v>81</v>
      </c>
      <c r="F578" s="4">
        <f>IFERROR(__xludf.DUMMYFUNCTION("""COMPUTED_VALUE"""),2.0)</f>
        <v>2</v>
      </c>
      <c r="G578" s="4">
        <f>IFERROR(__xludf.DUMMYFUNCTION("""COMPUTED_VALUE"""),211.0)</f>
        <v>211</v>
      </c>
      <c r="H578" s="5">
        <f>IFERROR(__xludf.DUMMYFUNCTION("""COMPUTED_VALUE"""),3125.74)</f>
        <v>3125.74</v>
      </c>
      <c r="I578" s="5">
        <f>IFERROR(__xludf.DUMMYFUNCTION("""COMPUTED_VALUE"""),93.94)</f>
        <v>93.94</v>
      </c>
      <c r="J578" s="5">
        <f>IFERROR(__xludf.DUMMYFUNCTION("""COMPUTED_VALUE"""),6977.37)</f>
        <v>6977.37</v>
      </c>
      <c r="K578" s="5">
        <f>IFERROR(__xludf.DUMMYFUNCTION("""COMPUTED_VALUE"""),2679.69)</f>
        <v>2679.69</v>
      </c>
      <c r="L578" s="4">
        <f>IFERROR(__xludf.DUMMYFUNCTION("""COMPUTED_VALUE"""),4.0)</f>
        <v>4</v>
      </c>
      <c r="M578" s="4">
        <f>IFERROR(__xludf.DUMMYFUNCTION("""COMPUTED_VALUE"""),35.0)</f>
        <v>35</v>
      </c>
      <c r="N578" s="2" t="str">
        <f>IFERROR(__xludf.DUMMYFUNCTION("""COMPUTED_VALUE"""),"VERDADERO")</f>
        <v>VERDADERO</v>
      </c>
    </row>
    <row r="579">
      <c r="A579" s="2">
        <f>IFERROR(__xludf.DUMMYFUNCTION("""COMPUTED_VALUE"""),578.0)</f>
        <v>578</v>
      </c>
      <c r="B579" s="2" t="str">
        <f>IFERROR(__xludf.DUMMYFUNCTION("""COMPUTED_VALUE"""),"Albertine Hakes")</f>
        <v>Albertine Hakes</v>
      </c>
      <c r="C579" s="2" t="str">
        <f>IFERROR(__xludf.DUMMYFUNCTION("""COMPUTED_VALUE"""),"ahakesg2@theguardian.com")</f>
        <v>ahakesg2@theguardian.com</v>
      </c>
      <c r="D579" s="4">
        <f>IFERROR(__xludf.DUMMYFUNCTION("""COMPUTED_VALUE"""),65.0)</f>
        <v>65</v>
      </c>
      <c r="E579" s="4">
        <f>IFERROR(__xludf.DUMMYFUNCTION("""COMPUTED_VALUE"""),84.0)</f>
        <v>84</v>
      </c>
      <c r="F579" s="4">
        <f>IFERROR(__xludf.DUMMYFUNCTION("""COMPUTED_VALUE"""),12.0)</f>
        <v>12</v>
      </c>
      <c r="G579" s="4">
        <f>IFERROR(__xludf.DUMMYFUNCTION("""COMPUTED_VALUE"""),1479.0)</f>
        <v>1479</v>
      </c>
      <c r="H579" s="5">
        <f>IFERROR(__xludf.DUMMYFUNCTION("""COMPUTED_VALUE"""),7995.27)</f>
        <v>7995.27</v>
      </c>
      <c r="I579" s="5">
        <f>IFERROR(__xludf.DUMMYFUNCTION("""COMPUTED_VALUE"""),5420.39)</f>
        <v>5420.39</v>
      </c>
      <c r="J579" s="5">
        <f>IFERROR(__xludf.DUMMYFUNCTION("""COMPUTED_VALUE"""),910.19)</f>
        <v>910.19</v>
      </c>
      <c r="K579" s="5">
        <f>IFERROR(__xludf.DUMMYFUNCTION("""COMPUTED_VALUE"""),4429.15)</f>
        <v>4429.15</v>
      </c>
      <c r="L579" s="4">
        <f>IFERROR(__xludf.DUMMYFUNCTION("""COMPUTED_VALUE"""),11.0)</f>
        <v>11</v>
      </c>
      <c r="M579" s="4">
        <f>IFERROR(__xludf.DUMMYFUNCTION("""COMPUTED_VALUE"""),67.0)</f>
        <v>67</v>
      </c>
      <c r="N579" s="2" t="str">
        <f>IFERROR(__xludf.DUMMYFUNCTION("""COMPUTED_VALUE"""),"VERDADERO")</f>
        <v>VERDADERO</v>
      </c>
    </row>
    <row r="580">
      <c r="A580" s="2">
        <f>IFERROR(__xludf.DUMMYFUNCTION("""COMPUTED_VALUE"""),579.0)</f>
        <v>579</v>
      </c>
      <c r="B580" s="2" t="str">
        <f>IFERROR(__xludf.DUMMYFUNCTION("""COMPUTED_VALUE"""),"Timmy Phizackerly")</f>
        <v>Timmy Phizackerly</v>
      </c>
      <c r="C580" s="2" t="str">
        <f>IFERROR(__xludf.DUMMYFUNCTION("""COMPUTED_VALUE"""),"tphizackerlyg3@ed.gov")</f>
        <v>tphizackerlyg3@ed.gov</v>
      </c>
      <c r="D580" s="4">
        <f>IFERROR(__xludf.DUMMYFUNCTION("""COMPUTED_VALUE"""),122.0)</f>
        <v>122</v>
      </c>
      <c r="E580" s="4">
        <f>IFERROR(__xludf.DUMMYFUNCTION("""COMPUTED_VALUE"""),81.0)</f>
        <v>81</v>
      </c>
      <c r="F580" s="4">
        <f>IFERROR(__xludf.DUMMYFUNCTION("""COMPUTED_VALUE"""),2.0)</f>
        <v>2</v>
      </c>
      <c r="G580" s="4">
        <f>IFERROR(__xludf.DUMMYFUNCTION("""COMPUTED_VALUE"""),1369.0)</f>
        <v>1369</v>
      </c>
      <c r="H580" s="5">
        <f>IFERROR(__xludf.DUMMYFUNCTION("""COMPUTED_VALUE"""),1756.42)</f>
        <v>1756.42</v>
      </c>
      <c r="I580" s="5">
        <f>IFERROR(__xludf.DUMMYFUNCTION("""COMPUTED_VALUE"""),8897.15)</f>
        <v>8897.15</v>
      </c>
      <c r="J580" s="5">
        <f>IFERROR(__xludf.DUMMYFUNCTION("""COMPUTED_VALUE"""),7863.3)</f>
        <v>7863.3</v>
      </c>
      <c r="K580" s="5">
        <f>IFERROR(__xludf.DUMMYFUNCTION("""COMPUTED_VALUE"""),1564.58)</f>
        <v>1564.58</v>
      </c>
      <c r="L580" s="4">
        <f>IFERROR(__xludf.DUMMYFUNCTION("""COMPUTED_VALUE"""),19.0)</f>
        <v>19</v>
      </c>
      <c r="M580" s="4">
        <f>IFERROR(__xludf.DUMMYFUNCTION("""COMPUTED_VALUE"""),4.0)</f>
        <v>4</v>
      </c>
      <c r="N580" s="2" t="str">
        <f>IFERROR(__xludf.DUMMYFUNCTION("""COMPUTED_VALUE"""),"VERDADERO")</f>
        <v>VERDADERO</v>
      </c>
    </row>
    <row r="581">
      <c r="A581" s="2">
        <f>IFERROR(__xludf.DUMMYFUNCTION("""COMPUTED_VALUE"""),580.0)</f>
        <v>580</v>
      </c>
      <c r="B581" s="2" t="str">
        <f>IFERROR(__xludf.DUMMYFUNCTION("""COMPUTED_VALUE"""),"Shirline Vowles")</f>
        <v>Shirline Vowles</v>
      </c>
      <c r="C581" s="2" t="str">
        <f>IFERROR(__xludf.DUMMYFUNCTION("""COMPUTED_VALUE"""),"svowlesg4@vimeo.com")</f>
        <v>svowlesg4@vimeo.com</v>
      </c>
      <c r="D581" s="4">
        <f>IFERROR(__xludf.DUMMYFUNCTION("""COMPUTED_VALUE"""),95.0)</f>
        <v>95</v>
      </c>
      <c r="E581" s="4">
        <f>IFERROR(__xludf.DUMMYFUNCTION("""COMPUTED_VALUE"""),119.0)</f>
        <v>119</v>
      </c>
      <c r="F581" s="4">
        <f>IFERROR(__xludf.DUMMYFUNCTION("""COMPUTED_VALUE"""),1.0)</f>
        <v>1</v>
      </c>
      <c r="G581" s="4">
        <f>IFERROR(__xludf.DUMMYFUNCTION("""COMPUTED_VALUE"""),292.0)</f>
        <v>292</v>
      </c>
      <c r="H581" s="5">
        <f>IFERROR(__xludf.DUMMYFUNCTION("""COMPUTED_VALUE"""),856.62)</f>
        <v>856.62</v>
      </c>
      <c r="I581" s="5">
        <f>IFERROR(__xludf.DUMMYFUNCTION("""COMPUTED_VALUE"""),3035.25)</f>
        <v>3035.25</v>
      </c>
      <c r="J581" s="5">
        <f>IFERROR(__xludf.DUMMYFUNCTION("""COMPUTED_VALUE"""),2586.71)</f>
        <v>2586.71</v>
      </c>
      <c r="K581" s="5">
        <f>IFERROR(__xludf.DUMMYFUNCTION("""COMPUTED_VALUE"""),71.86)</f>
        <v>71.86</v>
      </c>
      <c r="L581" s="4">
        <f>IFERROR(__xludf.DUMMYFUNCTION("""COMPUTED_VALUE"""),6.0)</f>
        <v>6</v>
      </c>
      <c r="M581" s="4">
        <f>IFERROR(__xludf.DUMMYFUNCTION("""COMPUTED_VALUE"""),83.0)</f>
        <v>83</v>
      </c>
      <c r="N581" s="2" t="str">
        <f>IFERROR(__xludf.DUMMYFUNCTION("""COMPUTED_VALUE"""),"FALSO")</f>
        <v>FALSO</v>
      </c>
    </row>
    <row r="582">
      <c r="A582" s="2">
        <f>IFERROR(__xludf.DUMMYFUNCTION("""COMPUTED_VALUE"""),581.0)</f>
        <v>581</v>
      </c>
      <c r="B582" s="2" t="str">
        <f>IFERROR(__xludf.DUMMYFUNCTION("""COMPUTED_VALUE"""),"Barbara-anne Warlow")</f>
        <v>Barbara-anne Warlow</v>
      </c>
      <c r="C582" s="2" t="str">
        <f>IFERROR(__xludf.DUMMYFUNCTION("""COMPUTED_VALUE"""),"bwarlowg5@ezinearticles.com")</f>
        <v>bwarlowg5@ezinearticles.com</v>
      </c>
      <c r="D582" s="4">
        <f>IFERROR(__xludf.DUMMYFUNCTION("""COMPUTED_VALUE"""),124.0)</f>
        <v>124</v>
      </c>
      <c r="E582" s="4">
        <f>IFERROR(__xludf.DUMMYFUNCTION("""COMPUTED_VALUE"""),11.0)</f>
        <v>11</v>
      </c>
      <c r="F582" s="4">
        <f>IFERROR(__xludf.DUMMYFUNCTION("""COMPUTED_VALUE"""),13.0)</f>
        <v>13</v>
      </c>
      <c r="G582" s="4">
        <f>IFERROR(__xludf.DUMMYFUNCTION("""COMPUTED_VALUE"""),973.0)</f>
        <v>973</v>
      </c>
      <c r="H582" s="5">
        <f>IFERROR(__xludf.DUMMYFUNCTION("""COMPUTED_VALUE"""),3926.25)</f>
        <v>3926.25</v>
      </c>
      <c r="I582" s="5">
        <f>IFERROR(__xludf.DUMMYFUNCTION("""COMPUTED_VALUE"""),7428.64)</f>
        <v>7428.64</v>
      </c>
      <c r="J582" s="5">
        <f>IFERROR(__xludf.DUMMYFUNCTION("""COMPUTED_VALUE"""),3501.56)</f>
        <v>3501.56</v>
      </c>
      <c r="K582" s="5">
        <f>IFERROR(__xludf.DUMMYFUNCTION("""COMPUTED_VALUE"""),9827.12)</f>
        <v>9827.12</v>
      </c>
      <c r="L582" s="4">
        <f>IFERROR(__xludf.DUMMYFUNCTION("""COMPUTED_VALUE"""),1.0)</f>
        <v>1</v>
      </c>
      <c r="M582" s="4">
        <f>IFERROR(__xludf.DUMMYFUNCTION("""COMPUTED_VALUE"""),84.0)</f>
        <v>84</v>
      </c>
      <c r="N582" s="2" t="str">
        <f>IFERROR(__xludf.DUMMYFUNCTION("""COMPUTED_VALUE"""),"FALSO")</f>
        <v>FALSO</v>
      </c>
    </row>
    <row r="583">
      <c r="A583" s="2">
        <f>IFERROR(__xludf.DUMMYFUNCTION("""COMPUTED_VALUE"""),582.0)</f>
        <v>582</v>
      </c>
      <c r="B583" s="2" t="str">
        <f>IFERROR(__xludf.DUMMYFUNCTION("""COMPUTED_VALUE"""),"Constantina Duffill")</f>
        <v>Constantina Duffill</v>
      </c>
      <c r="C583" s="2" t="str">
        <f>IFERROR(__xludf.DUMMYFUNCTION("""COMPUTED_VALUE"""),"cduffillg6@people.com.cn")</f>
        <v>cduffillg6@people.com.cn</v>
      </c>
      <c r="D583" s="4">
        <f>IFERROR(__xludf.DUMMYFUNCTION("""COMPUTED_VALUE"""),69.0)</f>
        <v>69</v>
      </c>
      <c r="E583" s="4">
        <f>IFERROR(__xludf.DUMMYFUNCTION("""COMPUTED_VALUE"""),65.0)</f>
        <v>65</v>
      </c>
      <c r="F583" s="4">
        <f>IFERROR(__xludf.DUMMYFUNCTION("""COMPUTED_VALUE"""),9.0)</f>
        <v>9</v>
      </c>
      <c r="G583" s="4">
        <f>IFERROR(__xludf.DUMMYFUNCTION("""COMPUTED_VALUE"""),255.0)</f>
        <v>255</v>
      </c>
      <c r="H583" s="5">
        <f>IFERROR(__xludf.DUMMYFUNCTION("""COMPUTED_VALUE"""),5742.5)</f>
        <v>5742.5</v>
      </c>
      <c r="I583" s="5">
        <f>IFERROR(__xludf.DUMMYFUNCTION("""COMPUTED_VALUE"""),5550.81)</f>
        <v>5550.81</v>
      </c>
      <c r="J583" s="5">
        <f>IFERROR(__xludf.DUMMYFUNCTION("""COMPUTED_VALUE"""),548.17)</f>
        <v>548.17</v>
      </c>
      <c r="K583" s="5">
        <f>IFERROR(__xludf.DUMMYFUNCTION("""COMPUTED_VALUE"""),5628.45)</f>
        <v>5628.45</v>
      </c>
      <c r="L583" s="4">
        <f>IFERROR(__xludf.DUMMYFUNCTION("""COMPUTED_VALUE"""),17.0)</f>
        <v>17</v>
      </c>
      <c r="M583" s="4">
        <f>IFERROR(__xludf.DUMMYFUNCTION("""COMPUTED_VALUE"""),9.0)</f>
        <v>9</v>
      </c>
      <c r="N583" s="2" t="str">
        <f>IFERROR(__xludf.DUMMYFUNCTION("""COMPUTED_VALUE"""),"FALSO")</f>
        <v>FALSO</v>
      </c>
    </row>
    <row r="584">
      <c r="A584" s="2">
        <f>IFERROR(__xludf.DUMMYFUNCTION("""COMPUTED_VALUE"""),583.0)</f>
        <v>583</v>
      </c>
      <c r="B584" s="2" t="str">
        <f>IFERROR(__xludf.DUMMYFUNCTION("""COMPUTED_VALUE"""),"Avictor Ifill")</f>
        <v>Avictor Ifill</v>
      </c>
      <c r="C584" s="2" t="str">
        <f>IFERROR(__xludf.DUMMYFUNCTION("""COMPUTED_VALUE"""),"aifillg7@gnu.org")</f>
        <v>aifillg7@gnu.org</v>
      </c>
      <c r="D584" s="4">
        <f>IFERROR(__xludf.DUMMYFUNCTION("""COMPUTED_VALUE"""),153.0)</f>
        <v>153</v>
      </c>
      <c r="E584" s="4">
        <f>IFERROR(__xludf.DUMMYFUNCTION("""COMPUTED_VALUE"""),25.0)</f>
        <v>25</v>
      </c>
      <c r="F584" s="4">
        <f>IFERROR(__xludf.DUMMYFUNCTION("""COMPUTED_VALUE"""),4.0)</f>
        <v>4</v>
      </c>
      <c r="G584" s="4">
        <f>IFERROR(__xludf.DUMMYFUNCTION("""COMPUTED_VALUE"""),168.0)</f>
        <v>168</v>
      </c>
      <c r="H584" s="5">
        <f>IFERROR(__xludf.DUMMYFUNCTION("""COMPUTED_VALUE"""),7405.03)</f>
        <v>7405.03</v>
      </c>
      <c r="I584" s="5">
        <f>IFERROR(__xludf.DUMMYFUNCTION("""COMPUTED_VALUE"""),7645.31)</f>
        <v>7645.31</v>
      </c>
      <c r="J584" s="5">
        <f>IFERROR(__xludf.DUMMYFUNCTION("""COMPUTED_VALUE"""),4567.49)</f>
        <v>4567.49</v>
      </c>
      <c r="K584" s="5">
        <f>IFERROR(__xludf.DUMMYFUNCTION("""COMPUTED_VALUE"""),2988.41)</f>
        <v>2988.41</v>
      </c>
      <c r="L584" s="4">
        <f>IFERROR(__xludf.DUMMYFUNCTION("""COMPUTED_VALUE"""),20.0)</f>
        <v>20</v>
      </c>
      <c r="M584" s="4">
        <f>IFERROR(__xludf.DUMMYFUNCTION("""COMPUTED_VALUE"""),67.0)</f>
        <v>67</v>
      </c>
      <c r="N584" s="2" t="str">
        <f>IFERROR(__xludf.DUMMYFUNCTION("""COMPUTED_VALUE"""),"VERDADERO")</f>
        <v>VERDADERO</v>
      </c>
    </row>
    <row r="585">
      <c r="A585" s="2">
        <f>IFERROR(__xludf.DUMMYFUNCTION("""COMPUTED_VALUE"""),584.0)</f>
        <v>584</v>
      </c>
      <c r="B585" s="2" t="str">
        <f>IFERROR(__xludf.DUMMYFUNCTION("""COMPUTED_VALUE"""),"Franky Pummery")</f>
        <v>Franky Pummery</v>
      </c>
      <c r="C585" s="2" t="str">
        <f>IFERROR(__xludf.DUMMYFUNCTION("""COMPUTED_VALUE"""),"fpummeryg8@hubpages.com")</f>
        <v>fpummeryg8@hubpages.com</v>
      </c>
      <c r="D585" s="4">
        <f>IFERROR(__xludf.DUMMYFUNCTION("""COMPUTED_VALUE"""),62.0)</f>
        <v>62</v>
      </c>
      <c r="E585" s="4">
        <f>IFERROR(__xludf.DUMMYFUNCTION("""COMPUTED_VALUE"""),81.0)</f>
        <v>81</v>
      </c>
      <c r="F585" s="4">
        <f>IFERROR(__xludf.DUMMYFUNCTION("""COMPUTED_VALUE"""),2.0)</f>
        <v>2</v>
      </c>
      <c r="G585" s="4">
        <f>IFERROR(__xludf.DUMMYFUNCTION("""COMPUTED_VALUE"""),1037.0)</f>
        <v>1037</v>
      </c>
      <c r="H585" s="5">
        <f>IFERROR(__xludf.DUMMYFUNCTION("""COMPUTED_VALUE"""),1097.6)</f>
        <v>1097.6</v>
      </c>
      <c r="I585" s="5">
        <f>IFERROR(__xludf.DUMMYFUNCTION("""COMPUTED_VALUE"""),9719.76)</f>
        <v>9719.76</v>
      </c>
      <c r="J585" s="5">
        <f>IFERROR(__xludf.DUMMYFUNCTION("""COMPUTED_VALUE"""),4299.3)</f>
        <v>4299.3</v>
      </c>
      <c r="K585" s="5">
        <f>IFERROR(__xludf.DUMMYFUNCTION("""COMPUTED_VALUE"""),3144.26)</f>
        <v>3144.26</v>
      </c>
      <c r="L585" s="4">
        <f>IFERROR(__xludf.DUMMYFUNCTION("""COMPUTED_VALUE"""),20.0)</f>
        <v>20</v>
      </c>
      <c r="M585" s="4">
        <f>IFERROR(__xludf.DUMMYFUNCTION("""COMPUTED_VALUE"""),60.0)</f>
        <v>60</v>
      </c>
      <c r="N585" s="2" t="str">
        <f>IFERROR(__xludf.DUMMYFUNCTION("""COMPUTED_VALUE"""),"FALSO")</f>
        <v>FALSO</v>
      </c>
    </row>
    <row r="586">
      <c r="A586" s="2">
        <f>IFERROR(__xludf.DUMMYFUNCTION("""COMPUTED_VALUE"""),585.0)</f>
        <v>585</v>
      </c>
      <c r="B586" s="2" t="str">
        <f>IFERROR(__xludf.DUMMYFUNCTION("""COMPUTED_VALUE"""),"Cornelle Begbie")</f>
        <v>Cornelle Begbie</v>
      </c>
      <c r="C586" s="2" t="str">
        <f>IFERROR(__xludf.DUMMYFUNCTION("""COMPUTED_VALUE"""),"cbegbieg9@friendfeed.com")</f>
        <v>cbegbieg9@friendfeed.com</v>
      </c>
      <c r="D586" s="4">
        <f>IFERROR(__xludf.DUMMYFUNCTION("""COMPUTED_VALUE"""),109.0)</f>
        <v>109</v>
      </c>
      <c r="E586" s="4">
        <f>IFERROR(__xludf.DUMMYFUNCTION("""COMPUTED_VALUE"""),8.0)</f>
        <v>8</v>
      </c>
      <c r="F586" s="4">
        <f>IFERROR(__xludf.DUMMYFUNCTION("""COMPUTED_VALUE"""),8.0)</f>
        <v>8</v>
      </c>
      <c r="G586" s="4">
        <f>IFERROR(__xludf.DUMMYFUNCTION("""COMPUTED_VALUE"""),59.0)</f>
        <v>59</v>
      </c>
      <c r="H586" s="5">
        <f>IFERROR(__xludf.DUMMYFUNCTION("""COMPUTED_VALUE"""),1422.92)</f>
        <v>1422.92</v>
      </c>
      <c r="I586" s="5">
        <f>IFERROR(__xludf.DUMMYFUNCTION("""COMPUTED_VALUE"""),5533.14)</f>
        <v>5533.14</v>
      </c>
      <c r="J586" s="5">
        <f>IFERROR(__xludf.DUMMYFUNCTION("""COMPUTED_VALUE"""),4623.8)</f>
        <v>4623.8</v>
      </c>
      <c r="K586" s="5">
        <f>IFERROR(__xludf.DUMMYFUNCTION("""COMPUTED_VALUE"""),9867.52)</f>
        <v>9867.52</v>
      </c>
      <c r="L586" s="4">
        <f>IFERROR(__xludf.DUMMYFUNCTION("""COMPUTED_VALUE"""),2.0)</f>
        <v>2</v>
      </c>
      <c r="M586" s="4">
        <f>IFERROR(__xludf.DUMMYFUNCTION("""COMPUTED_VALUE"""),72.0)</f>
        <v>72</v>
      </c>
      <c r="N586" s="2" t="str">
        <f>IFERROR(__xludf.DUMMYFUNCTION("""COMPUTED_VALUE"""),"VERDADERO")</f>
        <v>VERDADERO</v>
      </c>
    </row>
    <row r="587">
      <c r="A587" s="2">
        <f>IFERROR(__xludf.DUMMYFUNCTION("""COMPUTED_VALUE"""),586.0)</f>
        <v>586</v>
      </c>
      <c r="B587" s="2" t="str">
        <f>IFERROR(__xludf.DUMMYFUNCTION("""COMPUTED_VALUE"""),"Had Guilliland")</f>
        <v>Had Guilliland</v>
      </c>
      <c r="C587" s="2" t="str">
        <f>IFERROR(__xludf.DUMMYFUNCTION("""COMPUTED_VALUE"""),"hguillilandga@nationalgeographic.com")</f>
        <v>hguillilandga@nationalgeographic.com</v>
      </c>
      <c r="D587" s="4">
        <f>IFERROR(__xludf.DUMMYFUNCTION("""COMPUTED_VALUE"""),29.0)</f>
        <v>29</v>
      </c>
      <c r="E587" s="4">
        <f>IFERROR(__xludf.DUMMYFUNCTION("""COMPUTED_VALUE"""),81.0)</f>
        <v>81</v>
      </c>
      <c r="F587" s="4">
        <f>IFERROR(__xludf.DUMMYFUNCTION("""COMPUTED_VALUE"""),2.0)</f>
        <v>2</v>
      </c>
      <c r="G587" s="4">
        <f>IFERROR(__xludf.DUMMYFUNCTION("""COMPUTED_VALUE"""),270.0)</f>
        <v>270</v>
      </c>
      <c r="H587" s="5">
        <f>IFERROR(__xludf.DUMMYFUNCTION("""COMPUTED_VALUE"""),6696.89)</f>
        <v>6696.89</v>
      </c>
      <c r="I587" s="5">
        <f>IFERROR(__xludf.DUMMYFUNCTION("""COMPUTED_VALUE"""),7890.46)</f>
        <v>7890.46</v>
      </c>
      <c r="J587" s="5">
        <f>IFERROR(__xludf.DUMMYFUNCTION("""COMPUTED_VALUE"""),4352.53)</f>
        <v>4352.53</v>
      </c>
      <c r="K587" s="5">
        <f>IFERROR(__xludf.DUMMYFUNCTION("""COMPUTED_VALUE"""),7200.99)</f>
        <v>7200.99</v>
      </c>
      <c r="L587" s="4">
        <f>IFERROR(__xludf.DUMMYFUNCTION("""COMPUTED_VALUE"""),13.0)</f>
        <v>13</v>
      </c>
      <c r="M587" s="4">
        <f>IFERROR(__xludf.DUMMYFUNCTION("""COMPUTED_VALUE"""),16.0)</f>
        <v>16</v>
      </c>
      <c r="N587" s="2" t="str">
        <f>IFERROR(__xludf.DUMMYFUNCTION("""COMPUTED_VALUE"""),"VERDADERO")</f>
        <v>VERDADERO</v>
      </c>
    </row>
    <row r="588">
      <c r="A588" s="2">
        <f>IFERROR(__xludf.DUMMYFUNCTION("""COMPUTED_VALUE"""),587.0)</f>
        <v>587</v>
      </c>
      <c r="B588" s="2" t="str">
        <f>IFERROR(__xludf.DUMMYFUNCTION("""COMPUTED_VALUE"""),"Lory Dunbleton")</f>
        <v>Lory Dunbleton</v>
      </c>
      <c r="C588" s="2" t="str">
        <f>IFERROR(__xludf.DUMMYFUNCTION("""COMPUTED_VALUE"""),"ldunbletongb@go.com")</f>
        <v>ldunbletongb@go.com</v>
      </c>
      <c r="D588" s="4" t="str">
        <f>IFERROR(__xludf.DUMMYFUNCTION("""COMPUTED_VALUE"""),"#N/A")</f>
        <v>#N/A</v>
      </c>
      <c r="E588" s="4">
        <f>IFERROR(__xludf.DUMMYFUNCTION("""COMPUTED_VALUE"""),81.0)</f>
        <v>81</v>
      </c>
      <c r="F588" s="4">
        <f>IFERROR(__xludf.DUMMYFUNCTION("""COMPUTED_VALUE"""),2.0)</f>
        <v>2</v>
      </c>
      <c r="G588" s="4">
        <f>IFERROR(__xludf.DUMMYFUNCTION("""COMPUTED_VALUE"""),767.0)</f>
        <v>767</v>
      </c>
      <c r="H588" s="5">
        <f>IFERROR(__xludf.DUMMYFUNCTION("""COMPUTED_VALUE"""),7869.87)</f>
        <v>7869.87</v>
      </c>
      <c r="I588" s="5">
        <f>IFERROR(__xludf.DUMMYFUNCTION("""COMPUTED_VALUE"""),7396.82)</f>
        <v>7396.82</v>
      </c>
      <c r="J588" s="5">
        <f>IFERROR(__xludf.DUMMYFUNCTION("""COMPUTED_VALUE"""),4708.35)</f>
        <v>4708.35</v>
      </c>
      <c r="K588" s="5">
        <f>IFERROR(__xludf.DUMMYFUNCTION("""COMPUTED_VALUE"""),9844.79)</f>
        <v>9844.79</v>
      </c>
      <c r="L588" s="4">
        <f>IFERROR(__xludf.DUMMYFUNCTION("""COMPUTED_VALUE"""),4.0)</f>
        <v>4</v>
      </c>
      <c r="M588" s="4">
        <f>IFERROR(__xludf.DUMMYFUNCTION("""COMPUTED_VALUE"""),31.0)</f>
        <v>31</v>
      </c>
      <c r="N588" s="2" t="str">
        <f>IFERROR(__xludf.DUMMYFUNCTION("""COMPUTED_VALUE"""),"VERDADERO")</f>
        <v>VERDADERO</v>
      </c>
    </row>
    <row r="589">
      <c r="A589" s="2">
        <f>IFERROR(__xludf.DUMMYFUNCTION("""COMPUTED_VALUE"""),588.0)</f>
        <v>588</v>
      </c>
      <c r="B589" s="2" t="str">
        <f>IFERROR(__xludf.DUMMYFUNCTION("""COMPUTED_VALUE"""),"Nicoline Hearons")</f>
        <v>Nicoline Hearons</v>
      </c>
      <c r="C589" s="2" t="str">
        <f>IFERROR(__xludf.DUMMYFUNCTION("""COMPUTED_VALUE"""),"nhearonsgc@vkontakte.ru")</f>
        <v>nhearonsgc@vkontakte.ru</v>
      </c>
      <c r="D589" s="4">
        <f>IFERROR(__xludf.DUMMYFUNCTION("""COMPUTED_VALUE"""),41.0)</f>
        <v>41</v>
      </c>
      <c r="E589" s="4">
        <f>IFERROR(__xludf.DUMMYFUNCTION("""COMPUTED_VALUE"""),39.0)</f>
        <v>39</v>
      </c>
      <c r="F589" s="4">
        <f>IFERROR(__xludf.DUMMYFUNCTION("""COMPUTED_VALUE"""),11.0)</f>
        <v>11</v>
      </c>
      <c r="G589" s="4">
        <f>IFERROR(__xludf.DUMMYFUNCTION("""COMPUTED_VALUE"""),938.0)</f>
        <v>938</v>
      </c>
      <c r="H589" s="5">
        <f>IFERROR(__xludf.DUMMYFUNCTION("""COMPUTED_VALUE"""),4331.72)</f>
        <v>4331.72</v>
      </c>
      <c r="I589" s="5">
        <f>IFERROR(__xludf.DUMMYFUNCTION("""COMPUTED_VALUE"""),2582.54)</f>
        <v>2582.54</v>
      </c>
      <c r="J589" s="5">
        <f>IFERROR(__xludf.DUMMYFUNCTION("""COMPUTED_VALUE"""),3100.35)</f>
        <v>3100.35</v>
      </c>
      <c r="K589" s="5">
        <f>IFERROR(__xludf.DUMMYFUNCTION("""COMPUTED_VALUE"""),9522.68)</f>
        <v>9522.68</v>
      </c>
      <c r="L589" s="4">
        <f>IFERROR(__xludf.DUMMYFUNCTION("""COMPUTED_VALUE"""),1.0)</f>
        <v>1</v>
      </c>
      <c r="M589" s="4">
        <f>IFERROR(__xludf.DUMMYFUNCTION("""COMPUTED_VALUE"""),26.0)</f>
        <v>26</v>
      </c>
      <c r="N589" s="2" t="str">
        <f>IFERROR(__xludf.DUMMYFUNCTION("""COMPUTED_VALUE"""),"FALSO")</f>
        <v>FALSO</v>
      </c>
    </row>
    <row r="590">
      <c r="A590" s="2">
        <f>IFERROR(__xludf.DUMMYFUNCTION("""COMPUTED_VALUE"""),589.0)</f>
        <v>589</v>
      </c>
      <c r="B590" s="2" t="str">
        <f>IFERROR(__xludf.DUMMYFUNCTION("""COMPUTED_VALUE"""),"Peta Fleetham")</f>
        <v>Peta Fleetham</v>
      </c>
      <c r="C590" s="2" t="str">
        <f>IFERROR(__xludf.DUMMYFUNCTION("""COMPUTED_VALUE"""),"pfleethamgd@diigo.com")</f>
        <v>pfleethamgd@diigo.com</v>
      </c>
      <c r="D590" s="4">
        <f>IFERROR(__xludf.DUMMYFUNCTION("""COMPUTED_VALUE"""),37.0)</f>
        <v>37</v>
      </c>
      <c r="E590" s="4">
        <f>IFERROR(__xludf.DUMMYFUNCTION("""COMPUTED_VALUE"""),64.0)</f>
        <v>64</v>
      </c>
      <c r="F590" s="4">
        <f>IFERROR(__xludf.DUMMYFUNCTION("""COMPUTED_VALUE"""),4.0)</f>
        <v>4</v>
      </c>
      <c r="G590" s="4">
        <f>IFERROR(__xludf.DUMMYFUNCTION("""COMPUTED_VALUE"""),1572.0)</f>
        <v>1572</v>
      </c>
      <c r="H590" s="5">
        <f>IFERROR(__xludf.DUMMYFUNCTION("""COMPUTED_VALUE"""),3820.23)</f>
        <v>3820.23</v>
      </c>
      <c r="I590" s="5">
        <f>IFERROR(__xludf.DUMMYFUNCTION("""COMPUTED_VALUE"""),3743.77)</f>
        <v>3743.77</v>
      </c>
      <c r="J590" s="5">
        <f>IFERROR(__xludf.DUMMYFUNCTION("""COMPUTED_VALUE"""),8675.26)</f>
        <v>8675.26</v>
      </c>
      <c r="K590" s="5">
        <f>IFERROR(__xludf.DUMMYFUNCTION("""COMPUTED_VALUE"""),1365.98)</f>
        <v>1365.98</v>
      </c>
      <c r="L590" s="4">
        <f>IFERROR(__xludf.DUMMYFUNCTION("""COMPUTED_VALUE"""),17.0)</f>
        <v>17</v>
      </c>
      <c r="M590" s="4">
        <f>IFERROR(__xludf.DUMMYFUNCTION("""COMPUTED_VALUE"""),46.0)</f>
        <v>46</v>
      </c>
      <c r="N590" s="2" t="str">
        <f>IFERROR(__xludf.DUMMYFUNCTION("""COMPUTED_VALUE"""),"VERDADERO")</f>
        <v>VERDADERO</v>
      </c>
    </row>
    <row r="591">
      <c r="A591" s="2">
        <f>IFERROR(__xludf.DUMMYFUNCTION("""COMPUTED_VALUE"""),590.0)</f>
        <v>590</v>
      </c>
      <c r="B591" s="2" t="str">
        <f>IFERROR(__xludf.DUMMYFUNCTION("""COMPUTED_VALUE"""),"Demetria Creany")</f>
        <v>Demetria Creany</v>
      </c>
      <c r="C591" s="2" t="str">
        <f>IFERROR(__xludf.DUMMYFUNCTION("""COMPUTED_VALUE"""),"dcreanyge@nature.com")</f>
        <v>dcreanyge@nature.com</v>
      </c>
      <c r="D591" s="4">
        <f>IFERROR(__xludf.DUMMYFUNCTION("""COMPUTED_VALUE"""),43.0)</f>
        <v>43</v>
      </c>
      <c r="E591" s="4">
        <f>IFERROR(__xludf.DUMMYFUNCTION("""COMPUTED_VALUE"""),81.0)</f>
        <v>81</v>
      </c>
      <c r="F591" s="4">
        <f>IFERROR(__xludf.DUMMYFUNCTION("""COMPUTED_VALUE"""),2.0)</f>
        <v>2</v>
      </c>
      <c r="G591" s="4">
        <f>IFERROR(__xludf.DUMMYFUNCTION("""COMPUTED_VALUE"""),810.0)</f>
        <v>810</v>
      </c>
      <c r="H591" s="5">
        <f>IFERROR(__xludf.DUMMYFUNCTION("""COMPUTED_VALUE"""),6264.56)</f>
        <v>6264.56</v>
      </c>
      <c r="I591" s="5">
        <f>IFERROR(__xludf.DUMMYFUNCTION("""COMPUTED_VALUE"""),2951.2)</f>
        <v>2951.2</v>
      </c>
      <c r="J591" s="5">
        <f>IFERROR(__xludf.DUMMYFUNCTION("""COMPUTED_VALUE"""),974.87)</f>
        <v>974.87</v>
      </c>
      <c r="K591" s="5">
        <f>IFERROR(__xludf.DUMMYFUNCTION("""COMPUTED_VALUE"""),296.04)</f>
        <v>296.04</v>
      </c>
      <c r="L591" s="4">
        <f>IFERROR(__xludf.DUMMYFUNCTION("""COMPUTED_VALUE"""),11.0)</f>
        <v>11</v>
      </c>
      <c r="M591" s="4">
        <f>IFERROR(__xludf.DUMMYFUNCTION("""COMPUTED_VALUE"""),63.0)</f>
        <v>63</v>
      </c>
      <c r="N591" s="2" t="str">
        <f>IFERROR(__xludf.DUMMYFUNCTION("""COMPUTED_VALUE"""),"FALSO")</f>
        <v>FALSO</v>
      </c>
    </row>
    <row r="592">
      <c r="A592" s="2">
        <f>IFERROR(__xludf.DUMMYFUNCTION("""COMPUTED_VALUE"""),591.0)</f>
        <v>591</v>
      </c>
      <c r="B592" s="2" t="str">
        <f>IFERROR(__xludf.DUMMYFUNCTION("""COMPUTED_VALUE"""),"Christal Keyte")</f>
        <v>Christal Keyte</v>
      </c>
      <c r="C592" s="2" t="str">
        <f>IFERROR(__xludf.DUMMYFUNCTION("""COMPUTED_VALUE"""),"ckeytegf@elegantthemes.com")</f>
        <v>ckeytegf@elegantthemes.com</v>
      </c>
      <c r="D592" s="4">
        <f>IFERROR(__xludf.DUMMYFUNCTION("""COMPUTED_VALUE"""),124.0)</f>
        <v>124</v>
      </c>
      <c r="E592" s="4">
        <f>IFERROR(__xludf.DUMMYFUNCTION("""COMPUTED_VALUE"""),81.0)</f>
        <v>81</v>
      </c>
      <c r="F592" s="4">
        <f>IFERROR(__xludf.DUMMYFUNCTION("""COMPUTED_VALUE"""),2.0)</f>
        <v>2</v>
      </c>
      <c r="G592" s="4">
        <f>IFERROR(__xludf.DUMMYFUNCTION("""COMPUTED_VALUE"""),602.0)</f>
        <v>602</v>
      </c>
      <c r="H592" s="5">
        <f>IFERROR(__xludf.DUMMYFUNCTION("""COMPUTED_VALUE"""),7716.0)</f>
        <v>7716</v>
      </c>
      <c r="I592" s="5">
        <f>IFERROR(__xludf.DUMMYFUNCTION("""COMPUTED_VALUE"""),8415.82)</f>
        <v>8415.82</v>
      </c>
      <c r="J592" s="5">
        <f>IFERROR(__xludf.DUMMYFUNCTION("""COMPUTED_VALUE"""),2864.05)</f>
        <v>2864.05</v>
      </c>
      <c r="K592" s="5">
        <f>IFERROR(__xludf.DUMMYFUNCTION("""COMPUTED_VALUE"""),8083.04)</f>
        <v>8083.04</v>
      </c>
      <c r="L592" s="4">
        <f>IFERROR(__xludf.DUMMYFUNCTION("""COMPUTED_VALUE"""),17.0)</f>
        <v>17</v>
      </c>
      <c r="M592" s="4">
        <f>IFERROR(__xludf.DUMMYFUNCTION("""COMPUTED_VALUE"""),26.0)</f>
        <v>26</v>
      </c>
      <c r="N592" s="2" t="str">
        <f>IFERROR(__xludf.DUMMYFUNCTION("""COMPUTED_VALUE"""),"VERDADERO")</f>
        <v>VERDADERO</v>
      </c>
    </row>
    <row r="593">
      <c r="A593" s="2">
        <f>IFERROR(__xludf.DUMMYFUNCTION("""COMPUTED_VALUE"""),592.0)</f>
        <v>592</v>
      </c>
      <c r="B593" s="2" t="str">
        <f>IFERROR(__xludf.DUMMYFUNCTION("""COMPUTED_VALUE"""),"Jourdan Nobriga")</f>
        <v>Jourdan Nobriga</v>
      </c>
      <c r="C593" s="2" t="str">
        <f>IFERROR(__xludf.DUMMYFUNCTION("""COMPUTED_VALUE"""),"jnobrigagg@ask.com")</f>
        <v>jnobrigagg@ask.com</v>
      </c>
      <c r="D593" s="4">
        <f>IFERROR(__xludf.DUMMYFUNCTION("""COMPUTED_VALUE"""),65.0)</f>
        <v>65</v>
      </c>
      <c r="E593" s="4">
        <f>IFERROR(__xludf.DUMMYFUNCTION("""COMPUTED_VALUE"""),106.0)</f>
        <v>106</v>
      </c>
      <c r="F593" s="4">
        <f>IFERROR(__xludf.DUMMYFUNCTION("""COMPUTED_VALUE"""),5.0)</f>
        <v>5</v>
      </c>
      <c r="G593" s="4">
        <f>IFERROR(__xludf.DUMMYFUNCTION("""COMPUTED_VALUE"""),642.0)</f>
        <v>642</v>
      </c>
      <c r="H593" s="5">
        <f>IFERROR(__xludf.DUMMYFUNCTION("""COMPUTED_VALUE"""),8816.38)</f>
        <v>8816.38</v>
      </c>
      <c r="I593" s="5">
        <f>IFERROR(__xludf.DUMMYFUNCTION("""COMPUTED_VALUE"""),4548.64)</f>
        <v>4548.64</v>
      </c>
      <c r="J593" s="5">
        <f>IFERROR(__xludf.DUMMYFUNCTION("""COMPUTED_VALUE"""),5142.05)</f>
        <v>5142.05</v>
      </c>
      <c r="K593" s="5">
        <f>IFERROR(__xludf.DUMMYFUNCTION("""COMPUTED_VALUE"""),2683.97)</f>
        <v>2683.97</v>
      </c>
      <c r="L593" s="4">
        <f>IFERROR(__xludf.DUMMYFUNCTION("""COMPUTED_VALUE"""),9.0)</f>
        <v>9</v>
      </c>
      <c r="M593" s="4">
        <f>IFERROR(__xludf.DUMMYFUNCTION("""COMPUTED_VALUE"""),55.0)</f>
        <v>55</v>
      </c>
      <c r="N593" s="2" t="str">
        <f>IFERROR(__xludf.DUMMYFUNCTION("""COMPUTED_VALUE"""),"VERDADERO")</f>
        <v>VERDADERO</v>
      </c>
    </row>
    <row r="594">
      <c r="A594" s="2">
        <f>IFERROR(__xludf.DUMMYFUNCTION("""COMPUTED_VALUE"""),593.0)</f>
        <v>593</v>
      </c>
      <c r="B594" s="2" t="str">
        <f>IFERROR(__xludf.DUMMYFUNCTION("""COMPUTED_VALUE"""),"Hestia Usherwood")</f>
        <v>Hestia Usherwood</v>
      </c>
      <c r="C594" s="2" t="str">
        <f>IFERROR(__xludf.DUMMYFUNCTION("""COMPUTED_VALUE"""),"husherwoodgh@themeforest.net")</f>
        <v>husherwoodgh@themeforest.net</v>
      </c>
      <c r="D594" s="4">
        <f>IFERROR(__xludf.DUMMYFUNCTION("""COMPUTED_VALUE"""),124.0)</f>
        <v>124</v>
      </c>
      <c r="E594" s="4">
        <f>IFERROR(__xludf.DUMMYFUNCTION("""COMPUTED_VALUE"""),81.0)</f>
        <v>81</v>
      </c>
      <c r="F594" s="4">
        <f>IFERROR(__xludf.DUMMYFUNCTION("""COMPUTED_VALUE"""),2.0)</f>
        <v>2</v>
      </c>
      <c r="G594" s="4">
        <f>IFERROR(__xludf.DUMMYFUNCTION("""COMPUTED_VALUE"""),460.0)</f>
        <v>460</v>
      </c>
      <c r="H594" s="5">
        <f>IFERROR(__xludf.DUMMYFUNCTION("""COMPUTED_VALUE"""),2554.39)</f>
        <v>2554.39</v>
      </c>
      <c r="I594" s="5">
        <f>IFERROR(__xludf.DUMMYFUNCTION("""COMPUTED_VALUE"""),6187.03)</f>
        <v>6187.03</v>
      </c>
      <c r="J594" s="5">
        <f>IFERROR(__xludf.DUMMYFUNCTION("""COMPUTED_VALUE"""),3474.33)</f>
        <v>3474.33</v>
      </c>
      <c r="K594" s="5">
        <f>IFERROR(__xludf.DUMMYFUNCTION("""COMPUTED_VALUE"""),7519.45)</f>
        <v>7519.45</v>
      </c>
      <c r="L594" s="4">
        <f>IFERROR(__xludf.DUMMYFUNCTION("""COMPUTED_VALUE"""),6.0)</f>
        <v>6</v>
      </c>
      <c r="M594" s="4">
        <f>IFERROR(__xludf.DUMMYFUNCTION("""COMPUTED_VALUE"""),24.0)</f>
        <v>24</v>
      </c>
      <c r="N594" s="2" t="str">
        <f>IFERROR(__xludf.DUMMYFUNCTION("""COMPUTED_VALUE"""),"VERDADERO")</f>
        <v>VERDADERO</v>
      </c>
    </row>
    <row r="595">
      <c r="A595" s="2">
        <f>IFERROR(__xludf.DUMMYFUNCTION("""COMPUTED_VALUE"""),594.0)</f>
        <v>594</v>
      </c>
      <c r="B595" s="2" t="str">
        <f>IFERROR(__xludf.DUMMYFUNCTION("""COMPUTED_VALUE"""),"Lorne Corkhill")</f>
        <v>Lorne Corkhill</v>
      </c>
      <c r="C595" s="2" t="str">
        <f>IFERROR(__xludf.DUMMYFUNCTION("""COMPUTED_VALUE"""),"lcorkhillgi@home.pl")</f>
        <v>lcorkhillgi@home.pl</v>
      </c>
      <c r="D595" s="4">
        <f>IFERROR(__xludf.DUMMYFUNCTION("""COMPUTED_VALUE"""),108.0)</f>
        <v>108</v>
      </c>
      <c r="E595" s="4">
        <f>IFERROR(__xludf.DUMMYFUNCTION("""COMPUTED_VALUE"""),81.0)</f>
        <v>81</v>
      </c>
      <c r="F595" s="4">
        <f>IFERROR(__xludf.DUMMYFUNCTION("""COMPUTED_VALUE"""),2.0)</f>
        <v>2</v>
      </c>
      <c r="G595" s="4">
        <f>IFERROR(__xludf.DUMMYFUNCTION("""COMPUTED_VALUE"""),652.0)</f>
        <v>652</v>
      </c>
      <c r="H595" s="5">
        <f>IFERROR(__xludf.DUMMYFUNCTION("""COMPUTED_VALUE"""),4886.64)</f>
        <v>4886.64</v>
      </c>
      <c r="I595" s="5">
        <f>IFERROR(__xludf.DUMMYFUNCTION("""COMPUTED_VALUE"""),1634.57)</f>
        <v>1634.57</v>
      </c>
      <c r="J595" s="5">
        <f>IFERROR(__xludf.DUMMYFUNCTION("""COMPUTED_VALUE"""),7653.27)</f>
        <v>7653.27</v>
      </c>
      <c r="K595" s="5">
        <f>IFERROR(__xludf.DUMMYFUNCTION("""COMPUTED_VALUE"""),5796.62)</f>
        <v>5796.62</v>
      </c>
      <c r="L595" s="4">
        <f>IFERROR(__xludf.DUMMYFUNCTION("""COMPUTED_VALUE"""),1.0)</f>
        <v>1</v>
      </c>
      <c r="M595" s="4">
        <f>IFERROR(__xludf.DUMMYFUNCTION("""COMPUTED_VALUE"""),53.0)</f>
        <v>53</v>
      </c>
      <c r="N595" s="2" t="str">
        <f>IFERROR(__xludf.DUMMYFUNCTION("""COMPUTED_VALUE"""),"FALSO")</f>
        <v>FALSO</v>
      </c>
    </row>
    <row r="596">
      <c r="A596" s="2">
        <f>IFERROR(__xludf.DUMMYFUNCTION("""COMPUTED_VALUE"""),595.0)</f>
        <v>595</v>
      </c>
      <c r="B596" s="2" t="str">
        <f>IFERROR(__xludf.DUMMYFUNCTION("""COMPUTED_VALUE"""),"Loreen O'Roan")</f>
        <v>Loreen O'Roan</v>
      </c>
      <c r="C596" s="2" t="str">
        <f>IFERROR(__xludf.DUMMYFUNCTION("""COMPUTED_VALUE"""),"loroangj@w3.org")</f>
        <v>loroangj@w3.org</v>
      </c>
      <c r="D596" s="4">
        <f>IFERROR(__xludf.DUMMYFUNCTION("""COMPUTED_VALUE"""),92.0)</f>
        <v>92</v>
      </c>
      <c r="E596" s="4">
        <f>IFERROR(__xludf.DUMMYFUNCTION("""COMPUTED_VALUE"""),11.0)</f>
        <v>11</v>
      </c>
      <c r="F596" s="4">
        <f>IFERROR(__xludf.DUMMYFUNCTION("""COMPUTED_VALUE"""),13.0)</f>
        <v>13</v>
      </c>
      <c r="G596" s="4">
        <f>IFERROR(__xludf.DUMMYFUNCTION("""COMPUTED_VALUE"""),1569.0)</f>
        <v>1569</v>
      </c>
      <c r="H596" s="5">
        <f>IFERROR(__xludf.DUMMYFUNCTION("""COMPUTED_VALUE"""),9502.74)</f>
        <v>9502.74</v>
      </c>
      <c r="I596" s="5">
        <f>IFERROR(__xludf.DUMMYFUNCTION("""COMPUTED_VALUE"""),6097.77)</f>
        <v>6097.77</v>
      </c>
      <c r="J596" s="5">
        <f>IFERROR(__xludf.DUMMYFUNCTION("""COMPUTED_VALUE"""),9215.34)</f>
        <v>9215.34</v>
      </c>
      <c r="K596" s="5">
        <f>IFERROR(__xludf.DUMMYFUNCTION("""COMPUTED_VALUE"""),4974.47)</f>
        <v>4974.47</v>
      </c>
      <c r="L596" s="4">
        <f>IFERROR(__xludf.DUMMYFUNCTION("""COMPUTED_VALUE"""),5.0)</f>
        <v>5</v>
      </c>
      <c r="M596" s="4">
        <f>IFERROR(__xludf.DUMMYFUNCTION("""COMPUTED_VALUE"""),87.0)</f>
        <v>87</v>
      </c>
      <c r="N596" s="2" t="str">
        <f>IFERROR(__xludf.DUMMYFUNCTION("""COMPUTED_VALUE"""),"VERDADERO")</f>
        <v>VERDADERO</v>
      </c>
    </row>
    <row r="597">
      <c r="A597" s="2">
        <f>IFERROR(__xludf.DUMMYFUNCTION("""COMPUTED_VALUE"""),596.0)</f>
        <v>596</v>
      </c>
      <c r="B597" s="2" t="str">
        <f>IFERROR(__xludf.DUMMYFUNCTION("""COMPUTED_VALUE"""),"Bronson Winterton")</f>
        <v>Bronson Winterton</v>
      </c>
      <c r="C597" s="2" t="str">
        <f>IFERROR(__xludf.DUMMYFUNCTION("""COMPUTED_VALUE"""),"bwintertongk@virginia.edu")</f>
        <v>bwintertongk@virginia.edu</v>
      </c>
      <c r="D597" s="4">
        <f>IFERROR(__xludf.DUMMYFUNCTION("""COMPUTED_VALUE"""),124.0)</f>
        <v>124</v>
      </c>
      <c r="E597" s="4">
        <f>IFERROR(__xludf.DUMMYFUNCTION("""COMPUTED_VALUE"""),119.0)</f>
        <v>119</v>
      </c>
      <c r="F597" s="4">
        <f>IFERROR(__xludf.DUMMYFUNCTION("""COMPUTED_VALUE"""),1.0)</f>
        <v>1</v>
      </c>
      <c r="G597" s="4">
        <f>IFERROR(__xludf.DUMMYFUNCTION("""COMPUTED_VALUE"""),1075.0)</f>
        <v>1075</v>
      </c>
      <c r="H597" s="5">
        <f>IFERROR(__xludf.DUMMYFUNCTION("""COMPUTED_VALUE"""),5675.25)</f>
        <v>5675.25</v>
      </c>
      <c r="I597" s="5">
        <f>IFERROR(__xludf.DUMMYFUNCTION("""COMPUTED_VALUE"""),7676.74)</f>
        <v>7676.74</v>
      </c>
      <c r="J597" s="5">
        <f>IFERROR(__xludf.DUMMYFUNCTION("""COMPUTED_VALUE"""),2882.59)</f>
        <v>2882.59</v>
      </c>
      <c r="K597" s="5">
        <f>IFERROR(__xludf.DUMMYFUNCTION("""COMPUTED_VALUE"""),5262.96)</f>
        <v>5262.96</v>
      </c>
      <c r="L597" s="4">
        <f>IFERROR(__xludf.DUMMYFUNCTION("""COMPUTED_VALUE"""),5.0)</f>
        <v>5</v>
      </c>
      <c r="M597" s="4">
        <f>IFERROR(__xludf.DUMMYFUNCTION("""COMPUTED_VALUE"""),34.0)</f>
        <v>34</v>
      </c>
      <c r="N597" s="2" t="str">
        <f>IFERROR(__xludf.DUMMYFUNCTION("""COMPUTED_VALUE"""),"VERDADERO")</f>
        <v>VERDADERO</v>
      </c>
    </row>
    <row r="598">
      <c r="A598" s="2">
        <f>IFERROR(__xludf.DUMMYFUNCTION("""COMPUTED_VALUE"""),597.0)</f>
        <v>597</v>
      </c>
      <c r="B598" s="2" t="str">
        <f>IFERROR(__xludf.DUMMYFUNCTION("""COMPUTED_VALUE"""),"Casandra Jeacop")</f>
        <v>Casandra Jeacop</v>
      </c>
      <c r="C598" s="2" t="str">
        <f>IFERROR(__xludf.DUMMYFUNCTION("""COMPUTED_VALUE"""),"cjeacopgl@discovery.com")</f>
        <v>cjeacopgl@discovery.com</v>
      </c>
      <c r="D598" s="4">
        <f>IFERROR(__xludf.DUMMYFUNCTION("""COMPUTED_VALUE"""),119.0)</f>
        <v>119</v>
      </c>
      <c r="E598" s="4">
        <f>IFERROR(__xludf.DUMMYFUNCTION("""COMPUTED_VALUE"""),118.0)</f>
        <v>118</v>
      </c>
      <c r="F598" s="4">
        <f>IFERROR(__xludf.DUMMYFUNCTION("""COMPUTED_VALUE"""),9.0)</f>
        <v>9</v>
      </c>
      <c r="G598" s="4">
        <f>IFERROR(__xludf.DUMMYFUNCTION("""COMPUTED_VALUE"""),49.0)</f>
        <v>49</v>
      </c>
      <c r="H598" s="5">
        <f>IFERROR(__xludf.DUMMYFUNCTION("""COMPUTED_VALUE"""),8333.07)</f>
        <v>8333.07</v>
      </c>
      <c r="I598" s="5">
        <f>IFERROR(__xludf.DUMMYFUNCTION("""COMPUTED_VALUE"""),2421.31)</f>
        <v>2421.31</v>
      </c>
      <c r="J598" s="5">
        <f>IFERROR(__xludf.DUMMYFUNCTION("""COMPUTED_VALUE"""),1517.59)</f>
        <v>1517.59</v>
      </c>
      <c r="K598" s="5">
        <f>IFERROR(__xludf.DUMMYFUNCTION("""COMPUTED_VALUE"""),7789.81)</f>
        <v>7789.81</v>
      </c>
      <c r="L598" s="4">
        <f>IFERROR(__xludf.DUMMYFUNCTION("""COMPUTED_VALUE"""),4.0)</f>
        <v>4</v>
      </c>
      <c r="M598" s="4">
        <f>IFERROR(__xludf.DUMMYFUNCTION("""COMPUTED_VALUE"""),100.0)</f>
        <v>100</v>
      </c>
      <c r="N598" s="2" t="str">
        <f>IFERROR(__xludf.DUMMYFUNCTION("""COMPUTED_VALUE"""),"FALSO")</f>
        <v>FALSO</v>
      </c>
    </row>
    <row r="599">
      <c r="A599" s="2">
        <f>IFERROR(__xludf.DUMMYFUNCTION("""COMPUTED_VALUE"""),598.0)</f>
        <v>598</v>
      </c>
      <c r="B599" s="2" t="str">
        <f>IFERROR(__xludf.DUMMYFUNCTION("""COMPUTED_VALUE"""),"Morgan Sitlinton")</f>
        <v>Morgan Sitlinton</v>
      </c>
      <c r="C599" s="2" t="str">
        <f>IFERROR(__xludf.DUMMYFUNCTION("""COMPUTED_VALUE"""),"msitlintongm@cnbc.com")</f>
        <v>msitlintongm@cnbc.com</v>
      </c>
      <c r="D599" s="4">
        <f>IFERROR(__xludf.DUMMYFUNCTION("""COMPUTED_VALUE"""),73.0)</f>
        <v>73</v>
      </c>
      <c r="E599" s="4">
        <f>IFERROR(__xludf.DUMMYFUNCTION("""COMPUTED_VALUE"""),50.0)</f>
        <v>50</v>
      </c>
      <c r="F599" s="4">
        <f>IFERROR(__xludf.DUMMYFUNCTION("""COMPUTED_VALUE"""),8.0)</f>
        <v>8</v>
      </c>
      <c r="G599" s="4">
        <f>IFERROR(__xludf.DUMMYFUNCTION("""COMPUTED_VALUE"""),732.0)</f>
        <v>732</v>
      </c>
      <c r="H599" s="5">
        <f>IFERROR(__xludf.DUMMYFUNCTION("""COMPUTED_VALUE"""),9693.5)</f>
        <v>9693.5</v>
      </c>
      <c r="I599" s="5">
        <f>IFERROR(__xludf.DUMMYFUNCTION("""COMPUTED_VALUE"""),6790.98)</f>
        <v>6790.98</v>
      </c>
      <c r="J599" s="5">
        <f>IFERROR(__xludf.DUMMYFUNCTION("""COMPUTED_VALUE"""),7500.26)</f>
        <v>7500.26</v>
      </c>
      <c r="K599" s="5">
        <f>IFERROR(__xludf.DUMMYFUNCTION("""COMPUTED_VALUE"""),8211.93)</f>
        <v>8211.93</v>
      </c>
      <c r="L599" s="4">
        <f>IFERROR(__xludf.DUMMYFUNCTION("""COMPUTED_VALUE"""),4.0)</f>
        <v>4</v>
      </c>
      <c r="M599" s="4">
        <f>IFERROR(__xludf.DUMMYFUNCTION("""COMPUTED_VALUE"""),8.0)</f>
        <v>8</v>
      </c>
      <c r="N599" s="2" t="str">
        <f>IFERROR(__xludf.DUMMYFUNCTION("""COMPUTED_VALUE"""),"VERDADERO")</f>
        <v>VERDADERO</v>
      </c>
    </row>
    <row r="600">
      <c r="A600" s="2">
        <f>IFERROR(__xludf.DUMMYFUNCTION("""COMPUTED_VALUE"""),599.0)</f>
        <v>599</v>
      </c>
      <c r="B600" s="2" t="str">
        <f>IFERROR(__xludf.DUMMYFUNCTION("""COMPUTED_VALUE"""),"Franny Christmas")</f>
        <v>Franny Christmas</v>
      </c>
      <c r="C600" s="2" t="str">
        <f>IFERROR(__xludf.DUMMYFUNCTION("""COMPUTED_VALUE"""),"fchristmasgn@mail.ru")</f>
        <v>fchristmasgn@mail.ru</v>
      </c>
      <c r="D600" s="4">
        <f>IFERROR(__xludf.DUMMYFUNCTION("""COMPUTED_VALUE"""),30.0)</f>
        <v>30</v>
      </c>
      <c r="E600" s="4">
        <f>IFERROR(__xludf.DUMMYFUNCTION("""COMPUTED_VALUE"""),81.0)</f>
        <v>81</v>
      </c>
      <c r="F600" s="4">
        <f>IFERROR(__xludf.DUMMYFUNCTION("""COMPUTED_VALUE"""),2.0)</f>
        <v>2</v>
      </c>
      <c r="G600" s="4">
        <f>IFERROR(__xludf.DUMMYFUNCTION("""COMPUTED_VALUE"""),195.0)</f>
        <v>195</v>
      </c>
      <c r="H600" s="5">
        <f>IFERROR(__xludf.DUMMYFUNCTION("""COMPUTED_VALUE"""),9214.54)</f>
        <v>9214.54</v>
      </c>
      <c r="I600" s="5">
        <f>IFERROR(__xludf.DUMMYFUNCTION("""COMPUTED_VALUE"""),5718.39)</f>
        <v>5718.39</v>
      </c>
      <c r="J600" s="5">
        <f>IFERROR(__xludf.DUMMYFUNCTION("""COMPUTED_VALUE"""),9793.76)</f>
        <v>9793.76</v>
      </c>
      <c r="K600" s="5">
        <f>IFERROR(__xludf.DUMMYFUNCTION("""COMPUTED_VALUE"""),5246.38)</f>
        <v>5246.38</v>
      </c>
      <c r="L600" s="4">
        <f>IFERROR(__xludf.DUMMYFUNCTION("""COMPUTED_VALUE"""),6.0)</f>
        <v>6</v>
      </c>
      <c r="M600" s="4">
        <f>IFERROR(__xludf.DUMMYFUNCTION("""COMPUTED_VALUE"""),43.0)</f>
        <v>43</v>
      </c>
      <c r="N600" s="2" t="str">
        <f>IFERROR(__xludf.DUMMYFUNCTION("""COMPUTED_VALUE"""),"FALSO")</f>
        <v>FALSO</v>
      </c>
    </row>
    <row r="601">
      <c r="A601" s="2">
        <f>IFERROR(__xludf.DUMMYFUNCTION("""COMPUTED_VALUE"""),600.0)</f>
        <v>600</v>
      </c>
      <c r="B601" s="2" t="str">
        <f>IFERROR(__xludf.DUMMYFUNCTION("""COMPUTED_VALUE"""),"Kellsie Reed")</f>
        <v>Kellsie Reed</v>
      </c>
      <c r="C601" s="2" t="str">
        <f>IFERROR(__xludf.DUMMYFUNCTION("""COMPUTED_VALUE"""),"kreedgo@diigo.com")</f>
        <v>kreedgo@diigo.com</v>
      </c>
      <c r="D601" s="4">
        <f>IFERROR(__xludf.DUMMYFUNCTION("""COMPUTED_VALUE"""),81.0)</f>
        <v>81</v>
      </c>
      <c r="E601" s="4">
        <f>IFERROR(__xludf.DUMMYFUNCTION("""COMPUTED_VALUE"""),66.0)</f>
        <v>66</v>
      </c>
      <c r="F601" s="4">
        <f>IFERROR(__xludf.DUMMYFUNCTION("""COMPUTED_VALUE"""),6.0)</f>
        <v>6</v>
      </c>
      <c r="G601" s="4">
        <f>IFERROR(__xludf.DUMMYFUNCTION("""COMPUTED_VALUE"""),133.0)</f>
        <v>133</v>
      </c>
      <c r="H601" s="5">
        <f>IFERROR(__xludf.DUMMYFUNCTION("""COMPUTED_VALUE"""),4898.38)</f>
        <v>4898.38</v>
      </c>
      <c r="I601" s="5">
        <f>IFERROR(__xludf.DUMMYFUNCTION("""COMPUTED_VALUE"""),1865.38)</f>
        <v>1865.38</v>
      </c>
      <c r="J601" s="5">
        <f>IFERROR(__xludf.DUMMYFUNCTION("""COMPUTED_VALUE"""),7190.86)</f>
        <v>7190.86</v>
      </c>
      <c r="K601" s="5">
        <f>IFERROR(__xludf.DUMMYFUNCTION("""COMPUTED_VALUE"""),8531.23)</f>
        <v>8531.23</v>
      </c>
      <c r="L601" s="4">
        <f>IFERROR(__xludf.DUMMYFUNCTION("""COMPUTED_VALUE"""),3.0)</f>
        <v>3</v>
      </c>
      <c r="M601" s="4">
        <f>IFERROR(__xludf.DUMMYFUNCTION("""COMPUTED_VALUE"""),49.0)</f>
        <v>49</v>
      </c>
      <c r="N601" s="2" t="str">
        <f>IFERROR(__xludf.DUMMYFUNCTION("""COMPUTED_VALUE"""),"VERDADERO")</f>
        <v>VERDADERO</v>
      </c>
    </row>
    <row r="602">
      <c r="A602" s="2">
        <f>IFERROR(__xludf.DUMMYFUNCTION("""COMPUTED_VALUE"""),601.0)</f>
        <v>601</v>
      </c>
      <c r="B602" s="2" t="str">
        <f>IFERROR(__xludf.DUMMYFUNCTION("""COMPUTED_VALUE"""),"Geneva Dislee")</f>
        <v>Geneva Dislee</v>
      </c>
      <c r="C602" s="2" t="str">
        <f>IFERROR(__xludf.DUMMYFUNCTION("""COMPUTED_VALUE"""),"gdisleegp@vk.com")</f>
        <v>gdisleegp@vk.com</v>
      </c>
      <c r="D602" s="4">
        <f>IFERROR(__xludf.DUMMYFUNCTION("""COMPUTED_VALUE"""),151.0)</f>
        <v>151</v>
      </c>
      <c r="E602" s="4">
        <f>IFERROR(__xludf.DUMMYFUNCTION("""COMPUTED_VALUE"""),81.0)</f>
        <v>81</v>
      </c>
      <c r="F602" s="4">
        <f>IFERROR(__xludf.DUMMYFUNCTION("""COMPUTED_VALUE"""),2.0)</f>
        <v>2</v>
      </c>
      <c r="G602" s="4">
        <f>IFERROR(__xludf.DUMMYFUNCTION("""COMPUTED_VALUE"""),212.0)</f>
        <v>212</v>
      </c>
      <c r="H602" s="5">
        <f>IFERROR(__xludf.DUMMYFUNCTION("""COMPUTED_VALUE"""),4742.03)</f>
        <v>4742.03</v>
      </c>
      <c r="I602" s="5">
        <f>IFERROR(__xludf.DUMMYFUNCTION("""COMPUTED_VALUE"""),6115.36)</f>
        <v>6115.36</v>
      </c>
      <c r="J602" s="5">
        <f>IFERROR(__xludf.DUMMYFUNCTION("""COMPUTED_VALUE"""),3557.61)</f>
        <v>3557.61</v>
      </c>
      <c r="K602" s="5">
        <f>IFERROR(__xludf.DUMMYFUNCTION("""COMPUTED_VALUE"""),4556.96)</f>
        <v>4556.96</v>
      </c>
      <c r="L602" s="4">
        <f>IFERROR(__xludf.DUMMYFUNCTION("""COMPUTED_VALUE"""),16.0)</f>
        <v>16</v>
      </c>
      <c r="M602" s="4">
        <f>IFERROR(__xludf.DUMMYFUNCTION("""COMPUTED_VALUE"""),85.0)</f>
        <v>85</v>
      </c>
      <c r="N602" s="2" t="str">
        <f>IFERROR(__xludf.DUMMYFUNCTION("""COMPUTED_VALUE"""),"FALSO")</f>
        <v>FALSO</v>
      </c>
    </row>
    <row r="603">
      <c r="A603" s="2">
        <f>IFERROR(__xludf.DUMMYFUNCTION("""COMPUTED_VALUE"""),602.0)</f>
        <v>602</v>
      </c>
      <c r="B603" s="2" t="str">
        <f>IFERROR(__xludf.DUMMYFUNCTION("""COMPUTED_VALUE"""),"Jacky Berthon")</f>
        <v>Jacky Berthon</v>
      </c>
      <c r="C603" s="2" t="str">
        <f>IFERROR(__xludf.DUMMYFUNCTION("""COMPUTED_VALUE"""),"jberthongq@unesco.org")</f>
        <v>jberthongq@unesco.org</v>
      </c>
      <c r="D603" s="4">
        <f>IFERROR(__xludf.DUMMYFUNCTION("""COMPUTED_VALUE"""),120.0)</f>
        <v>120</v>
      </c>
      <c r="E603" s="4">
        <f>IFERROR(__xludf.DUMMYFUNCTION("""COMPUTED_VALUE"""),81.0)</f>
        <v>81</v>
      </c>
      <c r="F603" s="4">
        <f>IFERROR(__xludf.DUMMYFUNCTION("""COMPUTED_VALUE"""),2.0)</f>
        <v>2</v>
      </c>
      <c r="G603" s="4">
        <f>IFERROR(__xludf.DUMMYFUNCTION("""COMPUTED_VALUE"""),441.0)</f>
        <v>441</v>
      </c>
      <c r="H603" s="5">
        <f>IFERROR(__xludf.DUMMYFUNCTION("""COMPUTED_VALUE"""),6953.98)</f>
        <v>6953.98</v>
      </c>
      <c r="I603" s="5">
        <f>IFERROR(__xludf.DUMMYFUNCTION("""COMPUTED_VALUE"""),2154.26)</f>
        <v>2154.26</v>
      </c>
      <c r="J603" s="5">
        <f>IFERROR(__xludf.DUMMYFUNCTION("""COMPUTED_VALUE"""),3476.11)</f>
        <v>3476.11</v>
      </c>
      <c r="K603" s="5">
        <f>IFERROR(__xludf.DUMMYFUNCTION("""COMPUTED_VALUE"""),8957.58)</f>
        <v>8957.58</v>
      </c>
      <c r="L603" s="4">
        <f>IFERROR(__xludf.DUMMYFUNCTION("""COMPUTED_VALUE"""),20.0)</f>
        <v>20</v>
      </c>
      <c r="M603" s="4">
        <f>IFERROR(__xludf.DUMMYFUNCTION("""COMPUTED_VALUE"""),67.0)</f>
        <v>67</v>
      </c>
      <c r="N603" s="2" t="str">
        <f>IFERROR(__xludf.DUMMYFUNCTION("""COMPUTED_VALUE"""),"FALSO")</f>
        <v>FALSO</v>
      </c>
    </row>
    <row r="604">
      <c r="A604" s="2">
        <f>IFERROR(__xludf.DUMMYFUNCTION("""COMPUTED_VALUE"""),603.0)</f>
        <v>603</v>
      </c>
      <c r="B604" s="2" t="str">
        <f>IFERROR(__xludf.DUMMYFUNCTION("""COMPUTED_VALUE"""),"Shelley Feare")</f>
        <v>Shelley Feare</v>
      </c>
      <c r="C604" s="2" t="str">
        <f>IFERROR(__xludf.DUMMYFUNCTION("""COMPUTED_VALUE"""),"sfearegr@freewebs.com")</f>
        <v>sfearegr@freewebs.com</v>
      </c>
      <c r="D604" s="4">
        <f>IFERROR(__xludf.DUMMYFUNCTION("""COMPUTED_VALUE"""),121.0)</f>
        <v>121</v>
      </c>
      <c r="E604" s="4">
        <f>IFERROR(__xludf.DUMMYFUNCTION("""COMPUTED_VALUE"""),63.0)</f>
        <v>63</v>
      </c>
      <c r="F604" s="4">
        <f>IFERROR(__xludf.DUMMYFUNCTION("""COMPUTED_VALUE"""),4.0)</f>
        <v>4</v>
      </c>
      <c r="G604" s="4">
        <f>IFERROR(__xludf.DUMMYFUNCTION("""COMPUTED_VALUE"""),979.0)</f>
        <v>979</v>
      </c>
      <c r="H604" s="5">
        <f>IFERROR(__xludf.DUMMYFUNCTION("""COMPUTED_VALUE"""),7096.12)</f>
        <v>7096.12</v>
      </c>
      <c r="I604" s="5">
        <f>IFERROR(__xludf.DUMMYFUNCTION("""COMPUTED_VALUE"""),7054.71)</f>
        <v>7054.71</v>
      </c>
      <c r="J604" s="5">
        <f>IFERROR(__xludf.DUMMYFUNCTION("""COMPUTED_VALUE"""),7037.91)</f>
        <v>7037.91</v>
      </c>
      <c r="K604" s="5">
        <f>IFERROR(__xludf.DUMMYFUNCTION("""COMPUTED_VALUE"""),953.74)</f>
        <v>953.74</v>
      </c>
      <c r="L604" s="4">
        <f>IFERROR(__xludf.DUMMYFUNCTION("""COMPUTED_VALUE"""),8.0)</f>
        <v>8</v>
      </c>
      <c r="M604" s="4">
        <f>IFERROR(__xludf.DUMMYFUNCTION("""COMPUTED_VALUE"""),42.0)</f>
        <v>42</v>
      </c>
      <c r="N604" s="2" t="str">
        <f>IFERROR(__xludf.DUMMYFUNCTION("""COMPUTED_VALUE"""),"VERDADERO")</f>
        <v>VERDADERO</v>
      </c>
    </row>
    <row r="605">
      <c r="A605" s="2">
        <f>IFERROR(__xludf.DUMMYFUNCTION("""COMPUTED_VALUE"""),604.0)</f>
        <v>604</v>
      </c>
      <c r="B605" s="2" t="str">
        <f>IFERROR(__xludf.DUMMYFUNCTION("""COMPUTED_VALUE"""),"Sven King")</f>
        <v>Sven King</v>
      </c>
      <c r="C605" s="2" t="str">
        <f>IFERROR(__xludf.DUMMYFUNCTION("""COMPUTED_VALUE"""),"skinggs@pagesperso-orange.fr")</f>
        <v>skinggs@pagesperso-orange.fr</v>
      </c>
      <c r="D605" s="4">
        <f>IFERROR(__xludf.DUMMYFUNCTION("""COMPUTED_VALUE"""),65.0)</f>
        <v>65</v>
      </c>
      <c r="E605" s="4">
        <f>IFERROR(__xludf.DUMMYFUNCTION("""COMPUTED_VALUE"""),65.0)</f>
        <v>65</v>
      </c>
      <c r="F605" s="4">
        <f>IFERROR(__xludf.DUMMYFUNCTION("""COMPUTED_VALUE"""),9.0)</f>
        <v>9</v>
      </c>
      <c r="G605" s="4">
        <f>IFERROR(__xludf.DUMMYFUNCTION("""COMPUTED_VALUE"""),348.0)</f>
        <v>348</v>
      </c>
      <c r="H605" s="5">
        <f>IFERROR(__xludf.DUMMYFUNCTION("""COMPUTED_VALUE"""),9765.92)</f>
        <v>9765.92</v>
      </c>
      <c r="I605" s="5">
        <f>IFERROR(__xludf.DUMMYFUNCTION("""COMPUTED_VALUE"""),9959.06)</f>
        <v>9959.06</v>
      </c>
      <c r="J605" s="5">
        <f>IFERROR(__xludf.DUMMYFUNCTION("""COMPUTED_VALUE"""),4870.54)</f>
        <v>4870.54</v>
      </c>
      <c r="K605" s="5">
        <f>IFERROR(__xludf.DUMMYFUNCTION("""COMPUTED_VALUE"""),2486.09)</f>
        <v>2486.09</v>
      </c>
      <c r="L605" s="4">
        <f>IFERROR(__xludf.DUMMYFUNCTION("""COMPUTED_VALUE"""),12.0)</f>
        <v>12</v>
      </c>
      <c r="M605" s="4">
        <f>IFERROR(__xludf.DUMMYFUNCTION("""COMPUTED_VALUE"""),38.0)</f>
        <v>38</v>
      </c>
      <c r="N605" s="2" t="str">
        <f>IFERROR(__xludf.DUMMYFUNCTION("""COMPUTED_VALUE"""),"FALSO")</f>
        <v>FALSO</v>
      </c>
    </row>
    <row r="606">
      <c r="A606" s="2">
        <f>IFERROR(__xludf.DUMMYFUNCTION("""COMPUTED_VALUE"""),605.0)</f>
        <v>605</v>
      </c>
      <c r="B606" s="2" t="str">
        <f>IFERROR(__xludf.DUMMYFUNCTION("""COMPUTED_VALUE"""),"Herbie Woolston")</f>
        <v>Herbie Woolston</v>
      </c>
      <c r="C606" s="2" t="str">
        <f>IFERROR(__xludf.DUMMYFUNCTION("""COMPUTED_VALUE"""),"hwoolstongt@marketwatch.com")</f>
        <v>hwoolstongt@marketwatch.com</v>
      </c>
      <c r="D606" s="4">
        <f>IFERROR(__xludf.DUMMYFUNCTION("""COMPUTED_VALUE"""),75.0)</f>
        <v>75</v>
      </c>
      <c r="E606" s="4">
        <f>IFERROR(__xludf.DUMMYFUNCTION("""COMPUTED_VALUE"""),66.0)</f>
        <v>66</v>
      </c>
      <c r="F606" s="4">
        <f>IFERROR(__xludf.DUMMYFUNCTION("""COMPUTED_VALUE"""),6.0)</f>
        <v>6</v>
      </c>
      <c r="G606" s="4">
        <f>IFERROR(__xludf.DUMMYFUNCTION("""COMPUTED_VALUE"""),1404.0)</f>
        <v>1404</v>
      </c>
      <c r="H606" s="5">
        <f>IFERROR(__xludf.DUMMYFUNCTION("""COMPUTED_VALUE"""),1244.47)</f>
        <v>1244.47</v>
      </c>
      <c r="I606" s="5">
        <f>IFERROR(__xludf.DUMMYFUNCTION("""COMPUTED_VALUE"""),9481.08)</f>
        <v>9481.08</v>
      </c>
      <c r="J606" s="5">
        <f>IFERROR(__xludf.DUMMYFUNCTION("""COMPUTED_VALUE"""),2815.47)</f>
        <v>2815.47</v>
      </c>
      <c r="K606" s="5">
        <f>IFERROR(__xludf.DUMMYFUNCTION("""COMPUTED_VALUE"""),1342.47)</f>
        <v>1342.47</v>
      </c>
      <c r="L606" s="4">
        <f>IFERROR(__xludf.DUMMYFUNCTION("""COMPUTED_VALUE"""),10.0)</f>
        <v>10</v>
      </c>
      <c r="M606" s="4">
        <f>IFERROR(__xludf.DUMMYFUNCTION("""COMPUTED_VALUE"""),82.0)</f>
        <v>82</v>
      </c>
      <c r="N606" s="2" t="str">
        <f>IFERROR(__xludf.DUMMYFUNCTION("""COMPUTED_VALUE"""),"FALSO")</f>
        <v>FALSO</v>
      </c>
    </row>
    <row r="607">
      <c r="A607" s="2">
        <f>IFERROR(__xludf.DUMMYFUNCTION("""COMPUTED_VALUE"""),606.0)</f>
        <v>606</v>
      </c>
      <c r="B607" s="2" t="str">
        <f>IFERROR(__xludf.DUMMYFUNCTION("""COMPUTED_VALUE"""),"Elana Thackston")</f>
        <v>Elana Thackston</v>
      </c>
      <c r="C607" s="2" t="str">
        <f>IFERROR(__xludf.DUMMYFUNCTION("""COMPUTED_VALUE"""),"ethackstongu@ftc.gov")</f>
        <v>ethackstongu@ftc.gov</v>
      </c>
      <c r="D607" s="4">
        <f>IFERROR(__xludf.DUMMYFUNCTION("""COMPUTED_VALUE"""),30.0)</f>
        <v>30</v>
      </c>
      <c r="E607" s="4">
        <f>IFERROR(__xludf.DUMMYFUNCTION("""COMPUTED_VALUE"""),73.0)</f>
        <v>73</v>
      </c>
      <c r="F607" s="4">
        <f>IFERROR(__xludf.DUMMYFUNCTION("""COMPUTED_VALUE"""),8.0)</f>
        <v>8</v>
      </c>
      <c r="G607" s="4">
        <f>IFERROR(__xludf.DUMMYFUNCTION("""COMPUTED_VALUE"""),944.0)</f>
        <v>944</v>
      </c>
      <c r="H607" s="5">
        <f>IFERROR(__xludf.DUMMYFUNCTION("""COMPUTED_VALUE"""),9716.5)</f>
        <v>9716.5</v>
      </c>
      <c r="I607" s="5">
        <f>IFERROR(__xludf.DUMMYFUNCTION("""COMPUTED_VALUE"""),8816.71)</f>
        <v>8816.71</v>
      </c>
      <c r="J607" s="5">
        <f>IFERROR(__xludf.DUMMYFUNCTION("""COMPUTED_VALUE"""),8204.58)</f>
        <v>8204.58</v>
      </c>
      <c r="K607" s="5">
        <f>IFERROR(__xludf.DUMMYFUNCTION("""COMPUTED_VALUE"""),7942.18)</f>
        <v>7942.18</v>
      </c>
      <c r="L607" s="4">
        <f>IFERROR(__xludf.DUMMYFUNCTION("""COMPUTED_VALUE"""),5.0)</f>
        <v>5</v>
      </c>
      <c r="M607" s="4">
        <f>IFERROR(__xludf.DUMMYFUNCTION("""COMPUTED_VALUE"""),62.0)</f>
        <v>62</v>
      </c>
      <c r="N607" s="2" t="str">
        <f>IFERROR(__xludf.DUMMYFUNCTION("""COMPUTED_VALUE"""),"FALSO")</f>
        <v>FALSO</v>
      </c>
    </row>
    <row r="608">
      <c r="A608" s="2">
        <f>IFERROR(__xludf.DUMMYFUNCTION("""COMPUTED_VALUE"""),607.0)</f>
        <v>607</v>
      </c>
      <c r="B608" s="2" t="str">
        <f>IFERROR(__xludf.DUMMYFUNCTION("""COMPUTED_VALUE"""),"Corrianne Treagus")</f>
        <v>Corrianne Treagus</v>
      </c>
      <c r="C608" s="2" t="str">
        <f>IFERROR(__xludf.DUMMYFUNCTION("""COMPUTED_VALUE"""),"ctreagusgv@elpais.com")</f>
        <v>ctreagusgv@elpais.com</v>
      </c>
      <c r="D608" s="4">
        <f>IFERROR(__xludf.DUMMYFUNCTION("""COMPUTED_VALUE"""),24.0)</f>
        <v>24</v>
      </c>
      <c r="E608" s="4">
        <f>IFERROR(__xludf.DUMMYFUNCTION("""COMPUTED_VALUE"""),81.0)</f>
        <v>81</v>
      </c>
      <c r="F608" s="4">
        <f>IFERROR(__xludf.DUMMYFUNCTION("""COMPUTED_VALUE"""),2.0)</f>
        <v>2</v>
      </c>
      <c r="G608" s="4">
        <f>IFERROR(__xludf.DUMMYFUNCTION("""COMPUTED_VALUE"""),653.0)</f>
        <v>653</v>
      </c>
      <c r="H608" s="5">
        <f>IFERROR(__xludf.DUMMYFUNCTION("""COMPUTED_VALUE"""),4637.3)</f>
        <v>4637.3</v>
      </c>
      <c r="I608" s="5">
        <f>IFERROR(__xludf.DUMMYFUNCTION("""COMPUTED_VALUE"""),9765.09)</f>
        <v>9765.09</v>
      </c>
      <c r="J608" s="5">
        <f>IFERROR(__xludf.DUMMYFUNCTION("""COMPUTED_VALUE"""),8414.01)</f>
        <v>8414.01</v>
      </c>
      <c r="K608" s="5">
        <f>IFERROR(__xludf.DUMMYFUNCTION("""COMPUTED_VALUE"""),7976.95)</f>
        <v>7976.95</v>
      </c>
      <c r="L608" s="4">
        <f>IFERROR(__xludf.DUMMYFUNCTION("""COMPUTED_VALUE"""),13.0)</f>
        <v>13</v>
      </c>
      <c r="M608" s="4">
        <f>IFERROR(__xludf.DUMMYFUNCTION("""COMPUTED_VALUE"""),89.0)</f>
        <v>89</v>
      </c>
      <c r="N608" s="2" t="str">
        <f>IFERROR(__xludf.DUMMYFUNCTION("""COMPUTED_VALUE"""),"FALSO")</f>
        <v>FALSO</v>
      </c>
    </row>
    <row r="609">
      <c r="A609" s="2">
        <f>IFERROR(__xludf.DUMMYFUNCTION("""COMPUTED_VALUE"""),608.0)</f>
        <v>608</v>
      </c>
      <c r="B609" s="2" t="str">
        <f>IFERROR(__xludf.DUMMYFUNCTION("""COMPUTED_VALUE"""),"Sutherland Harniman")</f>
        <v>Sutherland Harniman</v>
      </c>
      <c r="C609" s="2" t="str">
        <f>IFERROR(__xludf.DUMMYFUNCTION("""COMPUTED_VALUE"""),"sharnimangw@github.com")</f>
        <v>sharnimangw@github.com</v>
      </c>
      <c r="D609" s="4">
        <f>IFERROR(__xludf.DUMMYFUNCTION("""COMPUTED_VALUE"""),120.0)</f>
        <v>120</v>
      </c>
      <c r="E609" s="4">
        <f>IFERROR(__xludf.DUMMYFUNCTION("""COMPUTED_VALUE"""),39.0)</f>
        <v>39</v>
      </c>
      <c r="F609" s="4">
        <f>IFERROR(__xludf.DUMMYFUNCTION("""COMPUTED_VALUE"""),11.0)</f>
        <v>11</v>
      </c>
      <c r="G609" s="4">
        <f>IFERROR(__xludf.DUMMYFUNCTION("""COMPUTED_VALUE"""),14.0)</f>
        <v>14</v>
      </c>
      <c r="H609" s="5">
        <f>IFERROR(__xludf.DUMMYFUNCTION("""COMPUTED_VALUE"""),2491.31)</f>
        <v>2491.31</v>
      </c>
      <c r="I609" s="5">
        <f>IFERROR(__xludf.DUMMYFUNCTION("""COMPUTED_VALUE"""),4929.06)</f>
        <v>4929.06</v>
      </c>
      <c r="J609" s="5">
        <f>IFERROR(__xludf.DUMMYFUNCTION("""COMPUTED_VALUE"""),7367.63)</f>
        <v>7367.63</v>
      </c>
      <c r="K609" s="5">
        <f>IFERROR(__xludf.DUMMYFUNCTION("""COMPUTED_VALUE"""),8524.31)</f>
        <v>8524.31</v>
      </c>
      <c r="L609" s="4">
        <f>IFERROR(__xludf.DUMMYFUNCTION("""COMPUTED_VALUE"""),1.0)</f>
        <v>1</v>
      </c>
      <c r="M609" s="4">
        <f>IFERROR(__xludf.DUMMYFUNCTION("""COMPUTED_VALUE"""),1.0)</f>
        <v>1</v>
      </c>
      <c r="N609" s="2" t="str">
        <f>IFERROR(__xludf.DUMMYFUNCTION("""COMPUTED_VALUE"""),"VERDADERO")</f>
        <v>VERDADERO</v>
      </c>
    </row>
    <row r="610">
      <c r="A610" s="2">
        <f>IFERROR(__xludf.DUMMYFUNCTION("""COMPUTED_VALUE"""),609.0)</f>
        <v>609</v>
      </c>
      <c r="B610" s="2" t="str">
        <f>IFERROR(__xludf.DUMMYFUNCTION("""COMPUTED_VALUE"""),"Huntlee Crisp")</f>
        <v>Huntlee Crisp</v>
      </c>
      <c r="C610" s="2" t="str">
        <f>IFERROR(__xludf.DUMMYFUNCTION("""COMPUTED_VALUE"""),"hcrispgx@weebly.com")</f>
        <v>hcrispgx@weebly.com</v>
      </c>
      <c r="D610" s="4">
        <f>IFERROR(__xludf.DUMMYFUNCTION("""COMPUTED_VALUE"""),94.0)</f>
        <v>94</v>
      </c>
      <c r="E610" s="4">
        <f>IFERROR(__xludf.DUMMYFUNCTION("""COMPUTED_VALUE"""),102.0)</f>
        <v>102</v>
      </c>
      <c r="F610" s="4">
        <f>IFERROR(__xludf.DUMMYFUNCTION("""COMPUTED_VALUE"""),4.0)</f>
        <v>4</v>
      </c>
      <c r="G610" s="4">
        <f>IFERROR(__xludf.DUMMYFUNCTION("""COMPUTED_VALUE"""),746.0)</f>
        <v>746</v>
      </c>
      <c r="H610" s="5">
        <f>IFERROR(__xludf.DUMMYFUNCTION("""COMPUTED_VALUE"""),3565.88)</f>
        <v>3565.88</v>
      </c>
      <c r="I610" s="5">
        <f>IFERROR(__xludf.DUMMYFUNCTION("""COMPUTED_VALUE"""),5701.26)</f>
        <v>5701.26</v>
      </c>
      <c r="J610" s="5">
        <f>IFERROR(__xludf.DUMMYFUNCTION("""COMPUTED_VALUE"""),8488.2)</f>
        <v>8488.2</v>
      </c>
      <c r="K610" s="5">
        <f>IFERROR(__xludf.DUMMYFUNCTION("""COMPUTED_VALUE"""),2331.31)</f>
        <v>2331.31</v>
      </c>
      <c r="L610" s="4">
        <f>IFERROR(__xludf.DUMMYFUNCTION("""COMPUTED_VALUE"""),5.0)</f>
        <v>5</v>
      </c>
      <c r="M610" s="4">
        <f>IFERROR(__xludf.DUMMYFUNCTION("""COMPUTED_VALUE"""),32.0)</f>
        <v>32</v>
      </c>
      <c r="N610" s="2" t="str">
        <f>IFERROR(__xludf.DUMMYFUNCTION("""COMPUTED_VALUE"""),"FALSO")</f>
        <v>FALSO</v>
      </c>
    </row>
    <row r="611">
      <c r="A611" s="2">
        <f>IFERROR(__xludf.DUMMYFUNCTION("""COMPUTED_VALUE"""),610.0)</f>
        <v>610</v>
      </c>
      <c r="B611" s="2" t="str">
        <f>IFERROR(__xludf.DUMMYFUNCTION("""COMPUTED_VALUE"""),"Sydney Chaucer")</f>
        <v>Sydney Chaucer</v>
      </c>
      <c r="C611" s="2" t="str">
        <f>IFERROR(__xludf.DUMMYFUNCTION("""COMPUTED_VALUE"""),"schaucergy@pinterest.com")</f>
        <v>schaucergy@pinterest.com</v>
      </c>
      <c r="D611" s="4">
        <f>IFERROR(__xludf.DUMMYFUNCTION("""COMPUTED_VALUE"""),65.0)</f>
        <v>65</v>
      </c>
      <c r="E611" s="4">
        <f>IFERROR(__xludf.DUMMYFUNCTION("""COMPUTED_VALUE"""),66.0)</f>
        <v>66</v>
      </c>
      <c r="F611" s="4">
        <f>IFERROR(__xludf.DUMMYFUNCTION("""COMPUTED_VALUE"""),6.0)</f>
        <v>6</v>
      </c>
      <c r="G611" s="4">
        <f>IFERROR(__xludf.DUMMYFUNCTION("""COMPUTED_VALUE"""),618.0)</f>
        <v>618</v>
      </c>
      <c r="H611" s="5">
        <f>IFERROR(__xludf.DUMMYFUNCTION("""COMPUTED_VALUE"""),9260.21)</f>
        <v>9260.21</v>
      </c>
      <c r="I611" s="5">
        <f>IFERROR(__xludf.DUMMYFUNCTION("""COMPUTED_VALUE"""),2609.42)</f>
        <v>2609.42</v>
      </c>
      <c r="J611" s="5">
        <f>IFERROR(__xludf.DUMMYFUNCTION("""COMPUTED_VALUE"""),6166.38)</f>
        <v>6166.38</v>
      </c>
      <c r="K611" s="5">
        <f>IFERROR(__xludf.DUMMYFUNCTION("""COMPUTED_VALUE"""),5020.92)</f>
        <v>5020.92</v>
      </c>
      <c r="L611" s="4">
        <f>IFERROR(__xludf.DUMMYFUNCTION("""COMPUTED_VALUE"""),12.0)</f>
        <v>12</v>
      </c>
      <c r="M611" s="4">
        <f>IFERROR(__xludf.DUMMYFUNCTION("""COMPUTED_VALUE"""),83.0)</f>
        <v>83</v>
      </c>
      <c r="N611" s="2" t="str">
        <f>IFERROR(__xludf.DUMMYFUNCTION("""COMPUTED_VALUE"""),"FALSO")</f>
        <v>FALSO</v>
      </c>
    </row>
    <row r="612">
      <c r="A612" s="2">
        <f>IFERROR(__xludf.DUMMYFUNCTION("""COMPUTED_VALUE"""),611.0)</f>
        <v>611</v>
      </c>
      <c r="B612" s="2" t="str">
        <f>IFERROR(__xludf.DUMMYFUNCTION("""COMPUTED_VALUE"""),"My Louca")</f>
        <v>My Louca</v>
      </c>
      <c r="C612" s="2" t="str">
        <f>IFERROR(__xludf.DUMMYFUNCTION("""COMPUTED_VALUE"""),"mloucagz@admin.ch")</f>
        <v>mloucagz@admin.ch</v>
      </c>
      <c r="D612" s="4">
        <f>IFERROR(__xludf.DUMMYFUNCTION("""COMPUTED_VALUE"""),49.0)</f>
        <v>49</v>
      </c>
      <c r="E612" s="4">
        <f>IFERROR(__xludf.DUMMYFUNCTION("""COMPUTED_VALUE"""),112.0)</f>
        <v>112</v>
      </c>
      <c r="F612" s="4">
        <f>IFERROR(__xludf.DUMMYFUNCTION("""COMPUTED_VALUE"""),11.0)</f>
        <v>11</v>
      </c>
      <c r="G612" s="4">
        <f>IFERROR(__xludf.DUMMYFUNCTION("""COMPUTED_VALUE"""),1293.0)</f>
        <v>1293</v>
      </c>
      <c r="H612" s="5">
        <f>IFERROR(__xludf.DUMMYFUNCTION("""COMPUTED_VALUE"""),7707.37)</f>
        <v>7707.37</v>
      </c>
      <c r="I612" s="5">
        <f>IFERROR(__xludf.DUMMYFUNCTION("""COMPUTED_VALUE"""),7829.63)</f>
        <v>7829.63</v>
      </c>
      <c r="J612" s="5">
        <f>IFERROR(__xludf.DUMMYFUNCTION("""COMPUTED_VALUE"""),9244.01)</f>
        <v>9244.01</v>
      </c>
      <c r="K612" s="5">
        <f>IFERROR(__xludf.DUMMYFUNCTION("""COMPUTED_VALUE"""),1605.73)</f>
        <v>1605.73</v>
      </c>
      <c r="L612" s="4">
        <f>IFERROR(__xludf.DUMMYFUNCTION("""COMPUTED_VALUE"""),20.0)</f>
        <v>20</v>
      </c>
      <c r="M612" s="4">
        <f>IFERROR(__xludf.DUMMYFUNCTION("""COMPUTED_VALUE"""),12.0)</f>
        <v>12</v>
      </c>
      <c r="N612" s="2" t="str">
        <f>IFERROR(__xludf.DUMMYFUNCTION("""COMPUTED_VALUE"""),"VERDADERO")</f>
        <v>VERDADERO</v>
      </c>
    </row>
    <row r="613">
      <c r="A613" s="2">
        <f>IFERROR(__xludf.DUMMYFUNCTION("""COMPUTED_VALUE"""),612.0)</f>
        <v>612</v>
      </c>
      <c r="B613" s="2" t="str">
        <f>IFERROR(__xludf.DUMMYFUNCTION("""COMPUTED_VALUE"""),"Carita Halhead")</f>
        <v>Carita Halhead</v>
      </c>
      <c r="C613" s="2" t="str">
        <f>IFERROR(__xludf.DUMMYFUNCTION("""COMPUTED_VALUE"""),"chalheadh0@house.gov")</f>
        <v>chalheadh0@house.gov</v>
      </c>
      <c r="D613" s="4">
        <f>IFERROR(__xludf.DUMMYFUNCTION("""COMPUTED_VALUE"""),65.0)</f>
        <v>65</v>
      </c>
      <c r="E613" s="4">
        <f>IFERROR(__xludf.DUMMYFUNCTION("""COMPUTED_VALUE"""),85.0)</f>
        <v>85</v>
      </c>
      <c r="F613" s="4">
        <f>IFERROR(__xludf.DUMMYFUNCTION("""COMPUTED_VALUE"""),3.0)</f>
        <v>3</v>
      </c>
      <c r="G613" s="4">
        <f>IFERROR(__xludf.DUMMYFUNCTION("""COMPUTED_VALUE"""),514.0)</f>
        <v>514</v>
      </c>
      <c r="H613" s="5">
        <f>IFERROR(__xludf.DUMMYFUNCTION("""COMPUTED_VALUE"""),9541.16)</f>
        <v>9541.16</v>
      </c>
      <c r="I613" s="5">
        <f>IFERROR(__xludf.DUMMYFUNCTION("""COMPUTED_VALUE"""),3999.76)</f>
        <v>3999.76</v>
      </c>
      <c r="J613" s="5">
        <f>IFERROR(__xludf.DUMMYFUNCTION("""COMPUTED_VALUE"""),1356.75)</f>
        <v>1356.75</v>
      </c>
      <c r="K613" s="5">
        <f>IFERROR(__xludf.DUMMYFUNCTION("""COMPUTED_VALUE"""),9054.95)</f>
        <v>9054.95</v>
      </c>
      <c r="L613" s="4">
        <f>IFERROR(__xludf.DUMMYFUNCTION("""COMPUTED_VALUE"""),20.0)</f>
        <v>20</v>
      </c>
      <c r="M613" s="4">
        <f>IFERROR(__xludf.DUMMYFUNCTION("""COMPUTED_VALUE"""),38.0)</f>
        <v>38</v>
      </c>
      <c r="N613" s="2" t="str">
        <f>IFERROR(__xludf.DUMMYFUNCTION("""COMPUTED_VALUE"""),"VERDADERO")</f>
        <v>VERDADERO</v>
      </c>
    </row>
    <row r="614">
      <c r="A614" s="2">
        <f>IFERROR(__xludf.DUMMYFUNCTION("""COMPUTED_VALUE"""),613.0)</f>
        <v>613</v>
      </c>
      <c r="B614" s="2" t="str">
        <f>IFERROR(__xludf.DUMMYFUNCTION("""COMPUTED_VALUE"""),"Bailie Lauritzen")</f>
        <v>Bailie Lauritzen</v>
      </c>
      <c r="C614" s="2" t="str">
        <f>IFERROR(__xludf.DUMMYFUNCTION("""COMPUTED_VALUE"""),"blauritzenh1@sphinn.com")</f>
        <v>blauritzenh1@sphinn.com</v>
      </c>
      <c r="D614" s="4">
        <f>IFERROR(__xludf.DUMMYFUNCTION("""COMPUTED_VALUE"""),137.0)</f>
        <v>137</v>
      </c>
      <c r="E614" s="4">
        <f>IFERROR(__xludf.DUMMYFUNCTION("""COMPUTED_VALUE"""),81.0)</f>
        <v>81</v>
      </c>
      <c r="F614" s="4">
        <f>IFERROR(__xludf.DUMMYFUNCTION("""COMPUTED_VALUE"""),2.0)</f>
        <v>2</v>
      </c>
      <c r="G614" s="4">
        <f>IFERROR(__xludf.DUMMYFUNCTION("""COMPUTED_VALUE"""),919.0)</f>
        <v>919</v>
      </c>
      <c r="H614" s="5">
        <f>IFERROR(__xludf.DUMMYFUNCTION("""COMPUTED_VALUE"""),9216.05)</f>
        <v>9216.05</v>
      </c>
      <c r="I614" s="5">
        <f>IFERROR(__xludf.DUMMYFUNCTION("""COMPUTED_VALUE"""),1100.57)</f>
        <v>1100.57</v>
      </c>
      <c r="J614" s="5">
        <f>IFERROR(__xludf.DUMMYFUNCTION("""COMPUTED_VALUE"""),2328.31)</f>
        <v>2328.31</v>
      </c>
      <c r="K614" s="5">
        <f>IFERROR(__xludf.DUMMYFUNCTION("""COMPUTED_VALUE"""),3260.02)</f>
        <v>3260.02</v>
      </c>
      <c r="L614" s="4">
        <f>IFERROR(__xludf.DUMMYFUNCTION("""COMPUTED_VALUE"""),17.0)</f>
        <v>17</v>
      </c>
      <c r="M614" s="4">
        <f>IFERROR(__xludf.DUMMYFUNCTION("""COMPUTED_VALUE"""),74.0)</f>
        <v>74</v>
      </c>
      <c r="N614" s="2" t="str">
        <f>IFERROR(__xludf.DUMMYFUNCTION("""COMPUTED_VALUE"""),"FALSO")</f>
        <v>FALSO</v>
      </c>
    </row>
    <row r="615">
      <c r="A615" s="2">
        <f>IFERROR(__xludf.DUMMYFUNCTION("""COMPUTED_VALUE"""),614.0)</f>
        <v>614</v>
      </c>
      <c r="B615" s="2" t="str">
        <f>IFERROR(__xludf.DUMMYFUNCTION("""COMPUTED_VALUE"""),"Kerstin Halson")</f>
        <v>Kerstin Halson</v>
      </c>
      <c r="C615" s="2" t="str">
        <f>IFERROR(__xludf.DUMMYFUNCTION("""COMPUTED_VALUE"""),"khalsonh2@cocolog-nifty.com")</f>
        <v>khalsonh2@cocolog-nifty.com</v>
      </c>
      <c r="D615" s="4">
        <f>IFERROR(__xludf.DUMMYFUNCTION("""COMPUTED_VALUE"""),29.0)</f>
        <v>29</v>
      </c>
      <c r="E615" s="4">
        <f>IFERROR(__xludf.DUMMYFUNCTION("""COMPUTED_VALUE"""),110.0)</f>
        <v>110</v>
      </c>
      <c r="F615" s="4">
        <f>IFERROR(__xludf.DUMMYFUNCTION("""COMPUTED_VALUE"""),11.0)</f>
        <v>11</v>
      </c>
      <c r="G615" s="4">
        <f>IFERROR(__xludf.DUMMYFUNCTION("""COMPUTED_VALUE"""),1257.0)</f>
        <v>1257</v>
      </c>
      <c r="H615" s="5">
        <f>IFERROR(__xludf.DUMMYFUNCTION("""COMPUTED_VALUE"""),5218.83)</f>
        <v>5218.83</v>
      </c>
      <c r="I615" s="5">
        <f>IFERROR(__xludf.DUMMYFUNCTION("""COMPUTED_VALUE"""),8547.17)</f>
        <v>8547.17</v>
      </c>
      <c r="J615" s="5">
        <f>IFERROR(__xludf.DUMMYFUNCTION("""COMPUTED_VALUE"""),1454.01)</f>
        <v>1454.01</v>
      </c>
      <c r="K615" s="5">
        <f>IFERROR(__xludf.DUMMYFUNCTION("""COMPUTED_VALUE"""),8948.58)</f>
        <v>8948.58</v>
      </c>
      <c r="L615" s="4">
        <f>IFERROR(__xludf.DUMMYFUNCTION("""COMPUTED_VALUE"""),13.0)</f>
        <v>13</v>
      </c>
      <c r="M615" s="4">
        <f>IFERROR(__xludf.DUMMYFUNCTION("""COMPUTED_VALUE"""),54.0)</f>
        <v>54</v>
      </c>
      <c r="N615" s="2" t="str">
        <f>IFERROR(__xludf.DUMMYFUNCTION("""COMPUTED_VALUE"""),"VERDADERO")</f>
        <v>VERDADERO</v>
      </c>
    </row>
    <row r="616">
      <c r="A616" s="2">
        <f>IFERROR(__xludf.DUMMYFUNCTION("""COMPUTED_VALUE"""),615.0)</f>
        <v>615</v>
      </c>
      <c r="B616" s="2" t="str">
        <f>IFERROR(__xludf.DUMMYFUNCTION("""COMPUTED_VALUE"""),"Hugibert Cardenoza")</f>
        <v>Hugibert Cardenoza</v>
      </c>
      <c r="C616" s="2" t="str">
        <f>IFERROR(__xludf.DUMMYFUNCTION("""COMPUTED_VALUE"""),"hcardenozah3@wufoo.com")</f>
        <v>hcardenozah3@wufoo.com</v>
      </c>
      <c r="D616" s="4">
        <f>IFERROR(__xludf.DUMMYFUNCTION("""COMPUTED_VALUE"""),124.0)</f>
        <v>124</v>
      </c>
      <c r="E616" s="4">
        <f>IFERROR(__xludf.DUMMYFUNCTION("""COMPUTED_VALUE"""),100.0)</f>
        <v>100</v>
      </c>
      <c r="F616" s="4">
        <f>IFERROR(__xludf.DUMMYFUNCTION("""COMPUTED_VALUE"""),9.0)</f>
        <v>9</v>
      </c>
      <c r="G616" s="4">
        <f>IFERROR(__xludf.DUMMYFUNCTION("""COMPUTED_VALUE"""),1260.0)</f>
        <v>1260</v>
      </c>
      <c r="H616" s="5">
        <f>IFERROR(__xludf.DUMMYFUNCTION("""COMPUTED_VALUE"""),2685.46)</f>
        <v>2685.46</v>
      </c>
      <c r="I616" s="5">
        <f>IFERROR(__xludf.DUMMYFUNCTION("""COMPUTED_VALUE"""),7464.31)</f>
        <v>7464.31</v>
      </c>
      <c r="J616" s="5">
        <f>IFERROR(__xludf.DUMMYFUNCTION("""COMPUTED_VALUE"""),3369.17)</f>
        <v>3369.17</v>
      </c>
      <c r="K616" s="5">
        <f>IFERROR(__xludf.DUMMYFUNCTION("""COMPUTED_VALUE"""),5981.82)</f>
        <v>5981.82</v>
      </c>
      <c r="L616" s="4">
        <f>IFERROR(__xludf.DUMMYFUNCTION("""COMPUTED_VALUE"""),5.0)</f>
        <v>5</v>
      </c>
      <c r="M616" s="4">
        <f>IFERROR(__xludf.DUMMYFUNCTION("""COMPUTED_VALUE"""),82.0)</f>
        <v>82</v>
      </c>
      <c r="N616" s="2" t="str">
        <f>IFERROR(__xludf.DUMMYFUNCTION("""COMPUTED_VALUE"""),"FALSO")</f>
        <v>FALSO</v>
      </c>
    </row>
    <row r="617">
      <c r="A617" s="2">
        <f>IFERROR(__xludf.DUMMYFUNCTION("""COMPUTED_VALUE"""),616.0)</f>
        <v>616</v>
      </c>
      <c r="B617" s="2" t="str">
        <f>IFERROR(__xludf.DUMMYFUNCTION("""COMPUTED_VALUE"""),"Libbey Faber")</f>
        <v>Libbey Faber</v>
      </c>
      <c r="C617" s="2" t="str">
        <f>IFERROR(__xludf.DUMMYFUNCTION("""COMPUTED_VALUE"""),"lfaberh4@redcross.org")</f>
        <v>lfaberh4@redcross.org</v>
      </c>
      <c r="D617" s="4">
        <f>IFERROR(__xludf.DUMMYFUNCTION("""COMPUTED_VALUE"""),24.0)</f>
        <v>24</v>
      </c>
      <c r="E617" s="4">
        <f>IFERROR(__xludf.DUMMYFUNCTION("""COMPUTED_VALUE"""),3.0)</f>
        <v>3</v>
      </c>
      <c r="F617" s="4">
        <f>IFERROR(__xludf.DUMMYFUNCTION("""COMPUTED_VALUE"""),7.0)</f>
        <v>7</v>
      </c>
      <c r="G617" s="4">
        <f>IFERROR(__xludf.DUMMYFUNCTION("""COMPUTED_VALUE"""),672.0)</f>
        <v>672</v>
      </c>
      <c r="H617" s="5">
        <f>IFERROR(__xludf.DUMMYFUNCTION("""COMPUTED_VALUE"""),870.12)</f>
        <v>870.12</v>
      </c>
      <c r="I617" s="5">
        <f>IFERROR(__xludf.DUMMYFUNCTION("""COMPUTED_VALUE"""),5820.98)</f>
        <v>5820.98</v>
      </c>
      <c r="J617" s="5">
        <f>IFERROR(__xludf.DUMMYFUNCTION("""COMPUTED_VALUE"""),4245.95)</f>
        <v>4245.95</v>
      </c>
      <c r="K617" s="5">
        <f>IFERROR(__xludf.DUMMYFUNCTION("""COMPUTED_VALUE"""),7480.56)</f>
        <v>7480.56</v>
      </c>
      <c r="L617" s="4">
        <f>IFERROR(__xludf.DUMMYFUNCTION("""COMPUTED_VALUE"""),13.0)</f>
        <v>13</v>
      </c>
      <c r="M617" s="4">
        <f>IFERROR(__xludf.DUMMYFUNCTION("""COMPUTED_VALUE"""),38.0)</f>
        <v>38</v>
      </c>
      <c r="N617" s="2" t="str">
        <f>IFERROR(__xludf.DUMMYFUNCTION("""COMPUTED_VALUE"""),"VERDADERO")</f>
        <v>VERDADERO</v>
      </c>
    </row>
    <row r="618">
      <c r="A618" s="2">
        <f>IFERROR(__xludf.DUMMYFUNCTION("""COMPUTED_VALUE"""),617.0)</f>
        <v>617</v>
      </c>
      <c r="B618" s="2" t="str">
        <f>IFERROR(__xludf.DUMMYFUNCTION("""COMPUTED_VALUE"""),"Kristofer Pirson")</f>
        <v>Kristofer Pirson</v>
      </c>
      <c r="C618" s="2" t="str">
        <f>IFERROR(__xludf.DUMMYFUNCTION("""COMPUTED_VALUE"""),"kpirsonh5@globo.com")</f>
        <v>kpirsonh5@globo.com</v>
      </c>
      <c r="D618" s="4">
        <f>IFERROR(__xludf.DUMMYFUNCTION("""COMPUTED_VALUE"""),17.0)</f>
        <v>17</v>
      </c>
      <c r="E618" s="4">
        <f>IFERROR(__xludf.DUMMYFUNCTION("""COMPUTED_VALUE"""),112.0)</f>
        <v>112</v>
      </c>
      <c r="F618" s="4">
        <f>IFERROR(__xludf.DUMMYFUNCTION("""COMPUTED_VALUE"""),11.0)</f>
        <v>11</v>
      </c>
      <c r="G618" s="4">
        <f>IFERROR(__xludf.DUMMYFUNCTION("""COMPUTED_VALUE"""),26.0)</f>
        <v>26</v>
      </c>
      <c r="H618" s="5">
        <f>IFERROR(__xludf.DUMMYFUNCTION("""COMPUTED_VALUE"""),7165.51)</f>
        <v>7165.51</v>
      </c>
      <c r="I618" s="5">
        <f>IFERROR(__xludf.DUMMYFUNCTION("""COMPUTED_VALUE"""),1741.41)</f>
        <v>1741.41</v>
      </c>
      <c r="J618" s="5">
        <f>IFERROR(__xludf.DUMMYFUNCTION("""COMPUTED_VALUE"""),4407.34)</f>
        <v>4407.34</v>
      </c>
      <c r="K618" s="5">
        <f>IFERROR(__xludf.DUMMYFUNCTION("""COMPUTED_VALUE"""),7916.53)</f>
        <v>7916.53</v>
      </c>
      <c r="L618" s="4">
        <f>IFERROR(__xludf.DUMMYFUNCTION("""COMPUTED_VALUE"""),9.0)</f>
        <v>9</v>
      </c>
      <c r="M618" s="4">
        <f>IFERROR(__xludf.DUMMYFUNCTION("""COMPUTED_VALUE"""),96.0)</f>
        <v>96</v>
      </c>
      <c r="N618" s="2" t="str">
        <f>IFERROR(__xludf.DUMMYFUNCTION("""COMPUTED_VALUE"""),"VERDADERO")</f>
        <v>VERDADERO</v>
      </c>
    </row>
    <row r="619">
      <c r="A619" s="2">
        <f>IFERROR(__xludf.DUMMYFUNCTION("""COMPUTED_VALUE"""),618.0)</f>
        <v>618</v>
      </c>
      <c r="B619" s="2" t="str">
        <f>IFERROR(__xludf.DUMMYFUNCTION("""COMPUTED_VALUE"""),"Luelle Ivanaev")</f>
        <v>Luelle Ivanaev</v>
      </c>
      <c r="C619" s="2" t="str">
        <f>IFERROR(__xludf.DUMMYFUNCTION("""COMPUTED_VALUE"""),"livanaevh6@acquirethisname.com")</f>
        <v>livanaevh6@acquirethisname.com</v>
      </c>
      <c r="D619" s="4">
        <f>IFERROR(__xludf.DUMMYFUNCTION("""COMPUTED_VALUE"""),49.0)</f>
        <v>49</v>
      </c>
      <c r="E619" s="4">
        <f>IFERROR(__xludf.DUMMYFUNCTION("""COMPUTED_VALUE"""),112.0)</f>
        <v>112</v>
      </c>
      <c r="F619" s="4">
        <f>IFERROR(__xludf.DUMMYFUNCTION("""COMPUTED_VALUE"""),11.0)</f>
        <v>11</v>
      </c>
      <c r="G619" s="4">
        <f>IFERROR(__xludf.DUMMYFUNCTION("""COMPUTED_VALUE"""),913.0)</f>
        <v>913</v>
      </c>
      <c r="H619" s="5">
        <f>IFERROR(__xludf.DUMMYFUNCTION("""COMPUTED_VALUE"""),1901.16)</f>
        <v>1901.16</v>
      </c>
      <c r="I619" s="5">
        <f>IFERROR(__xludf.DUMMYFUNCTION("""COMPUTED_VALUE"""),1378.51)</f>
        <v>1378.51</v>
      </c>
      <c r="J619" s="5">
        <f>IFERROR(__xludf.DUMMYFUNCTION("""COMPUTED_VALUE"""),3229.19)</f>
        <v>3229.19</v>
      </c>
      <c r="K619" s="5">
        <f>IFERROR(__xludf.DUMMYFUNCTION("""COMPUTED_VALUE"""),5243.64)</f>
        <v>5243.64</v>
      </c>
      <c r="L619" s="4">
        <f>IFERROR(__xludf.DUMMYFUNCTION("""COMPUTED_VALUE"""),15.0)</f>
        <v>15</v>
      </c>
      <c r="M619" s="4">
        <f>IFERROR(__xludf.DUMMYFUNCTION("""COMPUTED_VALUE"""),25.0)</f>
        <v>25</v>
      </c>
      <c r="N619" s="2" t="str">
        <f>IFERROR(__xludf.DUMMYFUNCTION("""COMPUTED_VALUE"""),"VERDADERO")</f>
        <v>VERDADERO</v>
      </c>
    </row>
    <row r="620">
      <c r="A620" s="2">
        <f>IFERROR(__xludf.DUMMYFUNCTION("""COMPUTED_VALUE"""),619.0)</f>
        <v>619</v>
      </c>
      <c r="B620" s="2" t="str">
        <f>IFERROR(__xludf.DUMMYFUNCTION("""COMPUTED_VALUE"""),"Joceline Misselbrook")</f>
        <v>Joceline Misselbrook</v>
      </c>
      <c r="C620" s="2" t="str">
        <f>IFERROR(__xludf.DUMMYFUNCTION("""COMPUTED_VALUE"""),"jmisselbrookh7@mapquest.com")</f>
        <v>jmisselbrookh7@mapquest.com</v>
      </c>
      <c r="D620" s="4">
        <f>IFERROR(__xludf.DUMMYFUNCTION("""COMPUTED_VALUE"""),59.0)</f>
        <v>59</v>
      </c>
      <c r="E620" s="4">
        <f>IFERROR(__xludf.DUMMYFUNCTION("""COMPUTED_VALUE"""),20.0)</f>
        <v>20</v>
      </c>
      <c r="F620" s="4">
        <f>IFERROR(__xludf.DUMMYFUNCTION("""COMPUTED_VALUE"""),8.0)</f>
        <v>8</v>
      </c>
      <c r="G620" s="4">
        <f>IFERROR(__xludf.DUMMYFUNCTION("""COMPUTED_VALUE"""),1110.0)</f>
        <v>1110</v>
      </c>
      <c r="H620" s="5">
        <f>IFERROR(__xludf.DUMMYFUNCTION("""COMPUTED_VALUE"""),2387.62)</f>
        <v>2387.62</v>
      </c>
      <c r="I620" s="5">
        <f>IFERROR(__xludf.DUMMYFUNCTION("""COMPUTED_VALUE"""),4739.2)</f>
        <v>4739.2</v>
      </c>
      <c r="J620" s="5">
        <f>IFERROR(__xludf.DUMMYFUNCTION("""COMPUTED_VALUE"""),8814.34)</f>
        <v>8814.34</v>
      </c>
      <c r="K620" s="5">
        <f>IFERROR(__xludf.DUMMYFUNCTION("""COMPUTED_VALUE"""),4875.3)</f>
        <v>4875.3</v>
      </c>
      <c r="L620" s="4">
        <f>IFERROR(__xludf.DUMMYFUNCTION("""COMPUTED_VALUE"""),6.0)</f>
        <v>6</v>
      </c>
      <c r="M620" s="4">
        <f>IFERROR(__xludf.DUMMYFUNCTION("""COMPUTED_VALUE"""),73.0)</f>
        <v>73</v>
      </c>
      <c r="N620" s="2" t="str">
        <f>IFERROR(__xludf.DUMMYFUNCTION("""COMPUTED_VALUE"""),"FALSO")</f>
        <v>FALSO</v>
      </c>
    </row>
    <row r="621">
      <c r="A621" s="2">
        <f>IFERROR(__xludf.DUMMYFUNCTION("""COMPUTED_VALUE"""),620.0)</f>
        <v>620</v>
      </c>
      <c r="B621" s="2" t="str">
        <f>IFERROR(__xludf.DUMMYFUNCTION("""COMPUTED_VALUE"""),"Morly Asbery")</f>
        <v>Morly Asbery</v>
      </c>
      <c r="C621" s="2" t="str">
        <f>IFERROR(__xludf.DUMMYFUNCTION("""COMPUTED_VALUE"""),"masberyh8@amazonaws.com")</f>
        <v>masberyh8@amazonaws.com</v>
      </c>
      <c r="D621" s="4">
        <f>IFERROR(__xludf.DUMMYFUNCTION("""COMPUTED_VALUE"""),157.0)</f>
        <v>157</v>
      </c>
      <c r="E621" s="4">
        <f>IFERROR(__xludf.DUMMYFUNCTION("""COMPUTED_VALUE"""),81.0)</f>
        <v>81</v>
      </c>
      <c r="F621" s="4">
        <f>IFERROR(__xludf.DUMMYFUNCTION("""COMPUTED_VALUE"""),2.0)</f>
        <v>2</v>
      </c>
      <c r="G621" s="4">
        <f>IFERROR(__xludf.DUMMYFUNCTION("""COMPUTED_VALUE"""),213.0)</f>
        <v>213</v>
      </c>
      <c r="H621" s="5">
        <f>IFERROR(__xludf.DUMMYFUNCTION("""COMPUTED_VALUE"""),5778.02)</f>
        <v>5778.02</v>
      </c>
      <c r="I621" s="5">
        <f>IFERROR(__xludf.DUMMYFUNCTION("""COMPUTED_VALUE"""),9994.98)</f>
        <v>9994.98</v>
      </c>
      <c r="J621" s="5">
        <f>IFERROR(__xludf.DUMMYFUNCTION("""COMPUTED_VALUE"""),4413.86)</f>
        <v>4413.86</v>
      </c>
      <c r="K621" s="5">
        <f>IFERROR(__xludf.DUMMYFUNCTION("""COMPUTED_VALUE"""),6617.06)</f>
        <v>6617.06</v>
      </c>
      <c r="L621" s="4">
        <f>IFERROR(__xludf.DUMMYFUNCTION("""COMPUTED_VALUE"""),19.0)</f>
        <v>19</v>
      </c>
      <c r="M621" s="4">
        <f>IFERROR(__xludf.DUMMYFUNCTION("""COMPUTED_VALUE"""),56.0)</f>
        <v>56</v>
      </c>
      <c r="N621" s="2" t="str">
        <f>IFERROR(__xludf.DUMMYFUNCTION("""COMPUTED_VALUE"""),"FALSO")</f>
        <v>FALSO</v>
      </c>
    </row>
    <row r="622">
      <c r="A622" s="2">
        <f>IFERROR(__xludf.DUMMYFUNCTION("""COMPUTED_VALUE"""),621.0)</f>
        <v>621</v>
      </c>
      <c r="B622" s="2" t="str">
        <f>IFERROR(__xludf.DUMMYFUNCTION("""COMPUTED_VALUE"""),"Michaela Lowdwell")</f>
        <v>Michaela Lowdwell</v>
      </c>
      <c r="C622" s="2" t="str">
        <f>IFERROR(__xludf.DUMMYFUNCTION("""COMPUTED_VALUE"""),"mlowdwellh9@google.nl")</f>
        <v>mlowdwellh9@google.nl</v>
      </c>
      <c r="D622" s="4">
        <f>IFERROR(__xludf.DUMMYFUNCTION("""COMPUTED_VALUE"""),29.0)</f>
        <v>29</v>
      </c>
      <c r="E622" s="4">
        <f>IFERROR(__xludf.DUMMYFUNCTION("""COMPUTED_VALUE"""),107.0)</f>
        <v>107</v>
      </c>
      <c r="F622" s="4">
        <f>IFERROR(__xludf.DUMMYFUNCTION("""COMPUTED_VALUE"""),5.0)</f>
        <v>5</v>
      </c>
      <c r="G622" s="4">
        <f>IFERROR(__xludf.DUMMYFUNCTION("""COMPUTED_VALUE"""),1426.0)</f>
        <v>1426</v>
      </c>
      <c r="H622" s="5">
        <f>IFERROR(__xludf.DUMMYFUNCTION("""COMPUTED_VALUE"""),844.64)</f>
        <v>844.64</v>
      </c>
      <c r="I622" s="5">
        <f>IFERROR(__xludf.DUMMYFUNCTION("""COMPUTED_VALUE"""),2302.99)</f>
        <v>2302.99</v>
      </c>
      <c r="J622" s="5">
        <f>IFERROR(__xludf.DUMMYFUNCTION("""COMPUTED_VALUE"""),9403.56)</f>
        <v>9403.56</v>
      </c>
      <c r="K622" s="5">
        <f>IFERROR(__xludf.DUMMYFUNCTION("""COMPUTED_VALUE"""),2157.57)</f>
        <v>2157.57</v>
      </c>
      <c r="L622" s="4">
        <f>IFERROR(__xludf.DUMMYFUNCTION("""COMPUTED_VALUE"""),15.0)</f>
        <v>15</v>
      </c>
      <c r="M622" s="4">
        <f>IFERROR(__xludf.DUMMYFUNCTION("""COMPUTED_VALUE"""),95.0)</f>
        <v>95</v>
      </c>
      <c r="N622" s="2" t="str">
        <f>IFERROR(__xludf.DUMMYFUNCTION("""COMPUTED_VALUE"""),"VERDADERO")</f>
        <v>VERDADERO</v>
      </c>
    </row>
    <row r="623">
      <c r="A623" s="2">
        <f>IFERROR(__xludf.DUMMYFUNCTION("""COMPUTED_VALUE"""),622.0)</f>
        <v>622</v>
      </c>
      <c r="B623" s="2" t="str">
        <f>IFERROR(__xludf.DUMMYFUNCTION("""COMPUTED_VALUE"""),"Olivie Deave")</f>
        <v>Olivie Deave</v>
      </c>
      <c r="C623" s="2" t="str">
        <f>IFERROR(__xludf.DUMMYFUNCTION("""COMPUTED_VALUE"""),"odeaveha@github.io")</f>
        <v>odeaveha@github.io</v>
      </c>
      <c r="D623" s="4">
        <f>IFERROR(__xludf.DUMMYFUNCTION("""COMPUTED_VALUE"""),139.0)</f>
        <v>139</v>
      </c>
      <c r="E623" s="4">
        <f>IFERROR(__xludf.DUMMYFUNCTION("""COMPUTED_VALUE"""),81.0)</f>
        <v>81</v>
      </c>
      <c r="F623" s="4">
        <f>IFERROR(__xludf.DUMMYFUNCTION("""COMPUTED_VALUE"""),2.0)</f>
        <v>2</v>
      </c>
      <c r="G623" s="4">
        <f>IFERROR(__xludf.DUMMYFUNCTION("""COMPUTED_VALUE"""),1551.0)</f>
        <v>1551</v>
      </c>
      <c r="H623" s="5">
        <f>IFERROR(__xludf.DUMMYFUNCTION("""COMPUTED_VALUE"""),9428.17)</f>
        <v>9428.17</v>
      </c>
      <c r="I623" s="5">
        <f>IFERROR(__xludf.DUMMYFUNCTION("""COMPUTED_VALUE"""),3168.63)</f>
        <v>3168.63</v>
      </c>
      <c r="J623" s="5">
        <f>IFERROR(__xludf.DUMMYFUNCTION("""COMPUTED_VALUE"""),8147.0)</f>
        <v>8147</v>
      </c>
      <c r="K623" s="5">
        <f>IFERROR(__xludf.DUMMYFUNCTION("""COMPUTED_VALUE"""),7528.34)</f>
        <v>7528.34</v>
      </c>
      <c r="L623" s="4">
        <f>IFERROR(__xludf.DUMMYFUNCTION("""COMPUTED_VALUE"""),9.0)</f>
        <v>9</v>
      </c>
      <c r="M623" s="4">
        <f>IFERROR(__xludf.DUMMYFUNCTION("""COMPUTED_VALUE"""),53.0)</f>
        <v>53</v>
      </c>
      <c r="N623" s="2" t="str">
        <f>IFERROR(__xludf.DUMMYFUNCTION("""COMPUTED_VALUE"""),"FALSO")</f>
        <v>FALSO</v>
      </c>
    </row>
    <row r="624">
      <c r="A624" s="2">
        <f>IFERROR(__xludf.DUMMYFUNCTION("""COMPUTED_VALUE"""),623.0)</f>
        <v>623</v>
      </c>
      <c r="B624" s="2" t="str">
        <f>IFERROR(__xludf.DUMMYFUNCTION("""COMPUTED_VALUE"""),"Bobina Rustadge")</f>
        <v>Bobina Rustadge</v>
      </c>
      <c r="C624" s="2" t="str">
        <f>IFERROR(__xludf.DUMMYFUNCTION("""COMPUTED_VALUE"""),"brustadgehb@arizona.edu")</f>
        <v>brustadgehb@arizona.edu</v>
      </c>
      <c r="D624" s="4">
        <f>IFERROR(__xludf.DUMMYFUNCTION("""COMPUTED_VALUE"""),48.0)</f>
        <v>48</v>
      </c>
      <c r="E624" s="4">
        <f>IFERROR(__xludf.DUMMYFUNCTION("""COMPUTED_VALUE"""),81.0)</f>
        <v>81</v>
      </c>
      <c r="F624" s="4">
        <f>IFERROR(__xludf.DUMMYFUNCTION("""COMPUTED_VALUE"""),2.0)</f>
        <v>2</v>
      </c>
      <c r="G624" s="4">
        <f>IFERROR(__xludf.DUMMYFUNCTION("""COMPUTED_VALUE"""),999.0)</f>
        <v>999</v>
      </c>
      <c r="H624" s="5">
        <f>IFERROR(__xludf.DUMMYFUNCTION("""COMPUTED_VALUE"""),8670.85)</f>
        <v>8670.85</v>
      </c>
      <c r="I624" s="5">
        <f>IFERROR(__xludf.DUMMYFUNCTION("""COMPUTED_VALUE"""),3339.36)</f>
        <v>3339.36</v>
      </c>
      <c r="J624" s="5">
        <f>IFERROR(__xludf.DUMMYFUNCTION("""COMPUTED_VALUE"""),7560.86)</f>
        <v>7560.86</v>
      </c>
      <c r="K624" s="5">
        <f>IFERROR(__xludf.DUMMYFUNCTION("""COMPUTED_VALUE"""),3400.72)</f>
        <v>3400.72</v>
      </c>
      <c r="L624" s="4">
        <f>IFERROR(__xludf.DUMMYFUNCTION("""COMPUTED_VALUE"""),8.0)</f>
        <v>8</v>
      </c>
      <c r="M624" s="4">
        <f>IFERROR(__xludf.DUMMYFUNCTION("""COMPUTED_VALUE"""),15.0)</f>
        <v>15</v>
      </c>
      <c r="N624" s="2" t="str">
        <f>IFERROR(__xludf.DUMMYFUNCTION("""COMPUTED_VALUE"""),"FALSO")</f>
        <v>FALSO</v>
      </c>
    </row>
    <row r="625">
      <c r="A625" s="2">
        <f>IFERROR(__xludf.DUMMYFUNCTION("""COMPUTED_VALUE"""),624.0)</f>
        <v>624</v>
      </c>
      <c r="B625" s="2" t="str">
        <f>IFERROR(__xludf.DUMMYFUNCTION("""COMPUTED_VALUE"""),"Skippie Acres")</f>
        <v>Skippie Acres</v>
      </c>
      <c r="C625" s="2" t="str">
        <f>IFERROR(__xludf.DUMMYFUNCTION("""COMPUTED_VALUE"""),"sacreshc@dedecms.com")</f>
        <v>sacreshc@dedecms.com</v>
      </c>
      <c r="D625" s="4">
        <f>IFERROR(__xludf.DUMMYFUNCTION("""COMPUTED_VALUE"""),66.0)</f>
        <v>66</v>
      </c>
      <c r="E625" s="4">
        <f>IFERROR(__xludf.DUMMYFUNCTION("""COMPUTED_VALUE"""),21.0)</f>
        <v>21</v>
      </c>
      <c r="F625" s="4">
        <f>IFERROR(__xludf.DUMMYFUNCTION("""COMPUTED_VALUE"""),4.0)</f>
        <v>4</v>
      </c>
      <c r="G625" s="4">
        <f>IFERROR(__xludf.DUMMYFUNCTION("""COMPUTED_VALUE"""),1492.0)</f>
        <v>1492</v>
      </c>
      <c r="H625" s="5">
        <f>IFERROR(__xludf.DUMMYFUNCTION("""COMPUTED_VALUE"""),2878.43)</f>
        <v>2878.43</v>
      </c>
      <c r="I625" s="5">
        <f>IFERROR(__xludf.DUMMYFUNCTION("""COMPUTED_VALUE"""),8079.23)</f>
        <v>8079.23</v>
      </c>
      <c r="J625" s="5">
        <f>IFERROR(__xludf.DUMMYFUNCTION("""COMPUTED_VALUE"""),5702.7)</f>
        <v>5702.7</v>
      </c>
      <c r="K625" s="5">
        <f>IFERROR(__xludf.DUMMYFUNCTION("""COMPUTED_VALUE"""),8755.57)</f>
        <v>8755.57</v>
      </c>
      <c r="L625" s="4">
        <f>IFERROR(__xludf.DUMMYFUNCTION("""COMPUTED_VALUE"""),20.0)</f>
        <v>20</v>
      </c>
      <c r="M625" s="4">
        <f>IFERROR(__xludf.DUMMYFUNCTION("""COMPUTED_VALUE"""),61.0)</f>
        <v>61</v>
      </c>
      <c r="N625" s="2" t="str">
        <f>IFERROR(__xludf.DUMMYFUNCTION("""COMPUTED_VALUE"""),"FALSO")</f>
        <v>FALSO</v>
      </c>
    </row>
    <row r="626">
      <c r="A626" s="2">
        <f>IFERROR(__xludf.DUMMYFUNCTION("""COMPUTED_VALUE"""),625.0)</f>
        <v>625</v>
      </c>
      <c r="B626" s="2" t="str">
        <f>IFERROR(__xludf.DUMMYFUNCTION("""COMPUTED_VALUE"""),"Frederica Gheerhaert")</f>
        <v>Frederica Gheerhaert</v>
      </c>
      <c r="C626" s="2" t="str">
        <f>IFERROR(__xludf.DUMMYFUNCTION("""COMPUTED_VALUE"""),"fgheerhaerthd@i2i.jp")</f>
        <v>fgheerhaerthd@i2i.jp</v>
      </c>
      <c r="D626" s="4">
        <f>IFERROR(__xludf.DUMMYFUNCTION("""COMPUTED_VALUE"""),29.0)</f>
        <v>29</v>
      </c>
      <c r="E626" s="4">
        <f>IFERROR(__xludf.DUMMYFUNCTION("""COMPUTED_VALUE"""),38.0)</f>
        <v>38</v>
      </c>
      <c r="F626" s="4">
        <f>IFERROR(__xludf.DUMMYFUNCTION("""COMPUTED_VALUE"""),4.0)</f>
        <v>4</v>
      </c>
      <c r="G626" s="4">
        <f>IFERROR(__xludf.DUMMYFUNCTION("""COMPUTED_VALUE"""),319.0)</f>
        <v>319</v>
      </c>
      <c r="H626" s="5">
        <f>IFERROR(__xludf.DUMMYFUNCTION("""COMPUTED_VALUE"""),8201.92)</f>
        <v>8201.92</v>
      </c>
      <c r="I626" s="5">
        <f>IFERROR(__xludf.DUMMYFUNCTION("""COMPUTED_VALUE"""),4826.25)</f>
        <v>4826.25</v>
      </c>
      <c r="J626" s="5">
        <f>IFERROR(__xludf.DUMMYFUNCTION("""COMPUTED_VALUE"""),3877.15)</f>
        <v>3877.15</v>
      </c>
      <c r="K626" s="5">
        <f>IFERROR(__xludf.DUMMYFUNCTION("""COMPUTED_VALUE"""),6543.2)</f>
        <v>6543.2</v>
      </c>
      <c r="L626" s="4">
        <f>IFERROR(__xludf.DUMMYFUNCTION("""COMPUTED_VALUE"""),15.0)</f>
        <v>15</v>
      </c>
      <c r="M626" s="4">
        <f>IFERROR(__xludf.DUMMYFUNCTION("""COMPUTED_VALUE"""),92.0)</f>
        <v>92</v>
      </c>
      <c r="N626" s="2" t="str">
        <f>IFERROR(__xludf.DUMMYFUNCTION("""COMPUTED_VALUE"""),"FALSO")</f>
        <v>FALSO</v>
      </c>
    </row>
    <row r="627">
      <c r="A627" s="2">
        <f>IFERROR(__xludf.DUMMYFUNCTION("""COMPUTED_VALUE"""),626.0)</f>
        <v>626</v>
      </c>
      <c r="B627" s="2" t="str">
        <f>IFERROR(__xludf.DUMMYFUNCTION("""COMPUTED_VALUE"""),"Liz Waudby")</f>
        <v>Liz Waudby</v>
      </c>
      <c r="C627" s="2" t="str">
        <f>IFERROR(__xludf.DUMMYFUNCTION("""COMPUTED_VALUE"""),"lwaudbyhe@arizona.edu")</f>
        <v>lwaudbyhe@arizona.edu</v>
      </c>
      <c r="D627" s="4">
        <f>IFERROR(__xludf.DUMMYFUNCTION("""COMPUTED_VALUE"""),29.0)</f>
        <v>29</v>
      </c>
      <c r="E627" s="4">
        <f>IFERROR(__xludf.DUMMYFUNCTION("""COMPUTED_VALUE"""),81.0)</f>
        <v>81</v>
      </c>
      <c r="F627" s="4">
        <f>IFERROR(__xludf.DUMMYFUNCTION("""COMPUTED_VALUE"""),2.0)</f>
        <v>2</v>
      </c>
      <c r="G627" s="4">
        <f>IFERROR(__xludf.DUMMYFUNCTION("""COMPUTED_VALUE"""),622.0)</f>
        <v>622</v>
      </c>
      <c r="H627" s="5">
        <f>IFERROR(__xludf.DUMMYFUNCTION("""COMPUTED_VALUE"""),5243.21)</f>
        <v>5243.21</v>
      </c>
      <c r="I627" s="5">
        <f>IFERROR(__xludf.DUMMYFUNCTION("""COMPUTED_VALUE"""),3366.97)</f>
        <v>3366.97</v>
      </c>
      <c r="J627" s="5">
        <f>IFERROR(__xludf.DUMMYFUNCTION("""COMPUTED_VALUE"""),3779.24)</f>
        <v>3779.24</v>
      </c>
      <c r="K627" s="5">
        <f>IFERROR(__xludf.DUMMYFUNCTION("""COMPUTED_VALUE"""),1338.93)</f>
        <v>1338.93</v>
      </c>
      <c r="L627" s="4">
        <f>IFERROR(__xludf.DUMMYFUNCTION("""COMPUTED_VALUE"""),20.0)</f>
        <v>20</v>
      </c>
      <c r="M627" s="4">
        <f>IFERROR(__xludf.DUMMYFUNCTION("""COMPUTED_VALUE"""),96.0)</f>
        <v>96</v>
      </c>
      <c r="N627" s="2" t="str">
        <f>IFERROR(__xludf.DUMMYFUNCTION("""COMPUTED_VALUE"""),"FALSO")</f>
        <v>FALSO</v>
      </c>
    </row>
    <row r="628">
      <c r="A628" s="2">
        <f>IFERROR(__xludf.DUMMYFUNCTION("""COMPUTED_VALUE"""),627.0)</f>
        <v>627</v>
      </c>
      <c r="B628" s="2" t="str">
        <f>IFERROR(__xludf.DUMMYFUNCTION("""COMPUTED_VALUE"""),"Sharleen Mercy")</f>
        <v>Sharleen Mercy</v>
      </c>
      <c r="C628" s="2" t="str">
        <f>IFERROR(__xludf.DUMMYFUNCTION("""COMPUTED_VALUE"""),"smercyhf@list-manage.com")</f>
        <v>smercyhf@list-manage.com</v>
      </c>
      <c r="D628" s="4">
        <f>IFERROR(__xludf.DUMMYFUNCTION("""COMPUTED_VALUE"""),140.0)</f>
        <v>140</v>
      </c>
      <c r="E628" s="4">
        <f>IFERROR(__xludf.DUMMYFUNCTION("""COMPUTED_VALUE"""),120.0)</f>
        <v>120</v>
      </c>
      <c r="F628" s="4">
        <f>IFERROR(__xludf.DUMMYFUNCTION("""COMPUTED_VALUE"""),5.0)</f>
        <v>5</v>
      </c>
      <c r="G628" s="4">
        <f>IFERROR(__xludf.DUMMYFUNCTION("""COMPUTED_VALUE"""),449.0)</f>
        <v>449</v>
      </c>
      <c r="H628" s="5">
        <f>IFERROR(__xludf.DUMMYFUNCTION("""COMPUTED_VALUE"""),7734.69)</f>
        <v>7734.69</v>
      </c>
      <c r="I628" s="5">
        <f>IFERROR(__xludf.DUMMYFUNCTION("""COMPUTED_VALUE"""),7174.56)</f>
        <v>7174.56</v>
      </c>
      <c r="J628" s="5">
        <f>IFERROR(__xludf.DUMMYFUNCTION("""COMPUTED_VALUE"""),8294.19)</f>
        <v>8294.19</v>
      </c>
      <c r="K628" s="5">
        <f>IFERROR(__xludf.DUMMYFUNCTION("""COMPUTED_VALUE"""),7489.56)</f>
        <v>7489.56</v>
      </c>
      <c r="L628" s="4">
        <f>IFERROR(__xludf.DUMMYFUNCTION("""COMPUTED_VALUE"""),4.0)</f>
        <v>4</v>
      </c>
      <c r="M628" s="4">
        <f>IFERROR(__xludf.DUMMYFUNCTION("""COMPUTED_VALUE"""),7.0)</f>
        <v>7</v>
      </c>
      <c r="N628" s="2" t="str">
        <f>IFERROR(__xludf.DUMMYFUNCTION("""COMPUTED_VALUE"""),"FALSO")</f>
        <v>FALSO</v>
      </c>
    </row>
    <row r="629">
      <c r="A629" s="2">
        <f>IFERROR(__xludf.DUMMYFUNCTION("""COMPUTED_VALUE"""),628.0)</f>
        <v>628</v>
      </c>
      <c r="B629" s="2" t="str">
        <f>IFERROR(__xludf.DUMMYFUNCTION("""COMPUTED_VALUE"""),"Valentine McNeill")</f>
        <v>Valentine McNeill</v>
      </c>
      <c r="C629" s="2" t="str">
        <f>IFERROR(__xludf.DUMMYFUNCTION("""COMPUTED_VALUE"""),"vmcneillhg@pcworld.com")</f>
        <v>vmcneillhg@pcworld.com</v>
      </c>
      <c r="D629" s="4">
        <f>IFERROR(__xludf.DUMMYFUNCTION("""COMPUTED_VALUE"""),122.0)</f>
        <v>122</v>
      </c>
      <c r="E629" s="4">
        <f>IFERROR(__xludf.DUMMYFUNCTION("""COMPUTED_VALUE"""),112.0)</f>
        <v>112</v>
      </c>
      <c r="F629" s="4">
        <f>IFERROR(__xludf.DUMMYFUNCTION("""COMPUTED_VALUE"""),11.0)</f>
        <v>11</v>
      </c>
      <c r="G629" s="4">
        <f>IFERROR(__xludf.DUMMYFUNCTION("""COMPUTED_VALUE"""),88.0)</f>
        <v>88</v>
      </c>
      <c r="H629" s="5">
        <f>IFERROR(__xludf.DUMMYFUNCTION("""COMPUTED_VALUE"""),6813.66)</f>
        <v>6813.66</v>
      </c>
      <c r="I629" s="5">
        <f>IFERROR(__xludf.DUMMYFUNCTION("""COMPUTED_VALUE"""),3028.7)</f>
        <v>3028.7</v>
      </c>
      <c r="J629" s="5">
        <f>IFERROR(__xludf.DUMMYFUNCTION("""COMPUTED_VALUE"""),6589.61)</f>
        <v>6589.61</v>
      </c>
      <c r="K629" s="5">
        <f>IFERROR(__xludf.DUMMYFUNCTION("""COMPUTED_VALUE"""),4851.22)</f>
        <v>4851.22</v>
      </c>
      <c r="L629" s="4">
        <f>IFERROR(__xludf.DUMMYFUNCTION("""COMPUTED_VALUE"""),17.0)</f>
        <v>17</v>
      </c>
      <c r="M629" s="4">
        <f>IFERROR(__xludf.DUMMYFUNCTION("""COMPUTED_VALUE"""),40.0)</f>
        <v>40</v>
      </c>
      <c r="N629" s="2" t="str">
        <f>IFERROR(__xludf.DUMMYFUNCTION("""COMPUTED_VALUE"""),"VERDADERO")</f>
        <v>VERDADERO</v>
      </c>
    </row>
    <row r="630">
      <c r="A630" s="2">
        <f>IFERROR(__xludf.DUMMYFUNCTION("""COMPUTED_VALUE"""),629.0)</f>
        <v>629</v>
      </c>
      <c r="B630" s="2" t="str">
        <f>IFERROR(__xludf.DUMMYFUNCTION("""COMPUTED_VALUE"""),"Kyrstin Isselee")</f>
        <v>Kyrstin Isselee</v>
      </c>
      <c r="C630" s="2" t="str">
        <f>IFERROR(__xludf.DUMMYFUNCTION("""COMPUTED_VALUE"""),"kisseleehh@redcross.org")</f>
        <v>kisseleehh@redcross.org</v>
      </c>
      <c r="D630" s="4">
        <f>IFERROR(__xludf.DUMMYFUNCTION("""COMPUTED_VALUE"""),49.0)</f>
        <v>49</v>
      </c>
      <c r="E630" s="4">
        <f>IFERROR(__xludf.DUMMYFUNCTION("""COMPUTED_VALUE"""),25.0)</f>
        <v>25</v>
      </c>
      <c r="F630" s="4">
        <f>IFERROR(__xludf.DUMMYFUNCTION("""COMPUTED_VALUE"""),4.0)</f>
        <v>4</v>
      </c>
      <c r="G630" s="4">
        <f>IFERROR(__xludf.DUMMYFUNCTION("""COMPUTED_VALUE"""),1236.0)</f>
        <v>1236</v>
      </c>
      <c r="H630" s="5">
        <f>IFERROR(__xludf.DUMMYFUNCTION("""COMPUTED_VALUE"""),3005.89)</f>
        <v>3005.89</v>
      </c>
      <c r="I630" s="5">
        <f>IFERROR(__xludf.DUMMYFUNCTION("""COMPUTED_VALUE"""),666.44)</f>
        <v>666.44</v>
      </c>
      <c r="J630" s="5">
        <f>IFERROR(__xludf.DUMMYFUNCTION("""COMPUTED_VALUE"""),5145.05)</f>
        <v>5145.05</v>
      </c>
      <c r="K630" s="5">
        <f>IFERROR(__xludf.DUMMYFUNCTION("""COMPUTED_VALUE"""),5919.59)</f>
        <v>5919.59</v>
      </c>
      <c r="L630" s="4">
        <f>IFERROR(__xludf.DUMMYFUNCTION("""COMPUTED_VALUE"""),15.0)</f>
        <v>15</v>
      </c>
      <c r="M630" s="4">
        <f>IFERROR(__xludf.DUMMYFUNCTION("""COMPUTED_VALUE"""),49.0)</f>
        <v>49</v>
      </c>
      <c r="N630" s="2" t="str">
        <f>IFERROR(__xludf.DUMMYFUNCTION("""COMPUTED_VALUE"""),"VERDADERO")</f>
        <v>VERDADERO</v>
      </c>
    </row>
    <row r="631">
      <c r="A631" s="2">
        <f>IFERROR(__xludf.DUMMYFUNCTION("""COMPUTED_VALUE"""),630.0)</f>
        <v>630</v>
      </c>
      <c r="B631" s="2" t="str">
        <f>IFERROR(__xludf.DUMMYFUNCTION("""COMPUTED_VALUE"""),"Temple Durkin")</f>
        <v>Temple Durkin</v>
      </c>
      <c r="C631" s="2" t="str">
        <f>IFERROR(__xludf.DUMMYFUNCTION("""COMPUTED_VALUE"""),"tdurkinhi@wired.com")</f>
        <v>tdurkinhi@wired.com</v>
      </c>
      <c r="D631" s="4">
        <f>IFERROR(__xludf.DUMMYFUNCTION("""COMPUTED_VALUE"""),2.0)</f>
        <v>2</v>
      </c>
      <c r="E631" s="4">
        <f>IFERROR(__xludf.DUMMYFUNCTION("""COMPUTED_VALUE"""),99.0)</f>
        <v>99</v>
      </c>
      <c r="F631" s="4">
        <f>IFERROR(__xludf.DUMMYFUNCTION("""COMPUTED_VALUE"""),1.0)</f>
        <v>1</v>
      </c>
      <c r="G631" s="4">
        <f>IFERROR(__xludf.DUMMYFUNCTION("""COMPUTED_VALUE"""),156.0)</f>
        <v>156</v>
      </c>
      <c r="H631" s="5">
        <f>IFERROR(__xludf.DUMMYFUNCTION("""COMPUTED_VALUE"""),3826.48)</f>
        <v>3826.48</v>
      </c>
      <c r="I631" s="5">
        <f>IFERROR(__xludf.DUMMYFUNCTION("""COMPUTED_VALUE"""),3179.73)</f>
        <v>3179.73</v>
      </c>
      <c r="J631" s="5">
        <f>IFERROR(__xludf.DUMMYFUNCTION("""COMPUTED_VALUE"""),4836.36)</f>
        <v>4836.36</v>
      </c>
      <c r="K631" s="5">
        <f>IFERROR(__xludf.DUMMYFUNCTION("""COMPUTED_VALUE"""),669.34)</f>
        <v>669.34</v>
      </c>
      <c r="L631" s="4">
        <f>IFERROR(__xludf.DUMMYFUNCTION("""COMPUTED_VALUE"""),13.0)</f>
        <v>13</v>
      </c>
      <c r="M631" s="4">
        <f>IFERROR(__xludf.DUMMYFUNCTION("""COMPUTED_VALUE"""),14.0)</f>
        <v>14</v>
      </c>
      <c r="N631" s="2" t="str">
        <f>IFERROR(__xludf.DUMMYFUNCTION("""COMPUTED_VALUE"""),"FALSO")</f>
        <v>FALSO</v>
      </c>
    </row>
    <row r="632">
      <c r="A632" s="2">
        <f>IFERROR(__xludf.DUMMYFUNCTION("""COMPUTED_VALUE"""),631.0)</f>
        <v>631</v>
      </c>
      <c r="B632" s="2" t="str">
        <f>IFERROR(__xludf.DUMMYFUNCTION("""COMPUTED_VALUE"""),"Gianna Wudeland")</f>
        <v>Gianna Wudeland</v>
      </c>
      <c r="C632" s="2" t="str">
        <f>IFERROR(__xludf.DUMMYFUNCTION("""COMPUTED_VALUE"""),"gwudelandhj@google.it")</f>
        <v>gwudelandhj@google.it</v>
      </c>
      <c r="D632" s="4">
        <f>IFERROR(__xludf.DUMMYFUNCTION("""COMPUTED_VALUE"""),120.0)</f>
        <v>120</v>
      </c>
      <c r="E632" s="4">
        <f>IFERROR(__xludf.DUMMYFUNCTION("""COMPUTED_VALUE"""),81.0)</f>
        <v>81</v>
      </c>
      <c r="F632" s="4">
        <f>IFERROR(__xludf.DUMMYFUNCTION("""COMPUTED_VALUE"""),2.0)</f>
        <v>2</v>
      </c>
      <c r="G632" s="4">
        <f>IFERROR(__xludf.DUMMYFUNCTION("""COMPUTED_VALUE"""),773.0)</f>
        <v>773</v>
      </c>
      <c r="H632" s="5">
        <f>IFERROR(__xludf.DUMMYFUNCTION("""COMPUTED_VALUE"""),4343.04)</f>
        <v>4343.04</v>
      </c>
      <c r="I632" s="5">
        <f>IFERROR(__xludf.DUMMYFUNCTION("""COMPUTED_VALUE"""),3058.63)</f>
        <v>3058.63</v>
      </c>
      <c r="J632" s="5">
        <f>IFERROR(__xludf.DUMMYFUNCTION("""COMPUTED_VALUE"""),827.72)</f>
        <v>827.72</v>
      </c>
      <c r="K632" s="5">
        <f>IFERROR(__xludf.DUMMYFUNCTION("""COMPUTED_VALUE"""),9550.72)</f>
        <v>9550.72</v>
      </c>
      <c r="L632" s="4">
        <f>IFERROR(__xludf.DUMMYFUNCTION("""COMPUTED_VALUE"""),10.0)</f>
        <v>10</v>
      </c>
      <c r="M632" s="4">
        <f>IFERROR(__xludf.DUMMYFUNCTION("""COMPUTED_VALUE"""),2.0)</f>
        <v>2</v>
      </c>
      <c r="N632" s="2" t="str">
        <f>IFERROR(__xludf.DUMMYFUNCTION("""COMPUTED_VALUE"""),"FALSO")</f>
        <v>FALSO</v>
      </c>
    </row>
    <row r="633">
      <c r="A633" s="2">
        <f>IFERROR(__xludf.DUMMYFUNCTION("""COMPUTED_VALUE"""),632.0)</f>
        <v>632</v>
      </c>
      <c r="B633" s="2" t="str">
        <f>IFERROR(__xludf.DUMMYFUNCTION("""COMPUTED_VALUE"""),"Eolande Berryman")</f>
        <v>Eolande Berryman</v>
      </c>
      <c r="C633" s="2" t="str">
        <f>IFERROR(__xludf.DUMMYFUNCTION("""COMPUTED_VALUE"""),"eberrymanhk@exblog.jp")</f>
        <v>eberrymanhk@exblog.jp</v>
      </c>
      <c r="D633" s="4">
        <f>IFERROR(__xludf.DUMMYFUNCTION("""COMPUTED_VALUE"""),153.0)</f>
        <v>153</v>
      </c>
      <c r="E633" s="4">
        <f>IFERROR(__xludf.DUMMYFUNCTION("""COMPUTED_VALUE"""),66.0)</f>
        <v>66</v>
      </c>
      <c r="F633" s="4">
        <f>IFERROR(__xludf.DUMMYFUNCTION("""COMPUTED_VALUE"""),6.0)</f>
        <v>6</v>
      </c>
      <c r="G633" s="4">
        <f>IFERROR(__xludf.DUMMYFUNCTION("""COMPUTED_VALUE"""),1501.0)</f>
        <v>1501</v>
      </c>
      <c r="H633" s="5">
        <f>IFERROR(__xludf.DUMMYFUNCTION("""COMPUTED_VALUE"""),3133.11)</f>
        <v>3133.11</v>
      </c>
      <c r="I633" s="5">
        <f>IFERROR(__xludf.DUMMYFUNCTION("""COMPUTED_VALUE"""),4767.79)</f>
        <v>4767.79</v>
      </c>
      <c r="J633" s="5">
        <f>IFERROR(__xludf.DUMMYFUNCTION("""COMPUTED_VALUE"""),3528.74)</f>
        <v>3528.74</v>
      </c>
      <c r="K633" s="5">
        <f>IFERROR(__xludf.DUMMYFUNCTION("""COMPUTED_VALUE"""),1311.62)</f>
        <v>1311.62</v>
      </c>
      <c r="L633" s="4">
        <f>IFERROR(__xludf.DUMMYFUNCTION("""COMPUTED_VALUE"""),10.0)</f>
        <v>10</v>
      </c>
      <c r="M633" s="4">
        <f>IFERROR(__xludf.DUMMYFUNCTION("""COMPUTED_VALUE"""),54.0)</f>
        <v>54</v>
      </c>
      <c r="N633" s="2" t="str">
        <f>IFERROR(__xludf.DUMMYFUNCTION("""COMPUTED_VALUE"""),"FALSO")</f>
        <v>FALSO</v>
      </c>
    </row>
    <row r="634">
      <c r="A634" s="2">
        <f>IFERROR(__xludf.DUMMYFUNCTION("""COMPUTED_VALUE"""),633.0)</f>
        <v>633</v>
      </c>
      <c r="B634" s="2" t="str">
        <f>IFERROR(__xludf.DUMMYFUNCTION("""COMPUTED_VALUE"""),"Mathilda Kavanagh")</f>
        <v>Mathilda Kavanagh</v>
      </c>
      <c r="C634" s="2" t="str">
        <f>IFERROR(__xludf.DUMMYFUNCTION("""COMPUTED_VALUE"""),"mkavanaghhl@tripadvisor.com")</f>
        <v>mkavanaghhl@tripadvisor.com</v>
      </c>
      <c r="D634" s="4">
        <f>IFERROR(__xludf.DUMMYFUNCTION("""COMPUTED_VALUE"""),24.0)</f>
        <v>24</v>
      </c>
      <c r="E634" s="4">
        <f>IFERROR(__xludf.DUMMYFUNCTION("""COMPUTED_VALUE"""),81.0)</f>
        <v>81</v>
      </c>
      <c r="F634" s="4">
        <f>IFERROR(__xludf.DUMMYFUNCTION("""COMPUTED_VALUE"""),2.0)</f>
        <v>2</v>
      </c>
      <c r="G634" s="4">
        <f>IFERROR(__xludf.DUMMYFUNCTION("""COMPUTED_VALUE"""),1503.0)</f>
        <v>1503</v>
      </c>
      <c r="H634" s="5">
        <f>IFERROR(__xludf.DUMMYFUNCTION("""COMPUTED_VALUE"""),4448.85)</f>
        <v>4448.85</v>
      </c>
      <c r="I634" s="5">
        <f>IFERROR(__xludf.DUMMYFUNCTION("""COMPUTED_VALUE"""),4438.53)</f>
        <v>4438.53</v>
      </c>
      <c r="J634" s="5">
        <f>IFERROR(__xludf.DUMMYFUNCTION("""COMPUTED_VALUE"""),1103.01)</f>
        <v>1103.01</v>
      </c>
      <c r="K634" s="5">
        <f>IFERROR(__xludf.DUMMYFUNCTION("""COMPUTED_VALUE"""),8682.73)</f>
        <v>8682.73</v>
      </c>
      <c r="L634" s="4">
        <f>IFERROR(__xludf.DUMMYFUNCTION("""COMPUTED_VALUE"""),3.0)</f>
        <v>3</v>
      </c>
      <c r="M634" s="4">
        <f>IFERROR(__xludf.DUMMYFUNCTION("""COMPUTED_VALUE"""),7.0)</f>
        <v>7</v>
      </c>
      <c r="N634" s="2" t="str">
        <f>IFERROR(__xludf.DUMMYFUNCTION("""COMPUTED_VALUE"""),"FALSO")</f>
        <v>FALSO</v>
      </c>
    </row>
    <row r="635">
      <c r="A635" s="2">
        <f>IFERROR(__xludf.DUMMYFUNCTION("""COMPUTED_VALUE"""),634.0)</f>
        <v>634</v>
      </c>
      <c r="B635" s="2" t="str">
        <f>IFERROR(__xludf.DUMMYFUNCTION("""COMPUTED_VALUE"""),"Rayna Butfield")</f>
        <v>Rayna Butfield</v>
      </c>
      <c r="C635" s="2" t="str">
        <f>IFERROR(__xludf.DUMMYFUNCTION("""COMPUTED_VALUE"""),"rbutfieldhm@youku.com")</f>
        <v>rbutfieldhm@youku.com</v>
      </c>
      <c r="D635" s="4">
        <f>IFERROR(__xludf.DUMMYFUNCTION("""COMPUTED_VALUE"""),29.0)</f>
        <v>29</v>
      </c>
      <c r="E635" s="4">
        <f>IFERROR(__xludf.DUMMYFUNCTION("""COMPUTED_VALUE"""),49.0)</f>
        <v>49</v>
      </c>
      <c r="F635" s="4">
        <f>IFERROR(__xludf.DUMMYFUNCTION("""COMPUTED_VALUE"""),4.0)</f>
        <v>4</v>
      </c>
      <c r="G635" s="4">
        <f>IFERROR(__xludf.DUMMYFUNCTION("""COMPUTED_VALUE"""),121.0)</f>
        <v>121</v>
      </c>
      <c r="H635" s="5">
        <f>IFERROR(__xludf.DUMMYFUNCTION("""COMPUTED_VALUE"""),8315.65)</f>
        <v>8315.65</v>
      </c>
      <c r="I635" s="5">
        <f>IFERROR(__xludf.DUMMYFUNCTION("""COMPUTED_VALUE"""),1814.92)</f>
        <v>1814.92</v>
      </c>
      <c r="J635" s="5">
        <f>IFERROR(__xludf.DUMMYFUNCTION("""COMPUTED_VALUE"""),7648.06)</f>
        <v>7648.06</v>
      </c>
      <c r="K635" s="5">
        <f>IFERROR(__xludf.DUMMYFUNCTION("""COMPUTED_VALUE"""),7787.2)</f>
        <v>7787.2</v>
      </c>
      <c r="L635" s="4">
        <f>IFERROR(__xludf.DUMMYFUNCTION("""COMPUTED_VALUE"""),12.0)</f>
        <v>12</v>
      </c>
      <c r="M635" s="4">
        <f>IFERROR(__xludf.DUMMYFUNCTION("""COMPUTED_VALUE"""),95.0)</f>
        <v>95</v>
      </c>
      <c r="N635" s="2" t="str">
        <f>IFERROR(__xludf.DUMMYFUNCTION("""COMPUTED_VALUE"""),"FALSO")</f>
        <v>FALSO</v>
      </c>
    </row>
    <row r="636">
      <c r="A636" s="2">
        <f>IFERROR(__xludf.DUMMYFUNCTION("""COMPUTED_VALUE"""),635.0)</f>
        <v>635</v>
      </c>
      <c r="B636" s="2" t="str">
        <f>IFERROR(__xludf.DUMMYFUNCTION("""COMPUTED_VALUE"""),"Reine Burry")</f>
        <v>Reine Burry</v>
      </c>
      <c r="C636" s="2" t="str">
        <f>IFERROR(__xludf.DUMMYFUNCTION("""COMPUTED_VALUE"""),"rburryhn@spotify.com")</f>
        <v>rburryhn@spotify.com</v>
      </c>
      <c r="D636" s="4">
        <f>IFERROR(__xludf.DUMMYFUNCTION("""COMPUTED_VALUE"""),29.0)</f>
        <v>29</v>
      </c>
      <c r="E636" s="4">
        <f>IFERROR(__xludf.DUMMYFUNCTION("""COMPUTED_VALUE"""),64.0)</f>
        <v>64</v>
      </c>
      <c r="F636" s="4">
        <f>IFERROR(__xludf.DUMMYFUNCTION("""COMPUTED_VALUE"""),4.0)</f>
        <v>4</v>
      </c>
      <c r="G636" s="4">
        <f>IFERROR(__xludf.DUMMYFUNCTION("""COMPUTED_VALUE"""),1282.0)</f>
        <v>1282</v>
      </c>
      <c r="H636" s="5">
        <f>IFERROR(__xludf.DUMMYFUNCTION("""COMPUTED_VALUE"""),3202.52)</f>
        <v>3202.52</v>
      </c>
      <c r="I636" s="5">
        <f>IFERROR(__xludf.DUMMYFUNCTION("""COMPUTED_VALUE"""),3222.29)</f>
        <v>3222.29</v>
      </c>
      <c r="J636" s="5">
        <f>IFERROR(__xludf.DUMMYFUNCTION("""COMPUTED_VALUE"""),7623.18)</f>
        <v>7623.18</v>
      </c>
      <c r="K636" s="5">
        <f>IFERROR(__xludf.DUMMYFUNCTION("""COMPUTED_VALUE"""),3274.33)</f>
        <v>3274.33</v>
      </c>
      <c r="L636" s="4">
        <f>IFERROR(__xludf.DUMMYFUNCTION("""COMPUTED_VALUE"""),15.0)</f>
        <v>15</v>
      </c>
      <c r="M636" s="4">
        <f>IFERROR(__xludf.DUMMYFUNCTION("""COMPUTED_VALUE"""),43.0)</f>
        <v>43</v>
      </c>
      <c r="N636" s="2" t="str">
        <f>IFERROR(__xludf.DUMMYFUNCTION("""COMPUTED_VALUE"""),"FALSO")</f>
        <v>FALSO</v>
      </c>
    </row>
    <row r="637">
      <c r="A637" s="2">
        <f>IFERROR(__xludf.DUMMYFUNCTION("""COMPUTED_VALUE"""),636.0)</f>
        <v>636</v>
      </c>
      <c r="B637" s="2" t="str">
        <f>IFERROR(__xludf.DUMMYFUNCTION("""COMPUTED_VALUE"""),"Ozzie Hawe")</f>
        <v>Ozzie Hawe</v>
      </c>
      <c r="C637" s="2" t="str">
        <f>IFERROR(__xludf.DUMMYFUNCTION("""COMPUTED_VALUE"""),"ohaweho@illinois.edu")</f>
        <v>ohaweho@illinois.edu</v>
      </c>
      <c r="D637" s="4">
        <f>IFERROR(__xludf.DUMMYFUNCTION("""COMPUTED_VALUE"""),29.0)</f>
        <v>29</v>
      </c>
      <c r="E637" s="4">
        <f>IFERROR(__xludf.DUMMYFUNCTION("""COMPUTED_VALUE"""),102.0)</f>
        <v>102</v>
      </c>
      <c r="F637" s="4">
        <f>IFERROR(__xludf.DUMMYFUNCTION("""COMPUTED_VALUE"""),4.0)</f>
        <v>4</v>
      </c>
      <c r="G637" s="4">
        <f>IFERROR(__xludf.DUMMYFUNCTION("""COMPUTED_VALUE"""),1165.0)</f>
        <v>1165</v>
      </c>
      <c r="H637" s="5">
        <f>IFERROR(__xludf.DUMMYFUNCTION("""COMPUTED_VALUE"""),9092.11)</f>
        <v>9092.11</v>
      </c>
      <c r="I637" s="5">
        <f>IFERROR(__xludf.DUMMYFUNCTION("""COMPUTED_VALUE"""),291.26)</f>
        <v>291.26</v>
      </c>
      <c r="J637" s="5">
        <f>IFERROR(__xludf.DUMMYFUNCTION("""COMPUTED_VALUE"""),1456.14)</f>
        <v>1456.14</v>
      </c>
      <c r="K637" s="5">
        <f>IFERROR(__xludf.DUMMYFUNCTION("""COMPUTED_VALUE"""),5681.16)</f>
        <v>5681.16</v>
      </c>
      <c r="L637" s="4">
        <f>IFERROR(__xludf.DUMMYFUNCTION("""COMPUTED_VALUE"""),11.0)</f>
        <v>11</v>
      </c>
      <c r="M637" s="4">
        <f>IFERROR(__xludf.DUMMYFUNCTION("""COMPUTED_VALUE"""),97.0)</f>
        <v>97</v>
      </c>
      <c r="N637" s="2" t="str">
        <f>IFERROR(__xludf.DUMMYFUNCTION("""COMPUTED_VALUE"""),"VERDADERO")</f>
        <v>VERDADERO</v>
      </c>
    </row>
    <row r="638">
      <c r="A638" s="2">
        <f>IFERROR(__xludf.DUMMYFUNCTION("""COMPUTED_VALUE"""),637.0)</f>
        <v>637</v>
      </c>
      <c r="B638" s="2" t="str">
        <f>IFERROR(__xludf.DUMMYFUNCTION("""COMPUTED_VALUE"""),"Granger Impleton")</f>
        <v>Granger Impleton</v>
      </c>
      <c r="C638" s="2" t="str">
        <f>IFERROR(__xludf.DUMMYFUNCTION("""COMPUTED_VALUE"""),"gimpletonhp@businessinsider.com")</f>
        <v>gimpletonhp@businessinsider.com</v>
      </c>
      <c r="D638" s="4">
        <f>IFERROR(__xludf.DUMMYFUNCTION("""COMPUTED_VALUE"""),124.0)</f>
        <v>124</v>
      </c>
      <c r="E638" s="4">
        <f>IFERROR(__xludf.DUMMYFUNCTION("""COMPUTED_VALUE"""),64.0)</f>
        <v>64</v>
      </c>
      <c r="F638" s="4">
        <f>IFERROR(__xludf.DUMMYFUNCTION("""COMPUTED_VALUE"""),4.0)</f>
        <v>4</v>
      </c>
      <c r="G638" s="4">
        <f>IFERROR(__xludf.DUMMYFUNCTION("""COMPUTED_VALUE"""),1082.0)</f>
        <v>1082</v>
      </c>
      <c r="H638" s="5">
        <f>IFERROR(__xludf.DUMMYFUNCTION("""COMPUTED_VALUE"""),7831.25)</f>
        <v>7831.25</v>
      </c>
      <c r="I638" s="5">
        <f>IFERROR(__xludf.DUMMYFUNCTION("""COMPUTED_VALUE"""),3454.87)</f>
        <v>3454.87</v>
      </c>
      <c r="J638" s="5">
        <f>IFERROR(__xludf.DUMMYFUNCTION("""COMPUTED_VALUE"""),4623.72)</f>
        <v>4623.72</v>
      </c>
      <c r="K638" s="5">
        <f>IFERROR(__xludf.DUMMYFUNCTION("""COMPUTED_VALUE"""),9136.54)</f>
        <v>9136.54</v>
      </c>
      <c r="L638" s="4">
        <f>IFERROR(__xludf.DUMMYFUNCTION("""COMPUTED_VALUE"""),11.0)</f>
        <v>11</v>
      </c>
      <c r="M638" s="4">
        <f>IFERROR(__xludf.DUMMYFUNCTION("""COMPUTED_VALUE"""),100.0)</f>
        <v>100</v>
      </c>
      <c r="N638" s="2" t="str">
        <f>IFERROR(__xludf.DUMMYFUNCTION("""COMPUTED_VALUE"""),"VERDADERO")</f>
        <v>VERDADERO</v>
      </c>
    </row>
    <row r="639">
      <c r="A639" s="2">
        <f>IFERROR(__xludf.DUMMYFUNCTION("""COMPUTED_VALUE"""),638.0)</f>
        <v>638</v>
      </c>
      <c r="B639" s="2" t="str">
        <f>IFERROR(__xludf.DUMMYFUNCTION("""COMPUTED_VALUE"""),"Eachelle Tinwell")</f>
        <v>Eachelle Tinwell</v>
      </c>
      <c r="C639" s="2" t="str">
        <f>IFERROR(__xludf.DUMMYFUNCTION("""COMPUTED_VALUE"""),"etinwellhq@columbia.edu")</f>
        <v>etinwellhq@columbia.edu</v>
      </c>
      <c r="D639" s="4">
        <f>IFERROR(__xludf.DUMMYFUNCTION("""COMPUTED_VALUE"""),65.0)</f>
        <v>65</v>
      </c>
      <c r="E639" s="4">
        <f>IFERROR(__xludf.DUMMYFUNCTION("""COMPUTED_VALUE"""),81.0)</f>
        <v>81</v>
      </c>
      <c r="F639" s="4">
        <f>IFERROR(__xludf.DUMMYFUNCTION("""COMPUTED_VALUE"""),2.0)</f>
        <v>2</v>
      </c>
      <c r="G639" s="4">
        <f>IFERROR(__xludf.DUMMYFUNCTION("""COMPUTED_VALUE"""),30.0)</f>
        <v>30</v>
      </c>
      <c r="H639" s="5">
        <f>IFERROR(__xludf.DUMMYFUNCTION("""COMPUTED_VALUE"""),3059.98)</f>
        <v>3059.98</v>
      </c>
      <c r="I639" s="5">
        <f>IFERROR(__xludf.DUMMYFUNCTION("""COMPUTED_VALUE"""),6374.3)</f>
        <v>6374.3</v>
      </c>
      <c r="J639" s="5">
        <f>IFERROR(__xludf.DUMMYFUNCTION("""COMPUTED_VALUE"""),4036.3)</f>
        <v>4036.3</v>
      </c>
      <c r="K639" s="5">
        <f>IFERROR(__xludf.DUMMYFUNCTION("""COMPUTED_VALUE"""),3616.67)</f>
        <v>3616.67</v>
      </c>
      <c r="L639" s="4">
        <f>IFERROR(__xludf.DUMMYFUNCTION("""COMPUTED_VALUE"""),19.0)</f>
        <v>19</v>
      </c>
      <c r="M639" s="4">
        <f>IFERROR(__xludf.DUMMYFUNCTION("""COMPUTED_VALUE"""),44.0)</f>
        <v>44</v>
      </c>
      <c r="N639" s="2" t="str">
        <f>IFERROR(__xludf.DUMMYFUNCTION("""COMPUTED_VALUE"""),"FALSO")</f>
        <v>FALSO</v>
      </c>
    </row>
    <row r="640">
      <c r="A640" s="2">
        <f>IFERROR(__xludf.DUMMYFUNCTION("""COMPUTED_VALUE"""),639.0)</f>
        <v>639</v>
      </c>
      <c r="B640" s="2" t="str">
        <f>IFERROR(__xludf.DUMMYFUNCTION("""COMPUTED_VALUE"""),"Deeann Northin")</f>
        <v>Deeann Northin</v>
      </c>
      <c r="C640" s="2" t="str">
        <f>IFERROR(__xludf.DUMMYFUNCTION("""COMPUTED_VALUE"""),"dnorthinhr@miibeian.gov.cn")</f>
        <v>dnorthinhr@miibeian.gov.cn</v>
      </c>
      <c r="D640" s="4">
        <f>IFERROR(__xludf.DUMMYFUNCTION("""COMPUTED_VALUE"""),122.0)</f>
        <v>122</v>
      </c>
      <c r="E640" s="4">
        <f>IFERROR(__xludf.DUMMYFUNCTION("""COMPUTED_VALUE"""),93.0)</f>
        <v>93</v>
      </c>
      <c r="F640" s="4">
        <f>IFERROR(__xludf.DUMMYFUNCTION("""COMPUTED_VALUE"""),7.0)</f>
        <v>7</v>
      </c>
      <c r="G640" s="4">
        <f>IFERROR(__xludf.DUMMYFUNCTION("""COMPUTED_VALUE"""),1333.0)</f>
        <v>1333</v>
      </c>
      <c r="H640" s="5">
        <f>IFERROR(__xludf.DUMMYFUNCTION("""COMPUTED_VALUE"""),4844.22)</f>
        <v>4844.22</v>
      </c>
      <c r="I640" s="5">
        <f>IFERROR(__xludf.DUMMYFUNCTION("""COMPUTED_VALUE"""),7828.85)</f>
        <v>7828.85</v>
      </c>
      <c r="J640" s="5">
        <f>IFERROR(__xludf.DUMMYFUNCTION("""COMPUTED_VALUE"""),4221.6)</f>
        <v>4221.6</v>
      </c>
      <c r="K640" s="5">
        <f>IFERROR(__xludf.DUMMYFUNCTION("""COMPUTED_VALUE"""),1023.44)</f>
        <v>1023.44</v>
      </c>
      <c r="L640" s="4">
        <f>IFERROR(__xludf.DUMMYFUNCTION("""COMPUTED_VALUE"""),14.0)</f>
        <v>14</v>
      </c>
      <c r="M640" s="4">
        <f>IFERROR(__xludf.DUMMYFUNCTION("""COMPUTED_VALUE"""),49.0)</f>
        <v>49</v>
      </c>
      <c r="N640" s="2" t="str">
        <f>IFERROR(__xludf.DUMMYFUNCTION("""COMPUTED_VALUE"""),"VERDADERO")</f>
        <v>VERDADERO</v>
      </c>
    </row>
    <row r="641">
      <c r="A641" s="2">
        <f>IFERROR(__xludf.DUMMYFUNCTION("""COMPUTED_VALUE"""),640.0)</f>
        <v>640</v>
      </c>
      <c r="B641" s="2" t="str">
        <f>IFERROR(__xludf.DUMMYFUNCTION("""COMPUTED_VALUE"""),"Drugi Bonevant")</f>
        <v>Drugi Bonevant</v>
      </c>
      <c r="C641" s="2" t="str">
        <f>IFERROR(__xludf.DUMMYFUNCTION("""COMPUTED_VALUE"""),"dbonevanths@typepad.com")</f>
        <v>dbonevanths@typepad.com</v>
      </c>
      <c r="D641" s="4">
        <f>IFERROR(__xludf.DUMMYFUNCTION("""COMPUTED_VALUE"""),4.0)</f>
        <v>4</v>
      </c>
      <c r="E641" s="4">
        <f>IFERROR(__xludf.DUMMYFUNCTION("""COMPUTED_VALUE"""),81.0)</f>
        <v>81</v>
      </c>
      <c r="F641" s="4">
        <f>IFERROR(__xludf.DUMMYFUNCTION("""COMPUTED_VALUE"""),2.0)</f>
        <v>2</v>
      </c>
      <c r="G641" s="4">
        <f>IFERROR(__xludf.DUMMYFUNCTION("""COMPUTED_VALUE"""),1444.0)</f>
        <v>1444</v>
      </c>
      <c r="H641" s="5">
        <f>IFERROR(__xludf.DUMMYFUNCTION("""COMPUTED_VALUE"""),1233.0)</f>
        <v>1233</v>
      </c>
      <c r="I641" s="5">
        <f>IFERROR(__xludf.DUMMYFUNCTION("""COMPUTED_VALUE"""),1921.05)</f>
        <v>1921.05</v>
      </c>
      <c r="J641" s="5">
        <f>IFERROR(__xludf.DUMMYFUNCTION("""COMPUTED_VALUE"""),5179.78)</f>
        <v>5179.78</v>
      </c>
      <c r="K641" s="5">
        <f>IFERROR(__xludf.DUMMYFUNCTION("""COMPUTED_VALUE"""),9866.02)</f>
        <v>9866.02</v>
      </c>
      <c r="L641" s="4">
        <f>IFERROR(__xludf.DUMMYFUNCTION("""COMPUTED_VALUE"""),11.0)</f>
        <v>11</v>
      </c>
      <c r="M641" s="4">
        <f>IFERROR(__xludf.DUMMYFUNCTION("""COMPUTED_VALUE"""),67.0)</f>
        <v>67</v>
      </c>
      <c r="N641" s="2" t="str">
        <f>IFERROR(__xludf.DUMMYFUNCTION("""COMPUTED_VALUE"""),"VERDADERO")</f>
        <v>VERDADERO</v>
      </c>
    </row>
    <row r="642">
      <c r="A642" s="2">
        <f>IFERROR(__xludf.DUMMYFUNCTION("""COMPUTED_VALUE"""),641.0)</f>
        <v>641</v>
      </c>
      <c r="B642" s="2" t="str">
        <f>IFERROR(__xludf.DUMMYFUNCTION("""COMPUTED_VALUE"""),"Isak Helis")</f>
        <v>Isak Helis</v>
      </c>
      <c r="C642" s="2" t="str">
        <f>IFERROR(__xludf.DUMMYFUNCTION("""COMPUTED_VALUE"""),"ihelisht@shop-pro.jp")</f>
        <v>ihelisht@shop-pro.jp</v>
      </c>
      <c r="D642" s="4">
        <f>IFERROR(__xludf.DUMMYFUNCTION("""COMPUTED_VALUE"""),37.0)</f>
        <v>37</v>
      </c>
      <c r="E642" s="4">
        <f>IFERROR(__xludf.DUMMYFUNCTION("""COMPUTED_VALUE"""),81.0)</f>
        <v>81</v>
      </c>
      <c r="F642" s="4">
        <f>IFERROR(__xludf.DUMMYFUNCTION("""COMPUTED_VALUE"""),2.0)</f>
        <v>2</v>
      </c>
      <c r="G642" s="4">
        <f>IFERROR(__xludf.DUMMYFUNCTION("""COMPUTED_VALUE"""),457.0)</f>
        <v>457</v>
      </c>
      <c r="H642" s="5">
        <f>IFERROR(__xludf.DUMMYFUNCTION("""COMPUTED_VALUE"""),8867.1)</f>
        <v>8867.1</v>
      </c>
      <c r="I642" s="5">
        <f>IFERROR(__xludf.DUMMYFUNCTION("""COMPUTED_VALUE"""),7448.33)</f>
        <v>7448.33</v>
      </c>
      <c r="J642" s="5">
        <f>IFERROR(__xludf.DUMMYFUNCTION("""COMPUTED_VALUE"""),1516.01)</f>
        <v>1516.01</v>
      </c>
      <c r="K642" s="5">
        <f>IFERROR(__xludf.DUMMYFUNCTION("""COMPUTED_VALUE"""),6164.84)</f>
        <v>6164.84</v>
      </c>
      <c r="L642" s="4">
        <f>IFERROR(__xludf.DUMMYFUNCTION("""COMPUTED_VALUE"""),12.0)</f>
        <v>12</v>
      </c>
      <c r="M642" s="4">
        <f>IFERROR(__xludf.DUMMYFUNCTION("""COMPUTED_VALUE"""),47.0)</f>
        <v>47</v>
      </c>
      <c r="N642" s="2" t="str">
        <f>IFERROR(__xludf.DUMMYFUNCTION("""COMPUTED_VALUE"""),"VERDADERO")</f>
        <v>VERDADERO</v>
      </c>
    </row>
    <row r="643">
      <c r="A643" s="2">
        <f>IFERROR(__xludf.DUMMYFUNCTION("""COMPUTED_VALUE"""),642.0)</f>
        <v>642</v>
      </c>
      <c r="B643" s="2" t="str">
        <f>IFERROR(__xludf.DUMMYFUNCTION("""COMPUTED_VALUE"""),"Harman Kyd")</f>
        <v>Harman Kyd</v>
      </c>
      <c r="C643" s="2" t="str">
        <f>IFERROR(__xludf.DUMMYFUNCTION("""COMPUTED_VALUE"""),"hkydhu@addthis.com")</f>
        <v>hkydhu@addthis.com</v>
      </c>
      <c r="D643" s="4">
        <f>IFERROR(__xludf.DUMMYFUNCTION("""COMPUTED_VALUE"""),49.0)</f>
        <v>49</v>
      </c>
      <c r="E643" s="4">
        <f>IFERROR(__xludf.DUMMYFUNCTION("""COMPUTED_VALUE"""),55.0)</f>
        <v>55</v>
      </c>
      <c r="F643" s="4">
        <f>IFERROR(__xludf.DUMMYFUNCTION("""COMPUTED_VALUE"""),9.0)</f>
        <v>9</v>
      </c>
      <c r="G643" s="4">
        <f>IFERROR(__xludf.DUMMYFUNCTION("""COMPUTED_VALUE"""),288.0)</f>
        <v>288</v>
      </c>
      <c r="H643" s="5">
        <f>IFERROR(__xludf.DUMMYFUNCTION("""COMPUTED_VALUE"""),6862.59)</f>
        <v>6862.59</v>
      </c>
      <c r="I643" s="5">
        <f>IFERROR(__xludf.DUMMYFUNCTION("""COMPUTED_VALUE"""),6999.17)</f>
        <v>6999.17</v>
      </c>
      <c r="J643" s="5">
        <f>IFERROR(__xludf.DUMMYFUNCTION("""COMPUTED_VALUE"""),7230.36)</f>
        <v>7230.36</v>
      </c>
      <c r="K643" s="5">
        <f>IFERROR(__xludf.DUMMYFUNCTION("""COMPUTED_VALUE"""),4899.35)</f>
        <v>4899.35</v>
      </c>
      <c r="L643" s="4">
        <f>IFERROR(__xludf.DUMMYFUNCTION("""COMPUTED_VALUE"""),8.0)</f>
        <v>8</v>
      </c>
      <c r="M643" s="4">
        <f>IFERROR(__xludf.DUMMYFUNCTION("""COMPUTED_VALUE"""),15.0)</f>
        <v>15</v>
      </c>
      <c r="N643" s="2" t="str">
        <f>IFERROR(__xludf.DUMMYFUNCTION("""COMPUTED_VALUE"""),"FALSO")</f>
        <v>FALSO</v>
      </c>
    </row>
    <row r="644">
      <c r="A644" s="2">
        <f>IFERROR(__xludf.DUMMYFUNCTION("""COMPUTED_VALUE"""),643.0)</f>
        <v>643</v>
      </c>
      <c r="B644" s="2" t="str">
        <f>IFERROR(__xludf.DUMMYFUNCTION("""COMPUTED_VALUE"""),"Silvan Warrack")</f>
        <v>Silvan Warrack</v>
      </c>
      <c r="C644" s="2" t="str">
        <f>IFERROR(__xludf.DUMMYFUNCTION("""COMPUTED_VALUE"""),"swarrackhv@yale.edu")</f>
        <v>swarrackhv@yale.edu</v>
      </c>
      <c r="D644" s="4">
        <f>IFERROR(__xludf.DUMMYFUNCTION("""COMPUTED_VALUE"""),29.0)</f>
        <v>29</v>
      </c>
      <c r="E644" s="4">
        <f>IFERROR(__xludf.DUMMYFUNCTION("""COMPUTED_VALUE"""),81.0)</f>
        <v>81</v>
      </c>
      <c r="F644" s="4">
        <f>IFERROR(__xludf.DUMMYFUNCTION("""COMPUTED_VALUE"""),2.0)</f>
        <v>2</v>
      </c>
      <c r="G644" s="4">
        <f>IFERROR(__xludf.DUMMYFUNCTION("""COMPUTED_VALUE"""),130.0)</f>
        <v>130</v>
      </c>
      <c r="H644" s="5">
        <f>IFERROR(__xludf.DUMMYFUNCTION("""COMPUTED_VALUE"""),5636.8)</f>
        <v>5636.8</v>
      </c>
      <c r="I644" s="5">
        <f>IFERROR(__xludf.DUMMYFUNCTION("""COMPUTED_VALUE"""),3567.77)</f>
        <v>3567.77</v>
      </c>
      <c r="J644" s="5">
        <f>IFERROR(__xludf.DUMMYFUNCTION("""COMPUTED_VALUE"""),4553.85)</f>
        <v>4553.85</v>
      </c>
      <c r="K644" s="5">
        <f>IFERROR(__xludf.DUMMYFUNCTION("""COMPUTED_VALUE"""),9131.84)</f>
        <v>9131.84</v>
      </c>
      <c r="L644" s="4">
        <f>IFERROR(__xludf.DUMMYFUNCTION("""COMPUTED_VALUE"""),11.0)</f>
        <v>11</v>
      </c>
      <c r="M644" s="4">
        <f>IFERROR(__xludf.DUMMYFUNCTION("""COMPUTED_VALUE"""),11.0)</f>
        <v>11</v>
      </c>
      <c r="N644" s="2" t="str">
        <f>IFERROR(__xludf.DUMMYFUNCTION("""COMPUTED_VALUE"""),"VERDADERO")</f>
        <v>VERDADERO</v>
      </c>
    </row>
    <row r="645">
      <c r="A645" s="2">
        <f>IFERROR(__xludf.DUMMYFUNCTION("""COMPUTED_VALUE"""),644.0)</f>
        <v>644</v>
      </c>
      <c r="B645" s="2" t="str">
        <f>IFERROR(__xludf.DUMMYFUNCTION("""COMPUTED_VALUE"""),"Benedikta Dorrance")</f>
        <v>Benedikta Dorrance</v>
      </c>
      <c r="C645" s="2" t="str">
        <f>IFERROR(__xludf.DUMMYFUNCTION("""COMPUTED_VALUE"""),"bdorrancehw@theatlantic.com")</f>
        <v>bdorrancehw@theatlantic.com</v>
      </c>
      <c r="D645" s="4">
        <f>IFERROR(__xludf.DUMMYFUNCTION("""COMPUTED_VALUE"""),29.0)</f>
        <v>29</v>
      </c>
      <c r="E645" s="4">
        <f>IFERROR(__xludf.DUMMYFUNCTION("""COMPUTED_VALUE"""),85.0)</f>
        <v>85</v>
      </c>
      <c r="F645" s="4">
        <f>IFERROR(__xludf.DUMMYFUNCTION("""COMPUTED_VALUE"""),3.0)</f>
        <v>3</v>
      </c>
      <c r="G645" s="4">
        <f>IFERROR(__xludf.DUMMYFUNCTION("""COMPUTED_VALUE"""),264.0)</f>
        <v>264</v>
      </c>
      <c r="H645" s="5">
        <f>IFERROR(__xludf.DUMMYFUNCTION("""COMPUTED_VALUE"""),4251.15)</f>
        <v>4251.15</v>
      </c>
      <c r="I645" s="5">
        <f>IFERROR(__xludf.DUMMYFUNCTION("""COMPUTED_VALUE"""),6398.33)</f>
        <v>6398.33</v>
      </c>
      <c r="J645" s="5">
        <f>IFERROR(__xludf.DUMMYFUNCTION("""COMPUTED_VALUE"""),9172.34)</f>
        <v>9172.34</v>
      </c>
      <c r="K645" s="5">
        <f>IFERROR(__xludf.DUMMYFUNCTION("""COMPUTED_VALUE"""),1373.1)</f>
        <v>1373.1</v>
      </c>
      <c r="L645" s="4">
        <f>IFERROR(__xludf.DUMMYFUNCTION("""COMPUTED_VALUE"""),12.0)</f>
        <v>12</v>
      </c>
      <c r="M645" s="4">
        <f>IFERROR(__xludf.DUMMYFUNCTION("""COMPUTED_VALUE"""),85.0)</f>
        <v>85</v>
      </c>
      <c r="N645" s="2" t="str">
        <f>IFERROR(__xludf.DUMMYFUNCTION("""COMPUTED_VALUE"""),"FALSO")</f>
        <v>FALSO</v>
      </c>
    </row>
    <row r="646">
      <c r="A646" s="2">
        <f>IFERROR(__xludf.DUMMYFUNCTION("""COMPUTED_VALUE"""),645.0)</f>
        <v>645</v>
      </c>
      <c r="B646" s="2" t="str">
        <f>IFERROR(__xludf.DUMMYFUNCTION("""COMPUTED_VALUE"""),"Cilka Pauler")</f>
        <v>Cilka Pauler</v>
      </c>
      <c r="C646" s="2" t="str">
        <f>IFERROR(__xludf.DUMMYFUNCTION("""COMPUTED_VALUE"""),"cpaulerhx@patch.com")</f>
        <v>cpaulerhx@patch.com</v>
      </c>
      <c r="D646" s="4">
        <f>IFERROR(__xludf.DUMMYFUNCTION("""COMPUTED_VALUE"""),17.0)</f>
        <v>17</v>
      </c>
      <c r="E646" s="4">
        <f>IFERROR(__xludf.DUMMYFUNCTION("""COMPUTED_VALUE"""),48.0)</f>
        <v>48</v>
      </c>
      <c r="F646" s="4">
        <f>IFERROR(__xludf.DUMMYFUNCTION("""COMPUTED_VALUE"""),4.0)</f>
        <v>4</v>
      </c>
      <c r="G646" s="4">
        <f>IFERROR(__xludf.DUMMYFUNCTION("""COMPUTED_VALUE"""),56.0)</f>
        <v>56</v>
      </c>
      <c r="H646" s="5">
        <f>IFERROR(__xludf.DUMMYFUNCTION("""COMPUTED_VALUE"""),7805.82)</f>
        <v>7805.82</v>
      </c>
      <c r="I646" s="5">
        <f>IFERROR(__xludf.DUMMYFUNCTION("""COMPUTED_VALUE"""),9290.37)</f>
        <v>9290.37</v>
      </c>
      <c r="J646" s="5">
        <f>IFERROR(__xludf.DUMMYFUNCTION("""COMPUTED_VALUE"""),9439.16)</f>
        <v>9439.16</v>
      </c>
      <c r="K646" s="5">
        <f>IFERROR(__xludf.DUMMYFUNCTION("""COMPUTED_VALUE"""),8875.67)</f>
        <v>8875.67</v>
      </c>
      <c r="L646" s="4">
        <f>IFERROR(__xludf.DUMMYFUNCTION("""COMPUTED_VALUE"""),4.0)</f>
        <v>4</v>
      </c>
      <c r="M646" s="4">
        <f>IFERROR(__xludf.DUMMYFUNCTION("""COMPUTED_VALUE"""),72.0)</f>
        <v>72</v>
      </c>
      <c r="N646" s="2" t="str">
        <f>IFERROR(__xludf.DUMMYFUNCTION("""COMPUTED_VALUE"""),"VERDADERO")</f>
        <v>VERDADERO</v>
      </c>
    </row>
    <row r="647">
      <c r="A647" s="2">
        <f>IFERROR(__xludf.DUMMYFUNCTION("""COMPUTED_VALUE"""),646.0)</f>
        <v>646</v>
      </c>
      <c r="B647" s="2" t="str">
        <f>IFERROR(__xludf.DUMMYFUNCTION("""COMPUTED_VALUE"""),"Charlene Birk")</f>
        <v>Charlene Birk</v>
      </c>
      <c r="C647" s="2" t="str">
        <f>IFERROR(__xludf.DUMMYFUNCTION("""COMPUTED_VALUE"""),"cbirkhy@wp.com")</f>
        <v>cbirkhy@wp.com</v>
      </c>
      <c r="D647" s="4">
        <f>IFERROR(__xludf.DUMMYFUNCTION("""COMPUTED_VALUE"""),65.0)</f>
        <v>65</v>
      </c>
      <c r="E647" s="4">
        <f>IFERROR(__xludf.DUMMYFUNCTION("""COMPUTED_VALUE"""),9.0)</f>
        <v>9</v>
      </c>
      <c r="F647" s="4">
        <f>IFERROR(__xludf.DUMMYFUNCTION("""COMPUTED_VALUE"""),10.0)</f>
        <v>10</v>
      </c>
      <c r="G647" s="4">
        <f>IFERROR(__xludf.DUMMYFUNCTION("""COMPUTED_VALUE"""),377.0)</f>
        <v>377</v>
      </c>
      <c r="H647" s="5">
        <f>IFERROR(__xludf.DUMMYFUNCTION("""COMPUTED_VALUE"""),5753.11)</f>
        <v>5753.11</v>
      </c>
      <c r="I647" s="5">
        <f>IFERROR(__xludf.DUMMYFUNCTION("""COMPUTED_VALUE"""),8175.06)</f>
        <v>8175.06</v>
      </c>
      <c r="J647" s="5">
        <f>IFERROR(__xludf.DUMMYFUNCTION("""COMPUTED_VALUE"""),2423.13)</f>
        <v>2423.13</v>
      </c>
      <c r="K647" s="5">
        <f>IFERROR(__xludf.DUMMYFUNCTION("""COMPUTED_VALUE"""),6028.43)</f>
        <v>6028.43</v>
      </c>
      <c r="L647" s="4">
        <f>IFERROR(__xludf.DUMMYFUNCTION("""COMPUTED_VALUE"""),20.0)</f>
        <v>20</v>
      </c>
      <c r="M647" s="4">
        <f>IFERROR(__xludf.DUMMYFUNCTION("""COMPUTED_VALUE"""),18.0)</f>
        <v>18</v>
      </c>
      <c r="N647" s="2" t="str">
        <f>IFERROR(__xludf.DUMMYFUNCTION("""COMPUTED_VALUE"""),"VERDADERO")</f>
        <v>VERDADERO</v>
      </c>
    </row>
    <row r="648">
      <c r="A648" s="2">
        <f>IFERROR(__xludf.DUMMYFUNCTION("""COMPUTED_VALUE"""),647.0)</f>
        <v>647</v>
      </c>
      <c r="B648" s="2" t="str">
        <f>IFERROR(__xludf.DUMMYFUNCTION("""COMPUTED_VALUE"""),"Mada Hardingham")</f>
        <v>Mada Hardingham</v>
      </c>
      <c r="C648" s="2" t="str">
        <f>IFERROR(__xludf.DUMMYFUNCTION("""COMPUTED_VALUE"""),"mhardinghamhz@drupal.org")</f>
        <v>mhardinghamhz@drupal.org</v>
      </c>
      <c r="D648" s="4">
        <f>IFERROR(__xludf.DUMMYFUNCTION("""COMPUTED_VALUE"""),65.0)</f>
        <v>65</v>
      </c>
      <c r="E648" s="4">
        <f>IFERROR(__xludf.DUMMYFUNCTION("""COMPUTED_VALUE"""),58.0)</f>
        <v>58</v>
      </c>
      <c r="F648" s="4">
        <f>IFERROR(__xludf.DUMMYFUNCTION("""COMPUTED_VALUE"""),8.0)</f>
        <v>8</v>
      </c>
      <c r="G648" s="4">
        <f>IFERROR(__xludf.DUMMYFUNCTION("""COMPUTED_VALUE"""),276.0)</f>
        <v>276</v>
      </c>
      <c r="H648" s="5">
        <f>IFERROR(__xludf.DUMMYFUNCTION("""COMPUTED_VALUE"""),2193.48)</f>
        <v>2193.48</v>
      </c>
      <c r="I648" s="5">
        <f>IFERROR(__xludf.DUMMYFUNCTION("""COMPUTED_VALUE"""),7069.18)</f>
        <v>7069.18</v>
      </c>
      <c r="J648" s="5">
        <f>IFERROR(__xludf.DUMMYFUNCTION("""COMPUTED_VALUE"""),8512.27)</f>
        <v>8512.27</v>
      </c>
      <c r="K648" s="5">
        <f>IFERROR(__xludf.DUMMYFUNCTION("""COMPUTED_VALUE"""),3676.99)</f>
        <v>3676.99</v>
      </c>
      <c r="L648" s="4">
        <f>IFERROR(__xludf.DUMMYFUNCTION("""COMPUTED_VALUE"""),7.0)</f>
        <v>7</v>
      </c>
      <c r="M648" s="4">
        <f>IFERROR(__xludf.DUMMYFUNCTION("""COMPUTED_VALUE"""),27.0)</f>
        <v>27</v>
      </c>
      <c r="N648" s="2" t="str">
        <f>IFERROR(__xludf.DUMMYFUNCTION("""COMPUTED_VALUE"""),"VERDADERO")</f>
        <v>VERDADERO</v>
      </c>
    </row>
    <row r="649">
      <c r="A649" s="2">
        <f>IFERROR(__xludf.DUMMYFUNCTION("""COMPUTED_VALUE"""),648.0)</f>
        <v>648</v>
      </c>
      <c r="B649" s="2" t="str">
        <f>IFERROR(__xludf.DUMMYFUNCTION("""COMPUTED_VALUE"""),"Sanson Besnardeau")</f>
        <v>Sanson Besnardeau</v>
      </c>
      <c r="C649" s="2" t="str">
        <f>IFERROR(__xludf.DUMMYFUNCTION("""COMPUTED_VALUE"""),"sbesnardeaui0@devhub.com")</f>
        <v>sbesnardeaui0@devhub.com</v>
      </c>
      <c r="D649" s="4">
        <f>IFERROR(__xludf.DUMMYFUNCTION("""COMPUTED_VALUE"""),73.0)</f>
        <v>73</v>
      </c>
      <c r="E649" s="4">
        <f>IFERROR(__xludf.DUMMYFUNCTION("""COMPUTED_VALUE"""),11.0)</f>
        <v>11</v>
      </c>
      <c r="F649" s="4">
        <f>IFERROR(__xludf.DUMMYFUNCTION("""COMPUTED_VALUE"""),13.0)</f>
        <v>13</v>
      </c>
      <c r="G649" s="4">
        <f>IFERROR(__xludf.DUMMYFUNCTION("""COMPUTED_VALUE"""),388.0)</f>
        <v>388</v>
      </c>
      <c r="H649" s="5">
        <f>IFERROR(__xludf.DUMMYFUNCTION("""COMPUTED_VALUE"""),1244.77)</f>
        <v>1244.77</v>
      </c>
      <c r="I649" s="5">
        <f>IFERROR(__xludf.DUMMYFUNCTION("""COMPUTED_VALUE"""),6324.77)</f>
        <v>6324.77</v>
      </c>
      <c r="J649" s="5">
        <f>IFERROR(__xludf.DUMMYFUNCTION("""COMPUTED_VALUE"""),4672.08)</f>
        <v>4672.08</v>
      </c>
      <c r="K649" s="5">
        <f>IFERROR(__xludf.DUMMYFUNCTION("""COMPUTED_VALUE"""),6117.89)</f>
        <v>6117.89</v>
      </c>
      <c r="L649" s="4">
        <f>IFERROR(__xludf.DUMMYFUNCTION("""COMPUTED_VALUE"""),7.0)</f>
        <v>7</v>
      </c>
      <c r="M649" s="4">
        <f>IFERROR(__xludf.DUMMYFUNCTION("""COMPUTED_VALUE"""),89.0)</f>
        <v>89</v>
      </c>
      <c r="N649" s="2" t="str">
        <f>IFERROR(__xludf.DUMMYFUNCTION("""COMPUTED_VALUE"""),"VERDADERO")</f>
        <v>VERDADERO</v>
      </c>
    </row>
    <row r="650">
      <c r="A650" s="2">
        <f>IFERROR(__xludf.DUMMYFUNCTION("""COMPUTED_VALUE"""),649.0)</f>
        <v>649</v>
      </c>
      <c r="B650" s="2" t="str">
        <f>IFERROR(__xludf.DUMMYFUNCTION("""COMPUTED_VALUE"""),"Chloette Durban")</f>
        <v>Chloette Durban</v>
      </c>
      <c r="C650" s="2" t="str">
        <f>IFERROR(__xludf.DUMMYFUNCTION("""COMPUTED_VALUE"""),"cdurbani1@biglobe.ne.jp")</f>
        <v>cdurbani1@biglobe.ne.jp</v>
      </c>
      <c r="D650" s="4">
        <f>IFERROR(__xludf.DUMMYFUNCTION("""COMPUTED_VALUE"""),152.0)</f>
        <v>152</v>
      </c>
      <c r="E650" s="4">
        <f>IFERROR(__xludf.DUMMYFUNCTION("""COMPUTED_VALUE"""),81.0)</f>
        <v>81</v>
      </c>
      <c r="F650" s="4">
        <f>IFERROR(__xludf.DUMMYFUNCTION("""COMPUTED_VALUE"""),2.0)</f>
        <v>2</v>
      </c>
      <c r="G650" s="4">
        <f>IFERROR(__xludf.DUMMYFUNCTION("""COMPUTED_VALUE"""),955.0)</f>
        <v>955</v>
      </c>
      <c r="H650" s="5">
        <f>IFERROR(__xludf.DUMMYFUNCTION("""COMPUTED_VALUE"""),3908.39)</f>
        <v>3908.39</v>
      </c>
      <c r="I650" s="5">
        <f>IFERROR(__xludf.DUMMYFUNCTION("""COMPUTED_VALUE"""),5149.41)</f>
        <v>5149.41</v>
      </c>
      <c r="J650" s="5">
        <f>IFERROR(__xludf.DUMMYFUNCTION("""COMPUTED_VALUE"""),5835.46)</f>
        <v>5835.46</v>
      </c>
      <c r="K650" s="5">
        <f>IFERROR(__xludf.DUMMYFUNCTION("""COMPUTED_VALUE"""),3554.5)</f>
        <v>3554.5</v>
      </c>
      <c r="L650" s="4">
        <f>IFERROR(__xludf.DUMMYFUNCTION("""COMPUTED_VALUE"""),19.0)</f>
        <v>19</v>
      </c>
      <c r="M650" s="4">
        <f>IFERROR(__xludf.DUMMYFUNCTION("""COMPUTED_VALUE"""),20.0)</f>
        <v>20</v>
      </c>
      <c r="N650" s="2" t="str">
        <f>IFERROR(__xludf.DUMMYFUNCTION("""COMPUTED_VALUE"""),"VERDADERO")</f>
        <v>VERDADERO</v>
      </c>
    </row>
    <row r="651">
      <c r="A651" s="2">
        <f>IFERROR(__xludf.DUMMYFUNCTION("""COMPUTED_VALUE"""),650.0)</f>
        <v>650</v>
      </c>
      <c r="B651" s="2" t="str">
        <f>IFERROR(__xludf.DUMMYFUNCTION("""COMPUTED_VALUE"""),"Guillaume Orro")</f>
        <v>Guillaume Orro</v>
      </c>
      <c r="C651" s="2" t="str">
        <f>IFERROR(__xludf.DUMMYFUNCTION("""COMPUTED_VALUE"""),"gorroi2@europa.eu")</f>
        <v>gorroi2@europa.eu</v>
      </c>
      <c r="D651" s="4">
        <f>IFERROR(__xludf.DUMMYFUNCTION("""COMPUTED_VALUE"""),69.0)</f>
        <v>69</v>
      </c>
      <c r="E651" s="4">
        <f>IFERROR(__xludf.DUMMYFUNCTION("""COMPUTED_VALUE"""),17.0)</f>
        <v>17</v>
      </c>
      <c r="F651" s="4">
        <f>IFERROR(__xludf.DUMMYFUNCTION("""COMPUTED_VALUE"""),5.0)</f>
        <v>5</v>
      </c>
      <c r="G651" s="4">
        <f>IFERROR(__xludf.DUMMYFUNCTION("""COMPUTED_VALUE"""),865.0)</f>
        <v>865</v>
      </c>
      <c r="H651" s="5">
        <f>IFERROR(__xludf.DUMMYFUNCTION("""COMPUTED_VALUE"""),2552.24)</f>
        <v>2552.24</v>
      </c>
      <c r="I651" s="5">
        <f>IFERROR(__xludf.DUMMYFUNCTION("""COMPUTED_VALUE"""),465.68)</f>
        <v>465.68</v>
      </c>
      <c r="J651" s="5">
        <f>IFERROR(__xludf.DUMMYFUNCTION("""COMPUTED_VALUE"""),9771.72)</f>
        <v>9771.72</v>
      </c>
      <c r="K651" s="5">
        <f>IFERROR(__xludf.DUMMYFUNCTION("""COMPUTED_VALUE"""),8947.59)</f>
        <v>8947.59</v>
      </c>
      <c r="L651" s="4">
        <f>IFERROR(__xludf.DUMMYFUNCTION("""COMPUTED_VALUE"""),16.0)</f>
        <v>16</v>
      </c>
      <c r="M651" s="4">
        <f>IFERROR(__xludf.DUMMYFUNCTION("""COMPUTED_VALUE"""),34.0)</f>
        <v>34</v>
      </c>
      <c r="N651" s="2" t="str">
        <f>IFERROR(__xludf.DUMMYFUNCTION("""COMPUTED_VALUE"""),"VERDADERO")</f>
        <v>VERDADERO</v>
      </c>
    </row>
    <row r="652">
      <c r="A652" s="2">
        <f>IFERROR(__xludf.DUMMYFUNCTION("""COMPUTED_VALUE"""),651.0)</f>
        <v>651</v>
      </c>
      <c r="B652" s="2" t="str">
        <f>IFERROR(__xludf.DUMMYFUNCTION("""COMPUTED_VALUE"""),"Hollis Legerton")</f>
        <v>Hollis Legerton</v>
      </c>
      <c r="C652" s="2" t="str">
        <f>IFERROR(__xludf.DUMMYFUNCTION("""COMPUTED_VALUE"""),"hlegertoni3@smugmug.com")</f>
        <v>hlegertoni3@smugmug.com</v>
      </c>
      <c r="D652" s="4">
        <f>IFERROR(__xludf.DUMMYFUNCTION("""COMPUTED_VALUE"""),34.0)</f>
        <v>34</v>
      </c>
      <c r="E652" s="4">
        <f>IFERROR(__xludf.DUMMYFUNCTION("""COMPUTED_VALUE"""),30.0)</f>
        <v>30</v>
      </c>
      <c r="F652" s="4">
        <f>IFERROR(__xludf.DUMMYFUNCTION("""COMPUTED_VALUE"""),11.0)</f>
        <v>11</v>
      </c>
      <c r="G652" s="4">
        <f>IFERROR(__xludf.DUMMYFUNCTION("""COMPUTED_VALUE"""),1446.0)</f>
        <v>1446</v>
      </c>
      <c r="H652" s="5">
        <f>IFERROR(__xludf.DUMMYFUNCTION("""COMPUTED_VALUE"""),1763.58)</f>
        <v>1763.58</v>
      </c>
      <c r="I652" s="5">
        <f>IFERROR(__xludf.DUMMYFUNCTION("""COMPUTED_VALUE"""),6832.39)</f>
        <v>6832.39</v>
      </c>
      <c r="J652" s="5">
        <f>IFERROR(__xludf.DUMMYFUNCTION("""COMPUTED_VALUE"""),937.25)</f>
        <v>937.25</v>
      </c>
      <c r="K652" s="5">
        <f>IFERROR(__xludf.DUMMYFUNCTION("""COMPUTED_VALUE"""),9561.58)</f>
        <v>9561.58</v>
      </c>
      <c r="L652" s="4">
        <f>IFERROR(__xludf.DUMMYFUNCTION("""COMPUTED_VALUE"""),3.0)</f>
        <v>3</v>
      </c>
      <c r="M652" s="4">
        <f>IFERROR(__xludf.DUMMYFUNCTION("""COMPUTED_VALUE"""),69.0)</f>
        <v>69</v>
      </c>
      <c r="N652" s="2" t="str">
        <f>IFERROR(__xludf.DUMMYFUNCTION("""COMPUTED_VALUE"""),"VERDADERO")</f>
        <v>VERDADERO</v>
      </c>
    </row>
    <row r="653">
      <c r="A653" s="2">
        <f>IFERROR(__xludf.DUMMYFUNCTION("""COMPUTED_VALUE"""),652.0)</f>
        <v>652</v>
      </c>
      <c r="B653" s="2" t="str">
        <f>IFERROR(__xludf.DUMMYFUNCTION("""COMPUTED_VALUE"""),"Ramonda Aleksankov")</f>
        <v>Ramonda Aleksankov</v>
      </c>
      <c r="C653" s="2" t="str">
        <f>IFERROR(__xludf.DUMMYFUNCTION("""COMPUTED_VALUE"""),"raleksankovi4@jigsy.com")</f>
        <v>raleksankovi4@jigsy.com</v>
      </c>
      <c r="D653" s="4">
        <f>IFERROR(__xludf.DUMMYFUNCTION("""COMPUTED_VALUE"""),29.0)</f>
        <v>29</v>
      </c>
      <c r="E653" s="4">
        <f>IFERROR(__xludf.DUMMYFUNCTION("""COMPUTED_VALUE"""),81.0)</f>
        <v>81</v>
      </c>
      <c r="F653" s="4">
        <f>IFERROR(__xludf.DUMMYFUNCTION("""COMPUTED_VALUE"""),2.0)</f>
        <v>2</v>
      </c>
      <c r="G653" s="4">
        <f>IFERROR(__xludf.DUMMYFUNCTION("""COMPUTED_VALUE"""),890.0)</f>
        <v>890</v>
      </c>
      <c r="H653" s="5">
        <f>IFERROR(__xludf.DUMMYFUNCTION("""COMPUTED_VALUE"""),4456.94)</f>
        <v>4456.94</v>
      </c>
      <c r="I653" s="5">
        <f>IFERROR(__xludf.DUMMYFUNCTION("""COMPUTED_VALUE"""),8905.96)</f>
        <v>8905.96</v>
      </c>
      <c r="J653" s="5">
        <f>IFERROR(__xludf.DUMMYFUNCTION("""COMPUTED_VALUE"""),7431.28)</f>
        <v>7431.28</v>
      </c>
      <c r="K653" s="5">
        <f>IFERROR(__xludf.DUMMYFUNCTION("""COMPUTED_VALUE"""),6472.13)</f>
        <v>6472.13</v>
      </c>
      <c r="L653" s="4">
        <f>IFERROR(__xludf.DUMMYFUNCTION("""COMPUTED_VALUE"""),15.0)</f>
        <v>15</v>
      </c>
      <c r="M653" s="4">
        <f>IFERROR(__xludf.DUMMYFUNCTION("""COMPUTED_VALUE"""),93.0)</f>
        <v>93</v>
      </c>
      <c r="N653" s="2" t="str">
        <f>IFERROR(__xludf.DUMMYFUNCTION("""COMPUTED_VALUE"""),"VERDADERO")</f>
        <v>VERDADERO</v>
      </c>
    </row>
    <row r="654">
      <c r="A654" s="2">
        <f>IFERROR(__xludf.DUMMYFUNCTION("""COMPUTED_VALUE"""),653.0)</f>
        <v>653</v>
      </c>
      <c r="B654" s="2" t="str">
        <f>IFERROR(__xludf.DUMMYFUNCTION("""COMPUTED_VALUE"""),"Kellia Alonso")</f>
        <v>Kellia Alonso</v>
      </c>
      <c r="C654" s="2" t="str">
        <f>IFERROR(__xludf.DUMMYFUNCTION("""COMPUTED_VALUE"""),"kalonsoi5@youku.com")</f>
        <v>kalonsoi5@youku.com</v>
      </c>
      <c r="D654" s="4">
        <f>IFERROR(__xludf.DUMMYFUNCTION("""COMPUTED_VALUE"""),130.0)</f>
        <v>130</v>
      </c>
      <c r="E654" s="4">
        <f>IFERROR(__xludf.DUMMYFUNCTION("""COMPUTED_VALUE"""),64.0)</f>
        <v>64</v>
      </c>
      <c r="F654" s="4">
        <f>IFERROR(__xludf.DUMMYFUNCTION("""COMPUTED_VALUE"""),4.0)</f>
        <v>4</v>
      </c>
      <c r="G654" s="4">
        <f>IFERROR(__xludf.DUMMYFUNCTION("""COMPUTED_VALUE"""),50.0)</f>
        <v>50</v>
      </c>
      <c r="H654" s="5">
        <f>IFERROR(__xludf.DUMMYFUNCTION("""COMPUTED_VALUE"""),9447.65)</f>
        <v>9447.65</v>
      </c>
      <c r="I654" s="5">
        <f>IFERROR(__xludf.DUMMYFUNCTION("""COMPUTED_VALUE"""),2081.52)</f>
        <v>2081.52</v>
      </c>
      <c r="J654" s="5">
        <f>IFERROR(__xludf.DUMMYFUNCTION("""COMPUTED_VALUE"""),4376.24)</f>
        <v>4376.24</v>
      </c>
      <c r="K654" s="5">
        <f>IFERROR(__xludf.DUMMYFUNCTION("""COMPUTED_VALUE"""),6494.9)</f>
        <v>6494.9</v>
      </c>
      <c r="L654" s="4">
        <f>IFERROR(__xludf.DUMMYFUNCTION("""COMPUTED_VALUE"""),15.0)</f>
        <v>15</v>
      </c>
      <c r="M654" s="4">
        <f>IFERROR(__xludf.DUMMYFUNCTION("""COMPUTED_VALUE"""),59.0)</f>
        <v>59</v>
      </c>
      <c r="N654" s="2" t="str">
        <f>IFERROR(__xludf.DUMMYFUNCTION("""COMPUTED_VALUE"""),"VERDADERO")</f>
        <v>VERDADERO</v>
      </c>
    </row>
    <row r="655">
      <c r="A655" s="2">
        <f>IFERROR(__xludf.DUMMYFUNCTION("""COMPUTED_VALUE"""),654.0)</f>
        <v>654</v>
      </c>
      <c r="B655" s="2" t="str">
        <f>IFERROR(__xludf.DUMMYFUNCTION("""COMPUTED_VALUE"""),"Phaedra Haly")</f>
        <v>Phaedra Haly</v>
      </c>
      <c r="C655" s="2" t="str">
        <f>IFERROR(__xludf.DUMMYFUNCTION("""COMPUTED_VALUE"""),"phalyi6@mediafire.com")</f>
        <v>phalyi6@mediafire.com</v>
      </c>
      <c r="D655" s="4">
        <f>IFERROR(__xludf.DUMMYFUNCTION("""COMPUTED_VALUE"""),147.0)</f>
        <v>147</v>
      </c>
      <c r="E655" s="4">
        <f>IFERROR(__xludf.DUMMYFUNCTION("""COMPUTED_VALUE"""),22.0)</f>
        <v>22</v>
      </c>
      <c r="F655" s="4">
        <f>IFERROR(__xludf.DUMMYFUNCTION("""COMPUTED_VALUE"""),5.0)</f>
        <v>5</v>
      </c>
      <c r="G655" s="4">
        <f>IFERROR(__xludf.DUMMYFUNCTION("""COMPUTED_VALUE"""),864.0)</f>
        <v>864</v>
      </c>
      <c r="H655" s="5">
        <f>IFERROR(__xludf.DUMMYFUNCTION("""COMPUTED_VALUE"""),2337.68)</f>
        <v>2337.68</v>
      </c>
      <c r="I655" s="5">
        <f>IFERROR(__xludf.DUMMYFUNCTION("""COMPUTED_VALUE"""),9437.84)</f>
        <v>9437.84</v>
      </c>
      <c r="J655" s="5">
        <f>IFERROR(__xludf.DUMMYFUNCTION("""COMPUTED_VALUE"""),9469.07)</f>
        <v>9469.07</v>
      </c>
      <c r="K655" s="5">
        <f>IFERROR(__xludf.DUMMYFUNCTION("""COMPUTED_VALUE"""),4949.39)</f>
        <v>4949.39</v>
      </c>
      <c r="L655" s="4">
        <f>IFERROR(__xludf.DUMMYFUNCTION("""COMPUTED_VALUE"""),2.0)</f>
        <v>2</v>
      </c>
      <c r="M655" s="4">
        <f>IFERROR(__xludf.DUMMYFUNCTION("""COMPUTED_VALUE"""),87.0)</f>
        <v>87</v>
      </c>
      <c r="N655" s="2" t="str">
        <f>IFERROR(__xludf.DUMMYFUNCTION("""COMPUTED_VALUE"""),"VERDADERO")</f>
        <v>VERDADERO</v>
      </c>
    </row>
    <row r="656">
      <c r="A656" s="2">
        <f>IFERROR(__xludf.DUMMYFUNCTION("""COMPUTED_VALUE"""),655.0)</f>
        <v>655</v>
      </c>
      <c r="B656" s="2" t="str">
        <f>IFERROR(__xludf.DUMMYFUNCTION("""COMPUTED_VALUE"""),"Melodee Bernhardi")</f>
        <v>Melodee Bernhardi</v>
      </c>
      <c r="C656" s="2" t="str">
        <f>IFERROR(__xludf.DUMMYFUNCTION("""COMPUTED_VALUE"""),"mbernhardii7@sogou.com")</f>
        <v>mbernhardii7@sogou.com</v>
      </c>
      <c r="D656" s="4">
        <f>IFERROR(__xludf.DUMMYFUNCTION("""COMPUTED_VALUE"""),5.0)</f>
        <v>5</v>
      </c>
      <c r="E656" s="4">
        <f>IFERROR(__xludf.DUMMYFUNCTION("""COMPUTED_VALUE"""),102.0)</f>
        <v>102</v>
      </c>
      <c r="F656" s="4">
        <f>IFERROR(__xludf.DUMMYFUNCTION("""COMPUTED_VALUE"""),4.0)</f>
        <v>4</v>
      </c>
      <c r="G656" s="4">
        <f>IFERROR(__xludf.DUMMYFUNCTION("""COMPUTED_VALUE"""),1409.0)</f>
        <v>1409</v>
      </c>
      <c r="H656" s="5">
        <f>IFERROR(__xludf.DUMMYFUNCTION("""COMPUTED_VALUE"""),8707.57)</f>
        <v>8707.57</v>
      </c>
      <c r="I656" s="5">
        <f>IFERROR(__xludf.DUMMYFUNCTION("""COMPUTED_VALUE"""),912.32)</f>
        <v>912.32</v>
      </c>
      <c r="J656" s="5">
        <f>IFERROR(__xludf.DUMMYFUNCTION("""COMPUTED_VALUE"""),2220.17)</f>
        <v>2220.17</v>
      </c>
      <c r="K656" s="5">
        <f>IFERROR(__xludf.DUMMYFUNCTION("""COMPUTED_VALUE"""),2860.94)</f>
        <v>2860.94</v>
      </c>
      <c r="L656" s="4">
        <f>IFERROR(__xludf.DUMMYFUNCTION("""COMPUTED_VALUE"""),10.0)</f>
        <v>10</v>
      </c>
      <c r="M656" s="4">
        <f>IFERROR(__xludf.DUMMYFUNCTION("""COMPUTED_VALUE"""),2.0)</f>
        <v>2</v>
      </c>
      <c r="N656" s="2" t="str">
        <f>IFERROR(__xludf.DUMMYFUNCTION("""COMPUTED_VALUE"""),"VERDADERO")</f>
        <v>VERDADERO</v>
      </c>
    </row>
    <row r="657">
      <c r="A657" s="2">
        <f>IFERROR(__xludf.DUMMYFUNCTION("""COMPUTED_VALUE"""),656.0)</f>
        <v>656</v>
      </c>
      <c r="B657" s="2" t="str">
        <f>IFERROR(__xludf.DUMMYFUNCTION("""COMPUTED_VALUE"""),"Banky Sherston")</f>
        <v>Banky Sherston</v>
      </c>
      <c r="C657" s="2" t="str">
        <f>IFERROR(__xludf.DUMMYFUNCTION("""COMPUTED_VALUE"""),"bsherstoni8@springer.com")</f>
        <v>bsherstoni8@springer.com</v>
      </c>
      <c r="D657" s="4">
        <f>IFERROR(__xludf.DUMMYFUNCTION("""COMPUTED_VALUE"""),135.0)</f>
        <v>135</v>
      </c>
      <c r="E657" s="4">
        <f>IFERROR(__xludf.DUMMYFUNCTION("""COMPUTED_VALUE"""),17.0)</f>
        <v>17</v>
      </c>
      <c r="F657" s="4">
        <f>IFERROR(__xludf.DUMMYFUNCTION("""COMPUTED_VALUE"""),5.0)</f>
        <v>5</v>
      </c>
      <c r="G657" s="4">
        <f>IFERROR(__xludf.DUMMYFUNCTION("""COMPUTED_VALUE"""),1086.0)</f>
        <v>1086</v>
      </c>
      <c r="H657" s="5">
        <f>IFERROR(__xludf.DUMMYFUNCTION("""COMPUTED_VALUE"""),1979.45)</f>
        <v>1979.45</v>
      </c>
      <c r="I657" s="5">
        <f>IFERROR(__xludf.DUMMYFUNCTION("""COMPUTED_VALUE"""),5075.51)</f>
        <v>5075.51</v>
      </c>
      <c r="J657" s="5">
        <f>IFERROR(__xludf.DUMMYFUNCTION("""COMPUTED_VALUE"""),1875.1)</f>
        <v>1875.1</v>
      </c>
      <c r="K657" s="5">
        <f>IFERROR(__xludf.DUMMYFUNCTION("""COMPUTED_VALUE"""),1086.05)</f>
        <v>1086.05</v>
      </c>
      <c r="L657" s="4">
        <f>IFERROR(__xludf.DUMMYFUNCTION("""COMPUTED_VALUE"""),16.0)</f>
        <v>16</v>
      </c>
      <c r="M657" s="4">
        <f>IFERROR(__xludf.DUMMYFUNCTION("""COMPUTED_VALUE"""),25.0)</f>
        <v>25</v>
      </c>
      <c r="N657" s="2" t="str">
        <f>IFERROR(__xludf.DUMMYFUNCTION("""COMPUTED_VALUE"""),"FALSO")</f>
        <v>FALSO</v>
      </c>
    </row>
    <row r="658">
      <c r="A658" s="2">
        <f>IFERROR(__xludf.DUMMYFUNCTION("""COMPUTED_VALUE"""),657.0)</f>
        <v>657</v>
      </c>
      <c r="B658" s="2" t="str">
        <f>IFERROR(__xludf.DUMMYFUNCTION("""COMPUTED_VALUE"""),"Cordie MacGregor")</f>
        <v>Cordie MacGregor</v>
      </c>
      <c r="C658" s="2" t="str">
        <f>IFERROR(__xludf.DUMMYFUNCTION("""COMPUTED_VALUE"""),"cmacgregori9@sourceforge.net")</f>
        <v>cmacgregori9@sourceforge.net</v>
      </c>
      <c r="D658" s="4">
        <f>IFERROR(__xludf.DUMMYFUNCTION("""COMPUTED_VALUE"""),29.0)</f>
        <v>29</v>
      </c>
      <c r="E658" s="4">
        <f>IFERROR(__xludf.DUMMYFUNCTION("""COMPUTED_VALUE"""),81.0)</f>
        <v>81</v>
      </c>
      <c r="F658" s="4">
        <f>IFERROR(__xludf.DUMMYFUNCTION("""COMPUTED_VALUE"""),2.0)</f>
        <v>2</v>
      </c>
      <c r="G658" s="4">
        <f>IFERROR(__xludf.DUMMYFUNCTION("""COMPUTED_VALUE"""),477.0)</f>
        <v>477</v>
      </c>
      <c r="H658" s="5">
        <f>IFERROR(__xludf.DUMMYFUNCTION("""COMPUTED_VALUE"""),2787.87)</f>
        <v>2787.87</v>
      </c>
      <c r="I658" s="5">
        <f>IFERROR(__xludf.DUMMYFUNCTION("""COMPUTED_VALUE"""),826.87)</f>
        <v>826.87</v>
      </c>
      <c r="J658" s="5">
        <f>IFERROR(__xludf.DUMMYFUNCTION("""COMPUTED_VALUE"""),790.01)</f>
        <v>790.01</v>
      </c>
      <c r="K658" s="5">
        <f>IFERROR(__xludf.DUMMYFUNCTION("""COMPUTED_VALUE"""),5745.61)</f>
        <v>5745.61</v>
      </c>
      <c r="L658" s="4">
        <f>IFERROR(__xludf.DUMMYFUNCTION("""COMPUTED_VALUE"""),8.0)</f>
        <v>8</v>
      </c>
      <c r="M658" s="4">
        <f>IFERROR(__xludf.DUMMYFUNCTION("""COMPUTED_VALUE"""),85.0)</f>
        <v>85</v>
      </c>
      <c r="N658" s="2" t="str">
        <f>IFERROR(__xludf.DUMMYFUNCTION("""COMPUTED_VALUE"""),"VERDADERO")</f>
        <v>VERDADERO</v>
      </c>
    </row>
    <row r="659">
      <c r="A659" s="2">
        <f>IFERROR(__xludf.DUMMYFUNCTION("""COMPUTED_VALUE"""),658.0)</f>
        <v>658</v>
      </c>
      <c r="B659" s="2" t="str">
        <f>IFERROR(__xludf.DUMMYFUNCTION("""COMPUTED_VALUE"""),"Romola McBay")</f>
        <v>Romola McBay</v>
      </c>
      <c r="C659" s="2" t="str">
        <f>IFERROR(__xludf.DUMMYFUNCTION("""COMPUTED_VALUE"""),"rmcbayia@pbs.org")</f>
        <v>rmcbayia@pbs.org</v>
      </c>
      <c r="D659" s="4">
        <f>IFERROR(__xludf.DUMMYFUNCTION("""COMPUTED_VALUE"""),23.0)</f>
        <v>23</v>
      </c>
      <c r="E659" s="4">
        <f>IFERROR(__xludf.DUMMYFUNCTION("""COMPUTED_VALUE"""),40.0)</f>
        <v>40</v>
      </c>
      <c r="F659" s="4">
        <f>IFERROR(__xludf.DUMMYFUNCTION("""COMPUTED_VALUE"""),1.0)</f>
        <v>1</v>
      </c>
      <c r="G659" s="4">
        <f>IFERROR(__xludf.DUMMYFUNCTION("""COMPUTED_VALUE"""),1094.0)</f>
        <v>1094</v>
      </c>
      <c r="H659" s="5">
        <f>IFERROR(__xludf.DUMMYFUNCTION("""COMPUTED_VALUE"""),3005.08)</f>
        <v>3005.08</v>
      </c>
      <c r="I659" s="5">
        <f>IFERROR(__xludf.DUMMYFUNCTION("""COMPUTED_VALUE"""),7877.24)</f>
        <v>7877.24</v>
      </c>
      <c r="J659" s="5">
        <f>IFERROR(__xludf.DUMMYFUNCTION("""COMPUTED_VALUE"""),787.59)</f>
        <v>787.59</v>
      </c>
      <c r="K659" s="5">
        <f>IFERROR(__xludf.DUMMYFUNCTION("""COMPUTED_VALUE"""),7536.69)</f>
        <v>7536.69</v>
      </c>
      <c r="L659" s="4">
        <f>IFERROR(__xludf.DUMMYFUNCTION("""COMPUTED_VALUE"""),8.0)</f>
        <v>8</v>
      </c>
      <c r="M659" s="4">
        <f>IFERROR(__xludf.DUMMYFUNCTION("""COMPUTED_VALUE"""),51.0)</f>
        <v>51</v>
      </c>
      <c r="N659" s="2" t="str">
        <f>IFERROR(__xludf.DUMMYFUNCTION("""COMPUTED_VALUE"""),"VERDADERO")</f>
        <v>VERDADERO</v>
      </c>
    </row>
    <row r="660">
      <c r="A660" s="2">
        <f>IFERROR(__xludf.DUMMYFUNCTION("""COMPUTED_VALUE"""),659.0)</f>
        <v>659</v>
      </c>
      <c r="B660" s="2" t="str">
        <f>IFERROR(__xludf.DUMMYFUNCTION("""COMPUTED_VALUE"""),"Carolan Peck")</f>
        <v>Carolan Peck</v>
      </c>
      <c r="C660" s="2" t="str">
        <f>IFERROR(__xludf.DUMMYFUNCTION("""COMPUTED_VALUE"""),"cpeckib@independent.co.uk")</f>
        <v>cpeckib@independent.co.uk</v>
      </c>
      <c r="D660" s="4">
        <f>IFERROR(__xludf.DUMMYFUNCTION("""COMPUTED_VALUE"""),27.0)</f>
        <v>27</v>
      </c>
      <c r="E660" s="4">
        <f>IFERROR(__xludf.DUMMYFUNCTION("""COMPUTED_VALUE"""),55.0)</f>
        <v>55</v>
      </c>
      <c r="F660" s="4">
        <f>IFERROR(__xludf.DUMMYFUNCTION("""COMPUTED_VALUE"""),8.0)</f>
        <v>8</v>
      </c>
      <c r="G660" s="4">
        <f>IFERROR(__xludf.DUMMYFUNCTION("""COMPUTED_VALUE"""),1179.0)</f>
        <v>1179</v>
      </c>
      <c r="H660" s="5">
        <f>IFERROR(__xludf.DUMMYFUNCTION("""COMPUTED_VALUE"""),4513.23)</f>
        <v>4513.23</v>
      </c>
      <c r="I660" s="5">
        <f>IFERROR(__xludf.DUMMYFUNCTION("""COMPUTED_VALUE"""),7252.1)</f>
        <v>7252.1</v>
      </c>
      <c r="J660" s="5">
        <f>IFERROR(__xludf.DUMMYFUNCTION("""COMPUTED_VALUE"""),3966.45)</f>
        <v>3966.45</v>
      </c>
      <c r="K660" s="5">
        <f>IFERROR(__xludf.DUMMYFUNCTION("""COMPUTED_VALUE"""),6479.54)</f>
        <v>6479.54</v>
      </c>
      <c r="L660" s="4">
        <f>IFERROR(__xludf.DUMMYFUNCTION("""COMPUTED_VALUE"""),17.0)</f>
        <v>17</v>
      </c>
      <c r="M660" s="4">
        <f>IFERROR(__xludf.DUMMYFUNCTION("""COMPUTED_VALUE"""),18.0)</f>
        <v>18</v>
      </c>
      <c r="N660" s="2" t="str">
        <f>IFERROR(__xludf.DUMMYFUNCTION("""COMPUTED_VALUE"""),"FALSO")</f>
        <v>FALSO</v>
      </c>
    </row>
    <row r="661">
      <c r="A661" s="2">
        <f>IFERROR(__xludf.DUMMYFUNCTION("""COMPUTED_VALUE"""),660.0)</f>
        <v>660</v>
      </c>
      <c r="B661" s="2" t="str">
        <f>IFERROR(__xludf.DUMMYFUNCTION("""COMPUTED_VALUE"""),"Trudy Johnstone")</f>
        <v>Trudy Johnstone</v>
      </c>
      <c r="C661" s="2" t="str">
        <f>IFERROR(__xludf.DUMMYFUNCTION("""COMPUTED_VALUE"""),"tjohnstoneic@seattletimes.com")</f>
        <v>tjohnstoneic@seattletimes.com</v>
      </c>
      <c r="D661" s="4">
        <f>IFERROR(__xludf.DUMMYFUNCTION("""COMPUTED_VALUE"""),29.0)</f>
        <v>29</v>
      </c>
      <c r="E661" s="4">
        <f>IFERROR(__xludf.DUMMYFUNCTION("""COMPUTED_VALUE"""),67.0)</f>
        <v>67</v>
      </c>
      <c r="F661" s="4">
        <f>IFERROR(__xludf.DUMMYFUNCTION("""COMPUTED_VALUE"""),5.0)</f>
        <v>5</v>
      </c>
      <c r="G661" s="4">
        <f>IFERROR(__xludf.DUMMYFUNCTION("""COMPUTED_VALUE"""),1016.0)</f>
        <v>1016</v>
      </c>
      <c r="H661" s="5">
        <f>IFERROR(__xludf.DUMMYFUNCTION("""COMPUTED_VALUE"""),8374.34)</f>
        <v>8374.34</v>
      </c>
      <c r="I661" s="5">
        <f>IFERROR(__xludf.DUMMYFUNCTION("""COMPUTED_VALUE"""),3071.5)</f>
        <v>3071.5</v>
      </c>
      <c r="J661" s="5">
        <f>IFERROR(__xludf.DUMMYFUNCTION("""COMPUTED_VALUE"""),4468.59)</f>
        <v>4468.59</v>
      </c>
      <c r="K661" s="5">
        <f>IFERROR(__xludf.DUMMYFUNCTION("""COMPUTED_VALUE"""),2560.56)</f>
        <v>2560.56</v>
      </c>
      <c r="L661" s="4">
        <f>IFERROR(__xludf.DUMMYFUNCTION("""COMPUTED_VALUE"""),17.0)</f>
        <v>17</v>
      </c>
      <c r="M661" s="4">
        <f>IFERROR(__xludf.DUMMYFUNCTION("""COMPUTED_VALUE"""),15.0)</f>
        <v>15</v>
      </c>
      <c r="N661" s="2" t="str">
        <f>IFERROR(__xludf.DUMMYFUNCTION("""COMPUTED_VALUE"""),"VERDADERO")</f>
        <v>VERDADERO</v>
      </c>
    </row>
    <row r="662">
      <c r="A662" s="2">
        <f>IFERROR(__xludf.DUMMYFUNCTION("""COMPUTED_VALUE"""),661.0)</f>
        <v>661</v>
      </c>
      <c r="B662" s="2" t="str">
        <f>IFERROR(__xludf.DUMMYFUNCTION("""COMPUTED_VALUE"""),"Aurore Cannam")</f>
        <v>Aurore Cannam</v>
      </c>
      <c r="C662" s="2" t="str">
        <f>IFERROR(__xludf.DUMMYFUNCTION("""COMPUTED_VALUE"""),"acannamid@twitter.com")</f>
        <v>acannamid@twitter.com</v>
      </c>
      <c r="D662" s="4">
        <f>IFERROR(__xludf.DUMMYFUNCTION("""COMPUTED_VALUE"""),150.0)</f>
        <v>150</v>
      </c>
      <c r="E662" s="4">
        <f>IFERROR(__xludf.DUMMYFUNCTION("""COMPUTED_VALUE"""),66.0)</f>
        <v>66</v>
      </c>
      <c r="F662" s="4">
        <f>IFERROR(__xludf.DUMMYFUNCTION("""COMPUTED_VALUE"""),6.0)</f>
        <v>6</v>
      </c>
      <c r="G662" s="4">
        <f>IFERROR(__xludf.DUMMYFUNCTION("""COMPUTED_VALUE"""),1399.0)</f>
        <v>1399</v>
      </c>
      <c r="H662" s="5">
        <f>IFERROR(__xludf.DUMMYFUNCTION("""COMPUTED_VALUE"""),3127.36)</f>
        <v>3127.36</v>
      </c>
      <c r="I662" s="5">
        <f>IFERROR(__xludf.DUMMYFUNCTION("""COMPUTED_VALUE"""),1128.53)</f>
        <v>1128.53</v>
      </c>
      <c r="J662" s="5">
        <f>IFERROR(__xludf.DUMMYFUNCTION("""COMPUTED_VALUE"""),1166.81)</f>
        <v>1166.81</v>
      </c>
      <c r="K662" s="5">
        <f>IFERROR(__xludf.DUMMYFUNCTION("""COMPUTED_VALUE"""),7375.67)</f>
        <v>7375.67</v>
      </c>
      <c r="L662" s="4">
        <f>IFERROR(__xludf.DUMMYFUNCTION("""COMPUTED_VALUE"""),13.0)</f>
        <v>13</v>
      </c>
      <c r="M662" s="4">
        <f>IFERROR(__xludf.DUMMYFUNCTION("""COMPUTED_VALUE"""),27.0)</f>
        <v>27</v>
      </c>
      <c r="N662" s="2" t="str">
        <f>IFERROR(__xludf.DUMMYFUNCTION("""COMPUTED_VALUE"""),"VERDADERO")</f>
        <v>VERDADERO</v>
      </c>
    </row>
    <row r="663">
      <c r="A663" s="2">
        <f>IFERROR(__xludf.DUMMYFUNCTION("""COMPUTED_VALUE"""),662.0)</f>
        <v>662</v>
      </c>
      <c r="B663" s="2" t="str">
        <f>IFERROR(__xludf.DUMMYFUNCTION("""COMPUTED_VALUE"""),"Barbee Mannering")</f>
        <v>Barbee Mannering</v>
      </c>
      <c r="C663" s="2" t="str">
        <f>IFERROR(__xludf.DUMMYFUNCTION("""COMPUTED_VALUE"""),"bmanneringie@wsj.com")</f>
        <v>bmanneringie@wsj.com</v>
      </c>
      <c r="D663" s="4">
        <f>IFERROR(__xludf.DUMMYFUNCTION("""COMPUTED_VALUE"""),29.0)</f>
        <v>29</v>
      </c>
      <c r="E663" s="4">
        <f>IFERROR(__xludf.DUMMYFUNCTION("""COMPUTED_VALUE"""),42.0)</f>
        <v>42</v>
      </c>
      <c r="F663" s="4">
        <f>IFERROR(__xludf.DUMMYFUNCTION("""COMPUTED_VALUE"""),11.0)</f>
        <v>11</v>
      </c>
      <c r="G663" s="4">
        <f>IFERROR(__xludf.DUMMYFUNCTION("""COMPUTED_VALUE"""),426.0)</f>
        <v>426</v>
      </c>
      <c r="H663" s="5">
        <f>IFERROR(__xludf.DUMMYFUNCTION("""COMPUTED_VALUE"""),138.96)</f>
        <v>138.96</v>
      </c>
      <c r="I663" s="5">
        <f>IFERROR(__xludf.DUMMYFUNCTION("""COMPUTED_VALUE"""),8155.84)</f>
        <v>8155.84</v>
      </c>
      <c r="J663" s="5">
        <f>IFERROR(__xludf.DUMMYFUNCTION("""COMPUTED_VALUE"""),2913.44)</f>
        <v>2913.44</v>
      </c>
      <c r="K663" s="5">
        <f>IFERROR(__xludf.DUMMYFUNCTION("""COMPUTED_VALUE"""),7960.52)</f>
        <v>7960.52</v>
      </c>
      <c r="L663" s="4">
        <f>IFERROR(__xludf.DUMMYFUNCTION("""COMPUTED_VALUE"""),8.0)</f>
        <v>8</v>
      </c>
      <c r="M663" s="4">
        <f>IFERROR(__xludf.DUMMYFUNCTION("""COMPUTED_VALUE"""),50.0)</f>
        <v>50</v>
      </c>
      <c r="N663" s="2" t="str">
        <f>IFERROR(__xludf.DUMMYFUNCTION("""COMPUTED_VALUE"""),"VERDADERO")</f>
        <v>VERDADERO</v>
      </c>
    </row>
    <row r="664">
      <c r="A664" s="2">
        <f>IFERROR(__xludf.DUMMYFUNCTION("""COMPUTED_VALUE"""),663.0)</f>
        <v>663</v>
      </c>
      <c r="B664" s="2" t="str">
        <f>IFERROR(__xludf.DUMMYFUNCTION("""COMPUTED_VALUE"""),"Kris Lorrie")</f>
        <v>Kris Lorrie</v>
      </c>
      <c r="C664" s="2" t="str">
        <f>IFERROR(__xludf.DUMMYFUNCTION("""COMPUTED_VALUE"""),"klorrieif@bandcamp.com")</f>
        <v>klorrieif@bandcamp.com</v>
      </c>
      <c r="D664" s="4">
        <f>IFERROR(__xludf.DUMMYFUNCTION("""COMPUTED_VALUE"""),119.0)</f>
        <v>119</v>
      </c>
      <c r="E664" s="4">
        <f>IFERROR(__xludf.DUMMYFUNCTION("""COMPUTED_VALUE"""),94.0)</f>
        <v>94</v>
      </c>
      <c r="F664" s="4">
        <f>IFERROR(__xludf.DUMMYFUNCTION("""COMPUTED_VALUE"""),9.0)</f>
        <v>9</v>
      </c>
      <c r="G664" s="4">
        <f>IFERROR(__xludf.DUMMYFUNCTION("""COMPUTED_VALUE"""),327.0)</f>
        <v>327</v>
      </c>
      <c r="H664" s="5">
        <f>IFERROR(__xludf.DUMMYFUNCTION("""COMPUTED_VALUE"""),9489.38)</f>
        <v>9489.38</v>
      </c>
      <c r="I664" s="5">
        <f>IFERROR(__xludf.DUMMYFUNCTION("""COMPUTED_VALUE"""),8659.44)</f>
        <v>8659.44</v>
      </c>
      <c r="J664" s="5">
        <f>IFERROR(__xludf.DUMMYFUNCTION("""COMPUTED_VALUE"""),8032.27)</f>
        <v>8032.27</v>
      </c>
      <c r="K664" s="5">
        <f>IFERROR(__xludf.DUMMYFUNCTION("""COMPUTED_VALUE"""),9651.98)</f>
        <v>9651.98</v>
      </c>
      <c r="L664" s="4">
        <f>IFERROR(__xludf.DUMMYFUNCTION("""COMPUTED_VALUE"""),11.0)</f>
        <v>11</v>
      </c>
      <c r="M664" s="4">
        <f>IFERROR(__xludf.DUMMYFUNCTION("""COMPUTED_VALUE"""),21.0)</f>
        <v>21</v>
      </c>
      <c r="N664" s="2" t="str">
        <f>IFERROR(__xludf.DUMMYFUNCTION("""COMPUTED_VALUE"""),"FALSO")</f>
        <v>FALSO</v>
      </c>
    </row>
    <row r="665">
      <c r="A665" s="2">
        <f>IFERROR(__xludf.DUMMYFUNCTION("""COMPUTED_VALUE"""),664.0)</f>
        <v>664</v>
      </c>
      <c r="B665" s="2" t="str">
        <f>IFERROR(__xludf.DUMMYFUNCTION("""COMPUTED_VALUE"""),"Leshia Melan")</f>
        <v>Leshia Melan</v>
      </c>
      <c r="C665" s="2" t="str">
        <f>IFERROR(__xludf.DUMMYFUNCTION("""COMPUTED_VALUE"""),"lmelanig@latimes.com")</f>
        <v>lmelanig@latimes.com</v>
      </c>
      <c r="D665" s="4">
        <f>IFERROR(__xludf.DUMMYFUNCTION("""COMPUTED_VALUE"""),65.0)</f>
        <v>65</v>
      </c>
      <c r="E665" s="4">
        <f>IFERROR(__xludf.DUMMYFUNCTION("""COMPUTED_VALUE"""),40.0)</f>
        <v>40</v>
      </c>
      <c r="F665" s="4">
        <f>IFERROR(__xludf.DUMMYFUNCTION("""COMPUTED_VALUE"""),1.0)</f>
        <v>1</v>
      </c>
      <c r="G665" s="4">
        <f>IFERROR(__xludf.DUMMYFUNCTION("""COMPUTED_VALUE"""),142.0)</f>
        <v>142</v>
      </c>
      <c r="H665" s="5">
        <f>IFERROR(__xludf.DUMMYFUNCTION("""COMPUTED_VALUE"""),7775.01)</f>
        <v>7775.01</v>
      </c>
      <c r="I665" s="5">
        <f>IFERROR(__xludf.DUMMYFUNCTION("""COMPUTED_VALUE"""),2584.21)</f>
        <v>2584.21</v>
      </c>
      <c r="J665" s="5">
        <f>IFERROR(__xludf.DUMMYFUNCTION("""COMPUTED_VALUE"""),6817.36)</f>
        <v>6817.36</v>
      </c>
      <c r="K665" s="5">
        <f>IFERROR(__xludf.DUMMYFUNCTION("""COMPUTED_VALUE"""),677.85)</f>
        <v>677.85</v>
      </c>
      <c r="L665" s="4">
        <f>IFERROR(__xludf.DUMMYFUNCTION("""COMPUTED_VALUE"""),9.0)</f>
        <v>9</v>
      </c>
      <c r="M665" s="4">
        <f>IFERROR(__xludf.DUMMYFUNCTION("""COMPUTED_VALUE"""),96.0)</f>
        <v>96</v>
      </c>
      <c r="N665" s="2" t="str">
        <f>IFERROR(__xludf.DUMMYFUNCTION("""COMPUTED_VALUE"""),"VERDADERO")</f>
        <v>VERDADERO</v>
      </c>
    </row>
    <row r="666">
      <c r="A666" s="2">
        <f>IFERROR(__xludf.DUMMYFUNCTION("""COMPUTED_VALUE"""),665.0)</f>
        <v>665</v>
      </c>
      <c r="B666" s="2" t="str">
        <f>IFERROR(__xludf.DUMMYFUNCTION("""COMPUTED_VALUE"""),"Barbara Tamsett")</f>
        <v>Barbara Tamsett</v>
      </c>
      <c r="C666" s="2" t="str">
        <f>IFERROR(__xludf.DUMMYFUNCTION("""COMPUTED_VALUE"""),"btamsettih@comcast.net")</f>
        <v>btamsettih@comcast.net</v>
      </c>
      <c r="D666" s="4">
        <f>IFERROR(__xludf.DUMMYFUNCTION("""COMPUTED_VALUE"""),12.0)</f>
        <v>12</v>
      </c>
      <c r="E666" s="4">
        <f>IFERROR(__xludf.DUMMYFUNCTION("""COMPUTED_VALUE"""),106.0)</f>
        <v>106</v>
      </c>
      <c r="F666" s="4">
        <f>IFERROR(__xludf.DUMMYFUNCTION("""COMPUTED_VALUE"""),4.0)</f>
        <v>4</v>
      </c>
      <c r="G666" s="4">
        <f>IFERROR(__xludf.DUMMYFUNCTION("""COMPUTED_VALUE"""),1207.0)</f>
        <v>1207</v>
      </c>
      <c r="H666" s="5">
        <f>IFERROR(__xludf.DUMMYFUNCTION("""COMPUTED_VALUE"""),5101.34)</f>
        <v>5101.34</v>
      </c>
      <c r="I666" s="5">
        <f>IFERROR(__xludf.DUMMYFUNCTION("""COMPUTED_VALUE"""),8899.8)</f>
        <v>8899.8</v>
      </c>
      <c r="J666" s="5">
        <f>IFERROR(__xludf.DUMMYFUNCTION("""COMPUTED_VALUE"""),6580.94)</f>
        <v>6580.94</v>
      </c>
      <c r="K666" s="5">
        <f>IFERROR(__xludf.DUMMYFUNCTION("""COMPUTED_VALUE"""),2357.63)</f>
        <v>2357.63</v>
      </c>
      <c r="L666" s="4">
        <f>IFERROR(__xludf.DUMMYFUNCTION("""COMPUTED_VALUE"""),1.0)</f>
        <v>1</v>
      </c>
      <c r="M666" s="4">
        <f>IFERROR(__xludf.DUMMYFUNCTION("""COMPUTED_VALUE"""),54.0)</f>
        <v>54</v>
      </c>
      <c r="N666" s="2" t="str">
        <f>IFERROR(__xludf.DUMMYFUNCTION("""COMPUTED_VALUE"""),"FALSO")</f>
        <v>FALSO</v>
      </c>
    </row>
    <row r="667">
      <c r="A667" s="2">
        <f>IFERROR(__xludf.DUMMYFUNCTION("""COMPUTED_VALUE"""),666.0)</f>
        <v>666</v>
      </c>
      <c r="B667" s="2" t="str">
        <f>IFERROR(__xludf.DUMMYFUNCTION("""COMPUTED_VALUE"""),"Husein Disney")</f>
        <v>Husein Disney</v>
      </c>
      <c r="C667" s="2" t="str">
        <f>IFERROR(__xludf.DUMMYFUNCTION("""COMPUTED_VALUE"""),"hdisneyii@toplist.cz")</f>
        <v>hdisneyii@toplist.cz</v>
      </c>
      <c r="D667" s="4">
        <f>IFERROR(__xludf.DUMMYFUNCTION("""COMPUTED_VALUE"""),122.0)</f>
        <v>122</v>
      </c>
      <c r="E667" s="4">
        <f>IFERROR(__xludf.DUMMYFUNCTION("""COMPUTED_VALUE"""),102.0)</f>
        <v>102</v>
      </c>
      <c r="F667" s="4">
        <f>IFERROR(__xludf.DUMMYFUNCTION("""COMPUTED_VALUE"""),4.0)</f>
        <v>4</v>
      </c>
      <c r="G667" s="4">
        <f>IFERROR(__xludf.DUMMYFUNCTION("""COMPUTED_VALUE"""),692.0)</f>
        <v>692</v>
      </c>
      <c r="H667" s="5">
        <f>IFERROR(__xludf.DUMMYFUNCTION("""COMPUTED_VALUE"""),4577.28)</f>
        <v>4577.28</v>
      </c>
      <c r="I667" s="5">
        <f>IFERROR(__xludf.DUMMYFUNCTION("""COMPUTED_VALUE"""),4599.09)</f>
        <v>4599.09</v>
      </c>
      <c r="J667" s="5">
        <f>IFERROR(__xludf.DUMMYFUNCTION("""COMPUTED_VALUE"""),5456.02)</f>
        <v>5456.02</v>
      </c>
      <c r="K667" s="5">
        <f>IFERROR(__xludf.DUMMYFUNCTION("""COMPUTED_VALUE"""),1549.69)</f>
        <v>1549.69</v>
      </c>
      <c r="L667" s="4">
        <f>IFERROR(__xludf.DUMMYFUNCTION("""COMPUTED_VALUE"""),3.0)</f>
        <v>3</v>
      </c>
      <c r="M667" s="4">
        <f>IFERROR(__xludf.DUMMYFUNCTION("""COMPUTED_VALUE"""),17.0)</f>
        <v>17</v>
      </c>
      <c r="N667" s="2" t="str">
        <f>IFERROR(__xludf.DUMMYFUNCTION("""COMPUTED_VALUE"""),"FALSO")</f>
        <v>FALSO</v>
      </c>
    </row>
    <row r="668">
      <c r="A668" s="2">
        <f>IFERROR(__xludf.DUMMYFUNCTION("""COMPUTED_VALUE"""),667.0)</f>
        <v>667</v>
      </c>
      <c r="B668" s="2" t="str">
        <f>IFERROR(__xludf.DUMMYFUNCTION("""COMPUTED_VALUE"""),"Jana Hadley")</f>
        <v>Jana Hadley</v>
      </c>
      <c r="C668" s="2" t="str">
        <f>IFERROR(__xludf.DUMMYFUNCTION("""COMPUTED_VALUE"""),"jhadleyij@netlog.com")</f>
        <v>jhadleyij@netlog.com</v>
      </c>
      <c r="D668" s="4">
        <f>IFERROR(__xludf.DUMMYFUNCTION("""COMPUTED_VALUE"""),122.0)</f>
        <v>122</v>
      </c>
      <c r="E668" s="4">
        <f>IFERROR(__xludf.DUMMYFUNCTION("""COMPUTED_VALUE"""),29.0)</f>
        <v>29</v>
      </c>
      <c r="F668" s="4">
        <f>IFERROR(__xludf.DUMMYFUNCTION("""COMPUTED_VALUE"""),11.0)</f>
        <v>11</v>
      </c>
      <c r="G668" s="4">
        <f>IFERROR(__xludf.DUMMYFUNCTION("""COMPUTED_VALUE"""),233.0)</f>
        <v>233</v>
      </c>
      <c r="H668" s="5">
        <f>IFERROR(__xludf.DUMMYFUNCTION("""COMPUTED_VALUE"""),6623.81)</f>
        <v>6623.81</v>
      </c>
      <c r="I668" s="5">
        <f>IFERROR(__xludf.DUMMYFUNCTION("""COMPUTED_VALUE"""),3435.18)</f>
        <v>3435.18</v>
      </c>
      <c r="J668" s="5">
        <f>IFERROR(__xludf.DUMMYFUNCTION("""COMPUTED_VALUE"""),9877.56)</f>
        <v>9877.56</v>
      </c>
      <c r="K668" s="5">
        <f>IFERROR(__xludf.DUMMYFUNCTION("""COMPUTED_VALUE"""),1618.21)</f>
        <v>1618.21</v>
      </c>
      <c r="L668" s="4">
        <f>IFERROR(__xludf.DUMMYFUNCTION("""COMPUTED_VALUE"""),7.0)</f>
        <v>7</v>
      </c>
      <c r="M668" s="4">
        <f>IFERROR(__xludf.DUMMYFUNCTION("""COMPUTED_VALUE"""),74.0)</f>
        <v>74</v>
      </c>
      <c r="N668" s="2" t="str">
        <f>IFERROR(__xludf.DUMMYFUNCTION("""COMPUTED_VALUE"""),"VERDADERO")</f>
        <v>VERDADERO</v>
      </c>
    </row>
    <row r="669">
      <c r="A669" s="2">
        <f>IFERROR(__xludf.DUMMYFUNCTION("""COMPUTED_VALUE"""),668.0)</f>
        <v>668</v>
      </c>
      <c r="B669" s="2" t="str">
        <f>IFERROR(__xludf.DUMMYFUNCTION("""COMPUTED_VALUE"""),"Marji Woodroff")</f>
        <v>Marji Woodroff</v>
      </c>
      <c r="C669" s="2" t="str">
        <f>IFERROR(__xludf.DUMMYFUNCTION("""COMPUTED_VALUE"""),"mwoodroffik@squidoo.com")</f>
        <v>mwoodroffik@squidoo.com</v>
      </c>
      <c r="D669" s="4">
        <f>IFERROR(__xludf.DUMMYFUNCTION("""COMPUTED_VALUE"""),124.0)</f>
        <v>124</v>
      </c>
      <c r="E669" s="4">
        <f>IFERROR(__xludf.DUMMYFUNCTION("""COMPUTED_VALUE"""),9.0)</f>
        <v>9</v>
      </c>
      <c r="F669" s="4">
        <f>IFERROR(__xludf.DUMMYFUNCTION("""COMPUTED_VALUE"""),10.0)</f>
        <v>10</v>
      </c>
      <c r="G669" s="4">
        <f>IFERROR(__xludf.DUMMYFUNCTION("""COMPUTED_VALUE"""),284.0)</f>
        <v>284</v>
      </c>
      <c r="H669" s="5">
        <f>IFERROR(__xludf.DUMMYFUNCTION("""COMPUTED_VALUE"""),3570.83)</f>
        <v>3570.83</v>
      </c>
      <c r="I669" s="5">
        <f>IFERROR(__xludf.DUMMYFUNCTION("""COMPUTED_VALUE"""),796.73)</f>
        <v>796.73</v>
      </c>
      <c r="J669" s="5">
        <f>IFERROR(__xludf.DUMMYFUNCTION("""COMPUTED_VALUE"""),2078.5)</f>
        <v>2078.5</v>
      </c>
      <c r="K669" s="5">
        <f>IFERROR(__xludf.DUMMYFUNCTION("""COMPUTED_VALUE"""),3439.34)</f>
        <v>3439.34</v>
      </c>
      <c r="L669" s="4">
        <f>IFERROR(__xludf.DUMMYFUNCTION("""COMPUTED_VALUE"""),2.0)</f>
        <v>2</v>
      </c>
      <c r="M669" s="4">
        <f>IFERROR(__xludf.DUMMYFUNCTION("""COMPUTED_VALUE"""),39.0)</f>
        <v>39</v>
      </c>
      <c r="N669" s="2" t="str">
        <f>IFERROR(__xludf.DUMMYFUNCTION("""COMPUTED_VALUE"""),"VERDADERO")</f>
        <v>VERDADERO</v>
      </c>
    </row>
    <row r="670">
      <c r="A670" s="2">
        <f>IFERROR(__xludf.DUMMYFUNCTION("""COMPUTED_VALUE"""),669.0)</f>
        <v>669</v>
      </c>
      <c r="B670" s="2" t="str">
        <f>IFERROR(__xludf.DUMMYFUNCTION("""COMPUTED_VALUE"""),"Theodora Broadley")</f>
        <v>Theodora Broadley</v>
      </c>
      <c r="C670" s="2" t="str">
        <f>IFERROR(__xludf.DUMMYFUNCTION("""COMPUTED_VALUE"""),"tbroadleyil@foxnews.com")</f>
        <v>tbroadleyil@foxnews.com</v>
      </c>
      <c r="D670" s="4">
        <f>IFERROR(__xludf.DUMMYFUNCTION("""COMPUTED_VALUE"""),158.0)</f>
        <v>158</v>
      </c>
      <c r="E670" s="4">
        <f>IFERROR(__xludf.DUMMYFUNCTION("""COMPUTED_VALUE"""),81.0)</f>
        <v>81</v>
      </c>
      <c r="F670" s="4">
        <f>IFERROR(__xludf.DUMMYFUNCTION("""COMPUTED_VALUE"""),2.0)</f>
        <v>2</v>
      </c>
      <c r="G670" s="4">
        <f>IFERROR(__xludf.DUMMYFUNCTION("""COMPUTED_VALUE"""),170.0)</f>
        <v>170</v>
      </c>
      <c r="H670" s="5">
        <f>IFERROR(__xludf.DUMMYFUNCTION("""COMPUTED_VALUE"""),9416.34)</f>
        <v>9416.34</v>
      </c>
      <c r="I670" s="5">
        <f>IFERROR(__xludf.DUMMYFUNCTION("""COMPUTED_VALUE"""),6850.8)</f>
        <v>6850.8</v>
      </c>
      <c r="J670" s="5">
        <f>IFERROR(__xludf.DUMMYFUNCTION("""COMPUTED_VALUE"""),2226.87)</f>
        <v>2226.87</v>
      </c>
      <c r="K670" s="5">
        <f>IFERROR(__xludf.DUMMYFUNCTION("""COMPUTED_VALUE"""),1120.95)</f>
        <v>1120.95</v>
      </c>
      <c r="L670" s="4">
        <f>IFERROR(__xludf.DUMMYFUNCTION("""COMPUTED_VALUE"""),6.0)</f>
        <v>6</v>
      </c>
      <c r="M670" s="4">
        <f>IFERROR(__xludf.DUMMYFUNCTION("""COMPUTED_VALUE"""),22.0)</f>
        <v>22</v>
      </c>
      <c r="N670" s="2" t="str">
        <f>IFERROR(__xludf.DUMMYFUNCTION("""COMPUTED_VALUE"""),"FALSO")</f>
        <v>FALSO</v>
      </c>
    </row>
    <row r="671">
      <c r="A671" s="2">
        <f>IFERROR(__xludf.DUMMYFUNCTION("""COMPUTED_VALUE"""),670.0)</f>
        <v>670</v>
      </c>
      <c r="B671" s="2" t="str">
        <f>IFERROR(__xludf.DUMMYFUNCTION("""COMPUTED_VALUE"""),"Emma Patzelt")</f>
        <v>Emma Patzelt</v>
      </c>
      <c r="C671" s="2" t="str">
        <f>IFERROR(__xludf.DUMMYFUNCTION("""COMPUTED_VALUE"""),"epatzeltim@artisteer.com")</f>
        <v>epatzeltim@artisteer.com</v>
      </c>
      <c r="D671" s="4">
        <f>IFERROR(__xludf.DUMMYFUNCTION("""COMPUTED_VALUE"""),49.0)</f>
        <v>49</v>
      </c>
      <c r="E671" s="4">
        <f>IFERROR(__xludf.DUMMYFUNCTION("""COMPUTED_VALUE"""),102.0)</f>
        <v>102</v>
      </c>
      <c r="F671" s="4">
        <f>IFERROR(__xludf.DUMMYFUNCTION("""COMPUTED_VALUE"""),4.0)</f>
        <v>4</v>
      </c>
      <c r="G671" s="4">
        <f>IFERROR(__xludf.DUMMYFUNCTION("""COMPUTED_VALUE"""),529.0)</f>
        <v>529</v>
      </c>
      <c r="H671" s="5">
        <f>IFERROR(__xludf.DUMMYFUNCTION("""COMPUTED_VALUE"""),3110.14)</f>
        <v>3110.14</v>
      </c>
      <c r="I671" s="5">
        <f>IFERROR(__xludf.DUMMYFUNCTION("""COMPUTED_VALUE"""),4730.3)</f>
        <v>4730.3</v>
      </c>
      <c r="J671" s="5">
        <f>IFERROR(__xludf.DUMMYFUNCTION("""COMPUTED_VALUE"""),4131.3)</f>
        <v>4131.3</v>
      </c>
      <c r="K671" s="5">
        <f>IFERROR(__xludf.DUMMYFUNCTION("""COMPUTED_VALUE"""),5318.46)</f>
        <v>5318.46</v>
      </c>
      <c r="L671" s="4">
        <f>IFERROR(__xludf.DUMMYFUNCTION("""COMPUTED_VALUE"""),2.0)</f>
        <v>2</v>
      </c>
      <c r="M671" s="4">
        <f>IFERROR(__xludf.DUMMYFUNCTION("""COMPUTED_VALUE"""),79.0)</f>
        <v>79</v>
      </c>
      <c r="N671" s="2" t="str">
        <f>IFERROR(__xludf.DUMMYFUNCTION("""COMPUTED_VALUE"""),"VERDADERO")</f>
        <v>VERDADERO</v>
      </c>
    </row>
    <row r="672">
      <c r="A672" s="2">
        <f>IFERROR(__xludf.DUMMYFUNCTION("""COMPUTED_VALUE"""),671.0)</f>
        <v>671</v>
      </c>
      <c r="B672" s="2" t="str">
        <f>IFERROR(__xludf.DUMMYFUNCTION("""COMPUTED_VALUE"""),"Fredia Sander")</f>
        <v>Fredia Sander</v>
      </c>
      <c r="C672" s="2" t="str">
        <f>IFERROR(__xludf.DUMMYFUNCTION("""COMPUTED_VALUE"""),"fsanderin@usda.gov")</f>
        <v>fsanderin@usda.gov</v>
      </c>
      <c r="D672" s="4">
        <f>IFERROR(__xludf.DUMMYFUNCTION("""COMPUTED_VALUE"""),119.0)</f>
        <v>119</v>
      </c>
      <c r="E672" s="4">
        <f>IFERROR(__xludf.DUMMYFUNCTION("""COMPUTED_VALUE"""),56.0)</f>
        <v>56</v>
      </c>
      <c r="F672" s="4">
        <f>IFERROR(__xludf.DUMMYFUNCTION("""COMPUTED_VALUE"""),6.0)</f>
        <v>6</v>
      </c>
      <c r="G672" s="4">
        <f>IFERROR(__xludf.DUMMYFUNCTION("""COMPUTED_VALUE"""),430.0)</f>
        <v>430</v>
      </c>
      <c r="H672" s="5">
        <f>IFERROR(__xludf.DUMMYFUNCTION("""COMPUTED_VALUE"""),2959.09)</f>
        <v>2959.09</v>
      </c>
      <c r="I672" s="5">
        <f>IFERROR(__xludf.DUMMYFUNCTION("""COMPUTED_VALUE"""),614.97)</f>
        <v>614.97</v>
      </c>
      <c r="J672" s="5">
        <f>IFERROR(__xludf.DUMMYFUNCTION("""COMPUTED_VALUE"""),7261.02)</f>
        <v>7261.02</v>
      </c>
      <c r="K672" s="5">
        <f>IFERROR(__xludf.DUMMYFUNCTION("""COMPUTED_VALUE"""),2821.02)</f>
        <v>2821.02</v>
      </c>
      <c r="L672" s="4">
        <f>IFERROR(__xludf.DUMMYFUNCTION("""COMPUTED_VALUE"""),10.0)</f>
        <v>10</v>
      </c>
      <c r="M672" s="4">
        <f>IFERROR(__xludf.DUMMYFUNCTION("""COMPUTED_VALUE"""),5.0)</f>
        <v>5</v>
      </c>
      <c r="N672" s="2" t="str">
        <f>IFERROR(__xludf.DUMMYFUNCTION("""COMPUTED_VALUE"""),"VERDADERO")</f>
        <v>VERDADERO</v>
      </c>
    </row>
    <row r="673">
      <c r="A673" s="2">
        <f>IFERROR(__xludf.DUMMYFUNCTION("""COMPUTED_VALUE"""),672.0)</f>
        <v>672</v>
      </c>
      <c r="B673" s="2" t="str">
        <f>IFERROR(__xludf.DUMMYFUNCTION("""COMPUTED_VALUE"""),"Clifford Leggate")</f>
        <v>Clifford Leggate</v>
      </c>
      <c r="C673" s="2" t="str">
        <f>IFERROR(__xludf.DUMMYFUNCTION("""COMPUTED_VALUE"""),"cleggateio@si.edu")</f>
        <v>cleggateio@si.edu</v>
      </c>
      <c r="D673" s="4">
        <f>IFERROR(__xludf.DUMMYFUNCTION("""COMPUTED_VALUE"""),124.0)</f>
        <v>124</v>
      </c>
      <c r="E673" s="4">
        <f>IFERROR(__xludf.DUMMYFUNCTION("""COMPUTED_VALUE"""),16.0)</f>
        <v>16</v>
      </c>
      <c r="F673" s="4">
        <f>IFERROR(__xludf.DUMMYFUNCTION("""COMPUTED_VALUE"""),8.0)</f>
        <v>8</v>
      </c>
      <c r="G673" s="4">
        <f>IFERROR(__xludf.DUMMYFUNCTION("""COMPUTED_VALUE"""),32.0)</f>
        <v>32</v>
      </c>
      <c r="H673" s="5">
        <f>IFERROR(__xludf.DUMMYFUNCTION("""COMPUTED_VALUE"""),4162.26)</f>
        <v>4162.26</v>
      </c>
      <c r="I673" s="5">
        <f>IFERROR(__xludf.DUMMYFUNCTION("""COMPUTED_VALUE"""),9104.82)</f>
        <v>9104.82</v>
      </c>
      <c r="J673" s="5">
        <f>IFERROR(__xludf.DUMMYFUNCTION("""COMPUTED_VALUE"""),8035.7)</f>
        <v>8035.7</v>
      </c>
      <c r="K673" s="5">
        <f>IFERROR(__xludf.DUMMYFUNCTION("""COMPUTED_VALUE"""),2526.16)</f>
        <v>2526.16</v>
      </c>
      <c r="L673" s="4">
        <f>IFERROR(__xludf.DUMMYFUNCTION("""COMPUTED_VALUE"""),3.0)</f>
        <v>3</v>
      </c>
      <c r="M673" s="4">
        <f>IFERROR(__xludf.DUMMYFUNCTION("""COMPUTED_VALUE"""),95.0)</f>
        <v>95</v>
      </c>
      <c r="N673" s="2" t="str">
        <f>IFERROR(__xludf.DUMMYFUNCTION("""COMPUTED_VALUE"""),"VERDADERO")</f>
        <v>VERDADERO</v>
      </c>
    </row>
    <row r="674">
      <c r="A674" s="2">
        <f>IFERROR(__xludf.DUMMYFUNCTION("""COMPUTED_VALUE"""),673.0)</f>
        <v>673</v>
      </c>
      <c r="B674" s="2" t="str">
        <f>IFERROR(__xludf.DUMMYFUNCTION("""COMPUTED_VALUE"""),"Phyllida Rosebotham")</f>
        <v>Phyllida Rosebotham</v>
      </c>
      <c r="C674" s="2" t="str">
        <f>IFERROR(__xludf.DUMMYFUNCTION("""COMPUTED_VALUE"""),"prosebothamip@hp.com")</f>
        <v>prosebothamip@hp.com</v>
      </c>
      <c r="D674" s="4">
        <f>IFERROR(__xludf.DUMMYFUNCTION("""COMPUTED_VALUE"""),29.0)</f>
        <v>29</v>
      </c>
      <c r="E674" s="4">
        <f>IFERROR(__xludf.DUMMYFUNCTION("""COMPUTED_VALUE"""),67.0)</f>
        <v>67</v>
      </c>
      <c r="F674" s="4">
        <f>IFERROR(__xludf.DUMMYFUNCTION("""COMPUTED_VALUE"""),5.0)</f>
        <v>5</v>
      </c>
      <c r="G674" s="4">
        <f>IFERROR(__xludf.DUMMYFUNCTION("""COMPUTED_VALUE"""),1024.0)</f>
        <v>1024</v>
      </c>
      <c r="H674" s="5">
        <f>IFERROR(__xludf.DUMMYFUNCTION("""COMPUTED_VALUE"""),33.96)</f>
        <v>33.96</v>
      </c>
      <c r="I674" s="5">
        <f>IFERROR(__xludf.DUMMYFUNCTION("""COMPUTED_VALUE"""),9169.19)</f>
        <v>9169.19</v>
      </c>
      <c r="J674" s="5">
        <f>IFERROR(__xludf.DUMMYFUNCTION("""COMPUTED_VALUE"""),242.95)</f>
        <v>242.95</v>
      </c>
      <c r="K674" s="5">
        <f>IFERROR(__xludf.DUMMYFUNCTION("""COMPUTED_VALUE"""),2955.82)</f>
        <v>2955.82</v>
      </c>
      <c r="L674" s="4">
        <f>IFERROR(__xludf.DUMMYFUNCTION("""COMPUTED_VALUE"""),17.0)</f>
        <v>17</v>
      </c>
      <c r="M674" s="4">
        <f>IFERROR(__xludf.DUMMYFUNCTION("""COMPUTED_VALUE"""),24.0)</f>
        <v>24</v>
      </c>
      <c r="N674" s="2" t="str">
        <f>IFERROR(__xludf.DUMMYFUNCTION("""COMPUTED_VALUE"""),"VERDADERO")</f>
        <v>VERDADERO</v>
      </c>
    </row>
    <row r="675">
      <c r="A675" s="2">
        <f>IFERROR(__xludf.DUMMYFUNCTION("""COMPUTED_VALUE"""),674.0)</f>
        <v>674</v>
      </c>
      <c r="B675" s="2" t="str">
        <f>IFERROR(__xludf.DUMMYFUNCTION("""COMPUTED_VALUE"""),"Marietta Holbie")</f>
        <v>Marietta Holbie</v>
      </c>
      <c r="C675" s="2" t="str">
        <f>IFERROR(__xludf.DUMMYFUNCTION("""COMPUTED_VALUE"""),"mholbieiq@yahoo.com")</f>
        <v>mholbieiq@yahoo.com</v>
      </c>
      <c r="D675" s="4">
        <f>IFERROR(__xludf.DUMMYFUNCTION("""COMPUTED_VALUE"""),120.0)</f>
        <v>120</v>
      </c>
      <c r="E675" s="4">
        <f>IFERROR(__xludf.DUMMYFUNCTION("""COMPUTED_VALUE"""),81.0)</f>
        <v>81</v>
      </c>
      <c r="F675" s="4">
        <f>IFERROR(__xludf.DUMMYFUNCTION("""COMPUTED_VALUE"""),2.0)</f>
        <v>2</v>
      </c>
      <c r="G675" s="4">
        <f>IFERROR(__xludf.DUMMYFUNCTION("""COMPUTED_VALUE"""),117.0)</f>
        <v>117</v>
      </c>
      <c r="H675" s="5">
        <f>IFERROR(__xludf.DUMMYFUNCTION("""COMPUTED_VALUE"""),1622.87)</f>
        <v>1622.87</v>
      </c>
      <c r="I675" s="5">
        <f>IFERROR(__xludf.DUMMYFUNCTION("""COMPUTED_VALUE"""),6327.08)</f>
        <v>6327.08</v>
      </c>
      <c r="J675" s="5">
        <f>IFERROR(__xludf.DUMMYFUNCTION("""COMPUTED_VALUE"""),5997.8)</f>
        <v>5997.8</v>
      </c>
      <c r="K675" s="5">
        <f>IFERROR(__xludf.DUMMYFUNCTION("""COMPUTED_VALUE"""),3717.76)</f>
        <v>3717.76</v>
      </c>
      <c r="L675" s="4">
        <f>IFERROR(__xludf.DUMMYFUNCTION("""COMPUTED_VALUE"""),18.0)</f>
        <v>18</v>
      </c>
      <c r="M675" s="4">
        <f>IFERROR(__xludf.DUMMYFUNCTION("""COMPUTED_VALUE"""),48.0)</f>
        <v>48</v>
      </c>
      <c r="N675" s="2" t="str">
        <f>IFERROR(__xludf.DUMMYFUNCTION("""COMPUTED_VALUE"""),"FALSO")</f>
        <v>FALSO</v>
      </c>
    </row>
    <row r="676">
      <c r="A676" s="2">
        <f>IFERROR(__xludf.DUMMYFUNCTION("""COMPUTED_VALUE"""),675.0)</f>
        <v>675</v>
      </c>
      <c r="B676" s="2" t="str">
        <f>IFERROR(__xludf.DUMMYFUNCTION("""COMPUTED_VALUE"""),"Felipa Gwilliams")</f>
        <v>Felipa Gwilliams</v>
      </c>
      <c r="C676" s="2" t="str">
        <f>IFERROR(__xludf.DUMMYFUNCTION("""COMPUTED_VALUE"""),"fgwilliamsir@ebay.co.uk")</f>
        <v>fgwilliamsir@ebay.co.uk</v>
      </c>
      <c r="D676" s="4">
        <f>IFERROR(__xludf.DUMMYFUNCTION("""COMPUTED_VALUE"""),65.0)</f>
        <v>65</v>
      </c>
      <c r="E676" s="4">
        <f>IFERROR(__xludf.DUMMYFUNCTION("""COMPUTED_VALUE"""),61.0)</f>
        <v>61</v>
      </c>
      <c r="F676" s="4">
        <f>IFERROR(__xludf.DUMMYFUNCTION("""COMPUTED_VALUE"""),4.0)</f>
        <v>4</v>
      </c>
      <c r="G676" s="4">
        <f>IFERROR(__xludf.DUMMYFUNCTION("""COMPUTED_VALUE"""),806.0)</f>
        <v>806</v>
      </c>
      <c r="H676" s="5">
        <f>IFERROR(__xludf.DUMMYFUNCTION("""COMPUTED_VALUE"""),8863.68)</f>
        <v>8863.68</v>
      </c>
      <c r="I676" s="5">
        <f>IFERROR(__xludf.DUMMYFUNCTION("""COMPUTED_VALUE"""),9833.25)</f>
        <v>9833.25</v>
      </c>
      <c r="J676" s="5">
        <f>IFERROR(__xludf.DUMMYFUNCTION("""COMPUTED_VALUE"""),5249.68)</f>
        <v>5249.68</v>
      </c>
      <c r="K676" s="5">
        <f>IFERROR(__xludf.DUMMYFUNCTION("""COMPUTED_VALUE"""),5678.32)</f>
        <v>5678.32</v>
      </c>
      <c r="L676" s="4">
        <f>IFERROR(__xludf.DUMMYFUNCTION("""COMPUTED_VALUE"""),9.0)</f>
        <v>9</v>
      </c>
      <c r="M676" s="4">
        <f>IFERROR(__xludf.DUMMYFUNCTION("""COMPUTED_VALUE"""),76.0)</f>
        <v>76</v>
      </c>
      <c r="N676" s="2" t="str">
        <f>IFERROR(__xludf.DUMMYFUNCTION("""COMPUTED_VALUE"""),"FALSO")</f>
        <v>FALSO</v>
      </c>
    </row>
    <row r="677">
      <c r="A677" s="2">
        <f>IFERROR(__xludf.DUMMYFUNCTION("""COMPUTED_VALUE"""),676.0)</f>
        <v>676</v>
      </c>
      <c r="B677" s="2" t="str">
        <f>IFERROR(__xludf.DUMMYFUNCTION("""COMPUTED_VALUE"""),"Gloriane Bridgland")</f>
        <v>Gloriane Bridgland</v>
      </c>
      <c r="C677" s="2" t="str">
        <f>IFERROR(__xludf.DUMMYFUNCTION("""COMPUTED_VALUE"""),"gbridglandis@123-reg.co.uk")</f>
        <v>gbridglandis@123-reg.co.uk</v>
      </c>
      <c r="D677" s="4">
        <f>IFERROR(__xludf.DUMMYFUNCTION("""COMPUTED_VALUE"""),69.0)</f>
        <v>69</v>
      </c>
      <c r="E677" s="4">
        <f>IFERROR(__xludf.DUMMYFUNCTION("""COMPUTED_VALUE"""),55.0)</f>
        <v>55</v>
      </c>
      <c r="F677" s="4">
        <f>IFERROR(__xludf.DUMMYFUNCTION("""COMPUTED_VALUE"""),8.0)</f>
        <v>8</v>
      </c>
      <c r="G677" s="4">
        <f>IFERROR(__xludf.DUMMYFUNCTION("""COMPUTED_VALUE"""),366.0)</f>
        <v>366</v>
      </c>
      <c r="H677" s="5">
        <f>IFERROR(__xludf.DUMMYFUNCTION("""COMPUTED_VALUE"""),6055.92)</f>
        <v>6055.92</v>
      </c>
      <c r="I677" s="5">
        <f>IFERROR(__xludf.DUMMYFUNCTION("""COMPUTED_VALUE"""),2230.19)</f>
        <v>2230.19</v>
      </c>
      <c r="J677" s="5">
        <f>IFERROR(__xludf.DUMMYFUNCTION("""COMPUTED_VALUE"""),552.35)</f>
        <v>552.35</v>
      </c>
      <c r="K677" s="5">
        <f>IFERROR(__xludf.DUMMYFUNCTION("""COMPUTED_VALUE"""),9457.45)</f>
        <v>9457.45</v>
      </c>
      <c r="L677" s="4">
        <f>IFERROR(__xludf.DUMMYFUNCTION("""COMPUTED_VALUE"""),2.0)</f>
        <v>2</v>
      </c>
      <c r="M677" s="4">
        <f>IFERROR(__xludf.DUMMYFUNCTION("""COMPUTED_VALUE"""),37.0)</f>
        <v>37</v>
      </c>
      <c r="N677" s="2" t="str">
        <f>IFERROR(__xludf.DUMMYFUNCTION("""COMPUTED_VALUE"""),"FALSO")</f>
        <v>FALSO</v>
      </c>
    </row>
    <row r="678">
      <c r="A678" s="2">
        <f>IFERROR(__xludf.DUMMYFUNCTION("""COMPUTED_VALUE"""),677.0)</f>
        <v>677</v>
      </c>
      <c r="B678" s="2" t="str">
        <f>IFERROR(__xludf.DUMMYFUNCTION("""COMPUTED_VALUE"""),"Carolynn Bradburn")</f>
        <v>Carolynn Bradburn</v>
      </c>
      <c r="C678" s="2" t="str">
        <f>IFERROR(__xludf.DUMMYFUNCTION("""COMPUTED_VALUE"""),"cbradburnit@narod.ru")</f>
        <v>cbradburnit@narod.ru</v>
      </c>
      <c r="D678" s="4">
        <f>IFERROR(__xludf.DUMMYFUNCTION("""COMPUTED_VALUE"""),121.0)</f>
        <v>121</v>
      </c>
      <c r="E678" s="4">
        <f>IFERROR(__xludf.DUMMYFUNCTION("""COMPUTED_VALUE"""),125.0)</f>
        <v>125</v>
      </c>
      <c r="F678" s="4">
        <f>IFERROR(__xludf.DUMMYFUNCTION("""COMPUTED_VALUE"""),8.0)</f>
        <v>8</v>
      </c>
      <c r="G678" s="4">
        <f>IFERROR(__xludf.DUMMYFUNCTION("""COMPUTED_VALUE"""),226.0)</f>
        <v>226</v>
      </c>
      <c r="H678" s="5">
        <f>IFERROR(__xludf.DUMMYFUNCTION("""COMPUTED_VALUE"""),1942.74)</f>
        <v>1942.74</v>
      </c>
      <c r="I678" s="5">
        <f>IFERROR(__xludf.DUMMYFUNCTION("""COMPUTED_VALUE"""),8023.24)</f>
        <v>8023.24</v>
      </c>
      <c r="J678" s="5">
        <f>IFERROR(__xludf.DUMMYFUNCTION("""COMPUTED_VALUE"""),1445.85)</f>
        <v>1445.85</v>
      </c>
      <c r="K678" s="5">
        <f>IFERROR(__xludf.DUMMYFUNCTION("""COMPUTED_VALUE"""),4366.79)</f>
        <v>4366.79</v>
      </c>
      <c r="L678" s="4">
        <f>IFERROR(__xludf.DUMMYFUNCTION("""COMPUTED_VALUE"""),9.0)</f>
        <v>9</v>
      </c>
      <c r="M678" s="4">
        <f>IFERROR(__xludf.DUMMYFUNCTION("""COMPUTED_VALUE"""),60.0)</f>
        <v>60</v>
      </c>
      <c r="N678" s="2" t="str">
        <f>IFERROR(__xludf.DUMMYFUNCTION("""COMPUTED_VALUE"""),"VERDADERO")</f>
        <v>VERDADERO</v>
      </c>
    </row>
    <row r="679">
      <c r="A679" s="2">
        <f>IFERROR(__xludf.DUMMYFUNCTION("""COMPUTED_VALUE"""),678.0)</f>
        <v>678</v>
      </c>
      <c r="B679" s="2" t="str">
        <f>IFERROR(__xludf.DUMMYFUNCTION("""COMPUTED_VALUE"""),"Amargo Guerrieri")</f>
        <v>Amargo Guerrieri</v>
      </c>
      <c r="C679" s="2" t="str">
        <f>IFERROR(__xludf.DUMMYFUNCTION("""COMPUTED_VALUE"""),"aguerrieriiu@deliciousdays.com")</f>
        <v>aguerrieriiu@deliciousdays.com</v>
      </c>
      <c r="D679" s="4">
        <f>IFERROR(__xludf.DUMMYFUNCTION("""COMPUTED_VALUE"""),132.0)</f>
        <v>132</v>
      </c>
      <c r="E679" s="4">
        <f>IFERROR(__xludf.DUMMYFUNCTION("""COMPUTED_VALUE"""),9.0)</f>
        <v>9</v>
      </c>
      <c r="F679" s="4">
        <f>IFERROR(__xludf.DUMMYFUNCTION("""COMPUTED_VALUE"""),10.0)</f>
        <v>10</v>
      </c>
      <c r="G679" s="4">
        <f>IFERROR(__xludf.DUMMYFUNCTION("""COMPUTED_VALUE"""),1429.0)</f>
        <v>1429</v>
      </c>
      <c r="H679" s="5">
        <f>IFERROR(__xludf.DUMMYFUNCTION("""COMPUTED_VALUE"""),7118.03)</f>
        <v>7118.03</v>
      </c>
      <c r="I679" s="5">
        <f>IFERROR(__xludf.DUMMYFUNCTION("""COMPUTED_VALUE"""),6269.33)</f>
        <v>6269.33</v>
      </c>
      <c r="J679" s="5">
        <f>IFERROR(__xludf.DUMMYFUNCTION("""COMPUTED_VALUE"""),1476.18)</f>
        <v>1476.18</v>
      </c>
      <c r="K679" s="5">
        <f>IFERROR(__xludf.DUMMYFUNCTION("""COMPUTED_VALUE"""),7079.99)</f>
        <v>7079.99</v>
      </c>
      <c r="L679" s="4">
        <f>IFERROR(__xludf.DUMMYFUNCTION("""COMPUTED_VALUE"""),16.0)</f>
        <v>16</v>
      </c>
      <c r="M679" s="4">
        <f>IFERROR(__xludf.DUMMYFUNCTION("""COMPUTED_VALUE"""),38.0)</f>
        <v>38</v>
      </c>
      <c r="N679" s="2" t="str">
        <f>IFERROR(__xludf.DUMMYFUNCTION("""COMPUTED_VALUE"""),"VERDADERO")</f>
        <v>VERDADERO</v>
      </c>
    </row>
    <row r="680">
      <c r="A680" s="2">
        <f>IFERROR(__xludf.DUMMYFUNCTION("""COMPUTED_VALUE"""),679.0)</f>
        <v>679</v>
      </c>
      <c r="B680" s="2" t="str">
        <f>IFERROR(__xludf.DUMMYFUNCTION("""COMPUTED_VALUE"""),"Goldi Picton")</f>
        <v>Goldi Picton</v>
      </c>
      <c r="C680" s="2" t="str">
        <f>IFERROR(__xludf.DUMMYFUNCTION("""COMPUTED_VALUE"""),"gpictoniv@nifty.com")</f>
        <v>gpictoniv@nifty.com</v>
      </c>
      <c r="D680" s="4">
        <f>IFERROR(__xludf.DUMMYFUNCTION("""COMPUTED_VALUE"""),65.0)</f>
        <v>65</v>
      </c>
      <c r="E680" s="4">
        <f>IFERROR(__xludf.DUMMYFUNCTION("""COMPUTED_VALUE"""),66.0)</f>
        <v>66</v>
      </c>
      <c r="F680" s="4">
        <f>IFERROR(__xludf.DUMMYFUNCTION("""COMPUTED_VALUE"""),6.0)</f>
        <v>6</v>
      </c>
      <c r="G680" s="4">
        <f>IFERROR(__xludf.DUMMYFUNCTION("""COMPUTED_VALUE"""),957.0)</f>
        <v>957</v>
      </c>
      <c r="H680" s="5">
        <f>IFERROR(__xludf.DUMMYFUNCTION("""COMPUTED_VALUE"""),8264.28)</f>
        <v>8264.28</v>
      </c>
      <c r="I680" s="5">
        <f>IFERROR(__xludf.DUMMYFUNCTION("""COMPUTED_VALUE"""),1343.08)</f>
        <v>1343.08</v>
      </c>
      <c r="J680" s="5">
        <f>IFERROR(__xludf.DUMMYFUNCTION("""COMPUTED_VALUE"""),91.33)</f>
        <v>91.33</v>
      </c>
      <c r="K680" s="5">
        <f>IFERROR(__xludf.DUMMYFUNCTION("""COMPUTED_VALUE"""),8764.54)</f>
        <v>8764.54</v>
      </c>
      <c r="L680" s="4">
        <f>IFERROR(__xludf.DUMMYFUNCTION("""COMPUTED_VALUE"""),11.0)</f>
        <v>11</v>
      </c>
      <c r="M680" s="4">
        <f>IFERROR(__xludf.DUMMYFUNCTION("""COMPUTED_VALUE"""),38.0)</f>
        <v>38</v>
      </c>
      <c r="N680" s="2" t="str">
        <f>IFERROR(__xludf.DUMMYFUNCTION("""COMPUTED_VALUE"""),"FALSO")</f>
        <v>FALSO</v>
      </c>
    </row>
    <row r="681">
      <c r="A681" s="2">
        <f>IFERROR(__xludf.DUMMYFUNCTION("""COMPUTED_VALUE"""),680.0)</f>
        <v>680</v>
      </c>
      <c r="B681" s="2" t="str">
        <f>IFERROR(__xludf.DUMMYFUNCTION("""COMPUTED_VALUE"""),"Dorena Patel")</f>
        <v>Dorena Patel</v>
      </c>
      <c r="C681" s="2" t="str">
        <f>IFERROR(__xludf.DUMMYFUNCTION("""COMPUTED_VALUE"""),"dpateliw@tamu.edu")</f>
        <v>dpateliw@tamu.edu</v>
      </c>
      <c r="D681" s="4">
        <f>IFERROR(__xludf.DUMMYFUNCTION("""COMPUTED_VALUE"""),23.0)</f>
        <v>23</v>
      </c>
      <c r="E681" s="4">
        <f>IFERROR(__xludf.DUMMYFUNCTION("""COMPUTED_VALUE"""),5.0)</f>
        <v>5</v>
      </c>
      <c r="F681" s="4">
        <f>IFERROR(__xludf.DUMMYFUNCTION("""COMPUTED_VALUE"""),7.0)</f>
        <v>7</v>
      </c>
      <c r="G681" s="4">
        <f>IFERROR(__xludf.DUMMYFUNCTION("""COMPUTED_VALUE"""),51.0)</f>
        <v>51</v>
      </c>
      <c r="H681" s="5">
        <f>IFERROR(__xludf.DUMMYFUNCTION("""COMPUTED_VALUE"""),8673.11)</f>
        <v>8673.11</v>
      </c>
      <c r="I681" s="5">
        <f>IFERROR(__xludf.DUMMYFUNCTION("""COMPUTED_VALUE"""),9496.4)</f>
        <v>9496.4</v>
      </c>
      <c r="J681" s="5">
        <f>IFERROR(__xludf.DUMMYFUNCTION("""COMPUTED_VALUE"""),4207.34)</f>
        <v>4207.34</v>
      </c>
      <c r="K681" s="5">
        <f>IFERROR(__xludf.DUMMYFUNCTION("""COMPUTED_VALUE"""),8582.67)</f>
        <v>8582.67</v>
      </c>
      <c r="L681" s="4">
        <f>IFERROR(__xludf.DUMMYFUNCTION("""COMPUTED_VALUE"""),16.0)</f>
        <v>16</v>
      </c>
      <c r="M681" s="4">
        <f>IFERROR(__xludf.DUMMYFUNCTION("""COMPUTED_VALUE"""),92.0)</f>
        <v>92</v>
      </c>
      <c r="N681" s="2" t="str">
        <f>IFERROR(__xludf.DUMMYFUNCTION("""COMPUTED_VALUE"""),"FALSO")</f>
        <v>FALSO</v>
      </c>
    </row>
    <row r="682">
      <c r="A682" s="2">
        <f>IFERROR(__xludf.DUMMYFUNCTION("""COMPUTED_VALUE"""),681.0)</f>
        <v>681</v>
      </c>
      <c r="B682" s="2" t="str">
        <f>IFERROR(__xludf.DUMMYFUNCTION("""COMPUTED_VALUE"""),"Janene Buscher")</f>
        <v>Janene Buscher</v>
      </c>
      <c r="C682" s="2" t="str">
        <f>IFERROR(__xludf.DUMMYFUNCTION("""COMPUTED_VALUE"""),"jbuscherix@a8.net")</f>
        <v>jbuscherix@a8.net</v>
      </c>
      <c r="D682" s="4">
        <f>IFERROR(__xludf.DUMMYFUNCTION("""COMPUTED_VALUE"""),102.0)</f>
        <v>102</v>
      </c>
      <c r="E682" s="4">
        <f>IFERROR(__xludf.DUMMYFUNCTION("""COMPUTED_VALUE"""),58.0)</f>
        <v>58</v>
      </c>
      <c r="F682" s="4">
        <f>IFERROR(__xludf.DUMMYFUNCTION("""COMPUTED_VALUE"""),3.0)</f>
        <v>3</v>
      </c>
      <c r="G682" s="4">
        <f>IFERROR(__xludf.DUMMYFUNCTION("""COMPUTED_VALUE"""),731.0)</f>
        <v>731</v>
      </c>
      <c r="H682" s="5">
        <f>IFERROR(__xludf.DUMMYFUNCTION("""COMPUTED_VALUE"""),2301.7)</f>
        <v>2301.7</v>
      </c>
      <c r="I682" s="5">
        <f>IFERROR(__xludf.DUMMYFUNCTION("""COMPUTED_VALUE"""),8247.75)</f>
        <v>8247.75</v>
      </c>
      <c r="J682" s="5">
        <f>IFERROR(__xludf.DUMMYFUNCTION("""COMPUTED_VALUE"""),6469.06)</f>
        <v>6469.06</v>
      </c>
      <c r="K682" s="5">
        <f>IFERROR(__xludf.DUMMYFUNCTION("""COMPUTED_VALUE"""),7112.05)</f>
        <v>7112.05</v>
      </c>
      <c r="L682" s="4">
        <f>IFERROR(__xludf.DUMMYFUNCTION("""COMPUTED_VALUE"""),2.0)</f>
        <v>2</v>
      </c>
      <c r="M682" s="4">
        <f>IFERROR(__xludf.DUMMYFUNCTION("""COMPUTED_VALUE"""),84.0)</f>
        <v>84</v>
      </c>
      <c r="N682" s="2" t="str">
        <f>IFERROR(__xludf.DUMMYFUNCTION("""COMPUTED_VALUE"""),"VERDADERO")</f>
        <v>VERDADERO</v>
      </c>
    </row>
    <row r="683">
      <c r="A683" s="2">
        <f>IFERROR(__xludf.DUMMYFUNCTION("""COMPUTED_VALUE"""),682.0)</f>
        <v>682</v>
      </c>
      <c r="B683" s="2" t="str">
        <f>IFERROR(__xludf.DUMMYFUNCTION("""COMPUTED_VALUE"""),"Agatha Gunningham")</f>
        <v>Agatha Gunningham</v>
      </c>
      <c r="C683" s="2" t="str">
        <f>IFERROR(__xludf.DUMMYFUNCTION("""COMPUTED_VALUE"""),"agunninghamiy@discuz.net")</f>
        <v>agunninghamiy@discuz.net</v>
      </c>
      <c r="D683" s="4">
        <f>IFERROR(__xludf.DUMMYFUNCTION("""COMPUTED_VALUE"""),29.0)</f>
        <v>29</v>
      </c>
      <c r="E683" s="4">
        <f>IFERROR(__xludf.DUMMYFUNCTION("""COMPUTED_VALUE"""),71.0)</f>
        <v>71</v>
      </c>
      <c r="F683" s="4">
        <f>IFERROR(__xludf.DUMMYFUNCTION("""COMPUTED_VALUE"""),6.0)</f>
        <v>6</v>
      </c>
      <c r="G683" s="4">
        <f>IFERROR(__xludf.DUMMYFUNCTION("""COMPUTED_VALUE"""),306.0)</f>
        <v>306</v>
      </c>
      <c r="H683" s="5">
        <f>IFERROR(__xludf.DUMMYFUNCTION("""COMPUTED_VALUE"""),2627.48)</f>
        <v>2627.48</v>
      </c>
      <c r="I683" s="5">
        <f>IFERROR(__xludf.DUMMYFUNCTION("""COMPUTED_VALUE"""),8973.71)</f>
        <v>8973.71</v>
      </c>
      <c r="J683" s="5">
        <f>IFERROR(__xludf.DUMMYFUNCTION("""COMPUTED_VALUE"""),7254.41)</f>
        <v>7254.41</v>
      </c>
      <c r="K683" s="5">
        <f>IFERROR(__xludf.DUMMYFUNCTION("""COMPUTED_VALUE"""),7959.09)</f>
        <v>7959.09</v>
      </c>
      <c r="L683" s="4">
        <f>IFERROR(__xludf.DUMMYFUNCTION("""COMPUTED_VALUE"""),16.0)</f>
        <v>16</v>
      </c>
      <c r="M683" s="4">
        <f>IFERROR(__xludf.DUMMYFUNCTION("""COMPUTED_VALUE"""),73.0)</f>
        <v>73</v>
      </c>
      <c r="N683" s="2" t="str">
        <f>IFERROR(__xludf.DUMMYFUNCTION("""COMPUTED_VALUE"""),"VERDADERO")</f>
        <v>VERDADERO</v>
      </c>
    </row>
    <row r="684">
      <c r="A684" s="2">
        <f>IFERROR(__xludf.DUMMYFUNCTION("""COMPUTED_VALUE"""),683.0)</f>
        <v>683</v>
      </c>
      <c r="B684" s="2" t="str">
        <f>IFERROR(__xludf.DUMMYFUNCTION("""COMPUTED_VALUE"""),"Mada Munden")</f>
        <v>Mada Munden</v>
      </c>
      <c r="C684" s="2" t="str">
        <f>IFERROR(__xludf.DUMMYFUNCTION("""COMPUTED_VALUE"""),"mmundeniz@ezinearticles.com")</f>
        <v>mmundeniz@ezinearticles.com</v>
      </c>
      <c r="D684" s="4">
        <f>IFERROR(__xludf.DUMMYFUNCTION("""COMPUTED_VALUE"""),29.0)</f>
        <v>29</v>
      </c>
      <c r="E684" s="4">
        <f>IFERROR(__xludf.DUMMYFUNCTION("""COMPUTED_VALUE"""),66.0)</f>
        <v>66</v>
      </c>
      <c r="F684" s="4">
        <f>IFERROR(__xludf.DUMMYFUNCTION("""COMPUTED_VALUE"""),6.0)</f>
        <v>6</v>
      </c>
      <c r="G684" s="4">
        <f>IFERROR(__xludf.DUMMYFUNCTION("""COMPUTED_VALUE"""),1051.0)</f>
        <v>1051</v>
      </c>
      <c r="H684" s="5">
        <f>IFERROR(__xludf.DUMMYFUNCTION("""COMPUTED_VALUE"""),5237.05)</f>
        <v>5237.05</v>
      </c>
      <c r="I684" s="5">
        <f>IFERROR(__xludf.DUMMYFUNCTION("""COMPUTED_VALUE"""),8332.67)</f>
        <v>8332.67</v>
      </c>
      <c r="J684" s="5">
        <f>IFERROR(__xludf.DUMMYFUNCTION("""COMPUTED_VALUE"""),6815.67)</f>
        <v>6815.67</v>
      </c>
      <c r="K684" s="5">
        <f>IFERROR(__xludf.DUMMYFUNCTION("""COMPUTED_VALUE"""),7806.29)</f>
        <v>7806.29</v>
      </c>
      <c r="L684" s="4">
        <f>IFERROR(__xludf.DUMMYFUNCTION("""COMPUTED_VALUE"""),2.0)</f>
        <v>2</v>
      </c>
      <c r="M684" s="4">
        <f>IFERROR(__xludf.DUMMYFUNCTION("""COMPUTED_VALUE"""),15.0)</f>
        <v>15</v>
      </c>
      <c r="N684" s="2" t="str">
        <f>IFERROR(__xludf.DUMMYFUNCTION("""COMPUTED_VALUE"""),"FALSO")</f>
        <v>FALSO</v>
      </c>
    </row>
    <row r="685">
      <c r="A685" s="2">
        <f>IFERROR(__xludf.DUMMYFUNCTION("""COMPUTED_VALUE"""),684.0)</f>
        <v>684</v>
      </c>
      <c r="B685" s="2" t="str">
        <f>IFERROR(__xludf.DUMMYFUNCTION("""COMPUTED_VALUE"""),"Leilah Gammidge")</f>
        <v>Leilah Gammidge</v>
      </c>
      <c r="C685" s="2" t="str">
        <f>IFERROR(__xludf.DUMMYFUNCTION("""COMPUTED_VALUE"""),"lgammidgej0@nasa.gov")</f>
        <v>lgammidgej0@nasa.gov</v>
      </c>
      <c r="D685" s="4">
        <f>IFERROR(__xludf.DUMMYFUNCTION("""COMPUTED_VALUE"""),17.0)</f>
        <v>17</v>
      </c>
      <c r="E685" s="4">
        <f>IFERROR(__xludf.DUMMYFUNCTION("""COMPUTED_VALUE"""),111.0)</f>
        <v>111</v>
      </c>
      <c r="F685" s="4">
        <f>IFERROR(__xludf.DUMMYFUNCTION("""COMPUTED_VALUE"""),4.0)</f>
        <v>4</v>
      </c>
      <c r="G685" s="4">
        <f>IFERROR(__xludf.DUMMYFUNCTION("""COMPUTED_VALUE"""),1463.0)</f>
        <v>1463</v>
      </c>
      <c r="H685" s="5">
        <f>IFERROR(__xludf.DUMMYFUNCTION("""COMPUTED_VALUE"""),1688.47)</f>
        <v>1688.47</v>
      </c>
      <c r="I685" s="5">
        <f>IFERROR(__xludf.DUMMYFUNCTION("""COMPUTED_VALUE"""),5376.37)</f>
        <v>5376.37</v>
      </c>
      <c r="J685" s="5">
        <f>IFERROR(__xludf.DUMMYFUNCTION("""COMPUTED_VALUE"""),6593.06)</f>
        <v>6593.06</v>
      </c>
      <c r="K685" s="5">
        <f>IFERROR(__xludf.DUMMYFUNCTION("""COMPUTED_VALUE"""),247.04)</f>
        <v>247.04</v>
      </c>
      <c r="L685" s="4">
        <f>IFERROR(__xludf.DUMMYFUNCTION("""COMPUTED_VALUE"""),6.0)</f>
        <v>6</v>
      </c>
      <c r="M685" s="4">
        <f>IFERROR(__xludf.DUMMYFUNCTION("""COMPUTED_VALUE"""),85.0)</f>
        <v>85</v>
      </c>
      <c r="N685" s="2" t="str">
        <f>IFERROR(__xludf.DUMMYFUNCTION("""COMPUTED_VALUE"""),"FALSO")</f>
        <v>FALSO</v>
      </c>
    </row>
    <row r="686">
      <c r="A686" s="2">
        <f>IFERROR(__xludf.DUMMYFUNCTION("""COMPUTED_VALUE"""),685.0)</f>
        <v>685</v>
      </c>
      <c r="B686" s="2" t="str">
        <f>IFERROR(__xludf.DUMMYFUNCTION("""COMPUTED_VALUE"""),"Byron Emblem")</f>
        <v>Byron Emblem</v>
      </c>
      <c r="C686" s="2" t="str">
        <f>IFERROR(__xludf.DUMMYFUNCTION("""COMPUTED_VALUE"""),"bemblemj1@liveinternet.ru")</f>
        <v>bemblemj1@liveinternet.ru</v>
      </c>
      <c r="D686" s="4">
        <f>IFERROR(__xludf.DUMMYFUNCTION("""COMPUTED_VALUE"""),29.0)</f>
        <v>29</v>
      </c>
      <c r="E686" s="4">
        <f>IFERROR(__xludf.DUMMYFUNCTION("""COMPUTED_VALUE"""),31.0)</f>
        <v>31</v>
      </c>
      <c r="F686" s="4">
        <f>IFERROR(__xludf.DUMMYFUNCTION("""COMPUTED_VALUE"""),8.0)</f>
        <v>8</v>
      </c>
      <c r="G686" s="4">
        <f>IFERROR(__xludf.DUMMYFUNCTION("""COMPUTED_VALUE"""),726.0)</f>
        <v>726</v>
      </c>
      <c r="H686" s="5">
        <f>IFERROR(__xludf.DUMMYFUNCTION("""COMPUTED_VALUE"""),872.92)</f>
        <v>872.92</v>
      </c>
      <c r="I686" s="5">
        <f>IFERROR(__xludf.DUMMYFUNCTION("""COMPUTED_VALUE"""),5290.25)</f>
        <v>5290.25</v>
      </c>
      <c r="J686" s="5">
        <f>IFERROR(__xludf.DUMMYFUNCTION("""COMPUTED_VALUE"""),1627.48)</f>
        <v>1627.48</v>
      </c>
      <c r="K686" s="5">
        <f>IFERROR(__xludf.DUMMYFUNCTION("""COMPUTED_VALUE"""),9183.98)</f>
        <v>9183.98</v>
      </c>
      <c r="L686" s="4">
        <f>IFERROR(__xludf.DUMMYFUNCTION("""COMPUTED_VALUE"""),1.0)</f>
        <v>1</v>
      </c>
      <c r="M686" s="4">
        <f>IFERROR(__xludf.DUMMYFUNCTION("""COMPUTED_VALUE"""),2.0)</f>
        <v>2</v>
      </c>
      <c r="N686" s="2" t="str">
        <f>IFERROR(__xludf.DUMMYFUNCTION("""COMPUTED_VALUE"""),"FALSO")</f>
        <v>FALSO</v>
      </c>
    </row>
    <row r="687">
      <c r="A687" s="2">
        <f>IFERROR(__xludf.DUMMYFUNCTION("""COMPUTED_VALUE"""),686.0)</f>
        <v>686</v>
      </c>
      <c r="B687" s="2" t="str">
        <f>IFERROR(__xludf.DUMMYFUNCTION("""COMPUTED_VALUE"""),"Germain Bolstridge")</f>
        <v>Germain Bolstridge</v>
      </c>
      <c r="C687" s="2" t="str">
        <f>IFERROR(__xludf.DUMMYFUNCTION("""COMPUTED_VALUE"""),"gbolstridgej2@mit.edu")</f>
        <v>gbolstridgej2@mit.edu</v>
      </c>
      <c r="D687" s="4">
        <f>IFERROR(__xludf.DUMMYFUNCTION("""COMPUTED_VALUE"""),65.0)</f>
        <v>65</v>
      </c>
      <c r="E687" s="4">
        <f>IFERROR(__xludf.DUMMYFUNCTION("""COMPUTED_VALUE"""),81.0)</f>
        <v>81</v>
      </c>
      <c r="F687" s="4">
        <f>IFERROR(__xludf.DUMMYFUNCTION("""COMPUTED_VALUE"""),2.0)</f>
        <v>2</v>
      </c>
      <c r="G687" s="4">
        <f>IFERROR(__xludf.DUMMYFUNCTION("""COMPUTED_VALUE"""),1267.0)</f>
        <v>1267</v>
      </c>
      <c r="H687" s="5">
        <f>IFERROR(__xludf.DUMMYFUNCTION("""COMPUTED_VALUE"""),7704.38)</f>
        <v>7704.38</v>
      </c>
      <c r="I687" s="5">
        <f>IFERROR(__xludf.DUMMYFUNCTION("""COMPUTED_VALUE"""),9406.83)</f>
        <v>9406.83</v>
      </c>
      <c r="J687" s="5">
        <f>IFERROR(__xludf.DUMMYFUNCTION("""COMPUTED_VALUE"""),8823.97)</f>
        <v>8823.97</v>
      </c>
      <c r="K687" s="5">
        <f>IFERROR(__xludf.DUMMYFUNCTION("""COMPUTED_VALUE"""),3759.81)</f>
        <v>3759.81</v>
      </c>
      <c r="L687" s="4">
        <f>IFERROR(__xludf.DUMMYFUNCTION("""COMPUTED_VALUE"""),18.0)</f>
        <v>18</v>
      </c>
      <c r="M687" s="4">
        <f>IFERROR(__xludf.DUMMYFUNCTION("""COMPUTED_VALUE"""),13.0)</f>
        <v>13</v>
      </c>
      <c r="N687" s="2" t="str">
        <f>IFERROR(__xludf.DUMMYFUNCTION("""COMPUTED_VALUE"""),"VERDADERO")</f>
        <v>VERDADERO</v>
      </c>
    </row>
    <row r="688">
      <c r="A688" s="2">
        <f>IFERROR(__xludf.DUMMYFUNCTION("""COMPUTED_VALUE"""),687.0)</f>
        <v>687</v>
      </c>
      <c r="B688" s="2" t="str">
        <f>IFERROR(__xludf.DUMMYFUNCTION("""COMPUTED_VALUE"""),"Chan Karlolak")</f>
        <v>Chan Karlolak</v>
      </c>
      <c r="C688" s="2" t="str">
        <f>IFERROR(__xludf.DUMMYFUNCTION("""COMPUTED_VALUE"""),"ckarlolakj3@psu.edu")</f>
        <v>ckarlolakj3@psu.edu</v>
      </c>
      <c r="D688" s="4">
        <f>IFERROR(__xludf.DUMMYFUNCTION("""COMPUTED_VALUE"""),29.0)</f>
        <v>29</v>
      </c>
      <c r="E688" s="4">
        <f>IFERROR(__xludf.DUMMYFUNCTION("""COMPUTED_VALUE"""),81.0)</f>
        <v>81</v>
      </c>
      <c r="F688" s="4">
        <f>IFERROR(__xludf.DUMMYFUNCTION("""COMPUTED_VALUE"""),2.0)</f>
        <v>2</v>
      </c>
      <c r="G688" s="4">
        <f>IFERROR(__xludf.DUMMYFUNCTION("""COMPUTED_VALUE"""),895.0)</f>
        <v>895</v>
      </c>
      <c r="H688" s="5">
        <f>IFERROR(__xludf.DUMMYFUNCTION("""COMPUTED_VALUE"""),6970.41)</f>
        <v>6970.41</v>
      </c>
      <c r="I688" s="5">
        <f>IFERROR(__xludf.DUMMYFUNCTION("""COMPUTED_VALUE"""),7956.49)</f>
        <v>7956.49</v>
      </c>
      <c r="J688" s="5">
        <f>IFERROR(__xludf.DUMMYFUNCTION("""COMPUTED_VALUE"""),855.75)</f>
        <v>855.75</v>
      </c>
      <c r="K688" s="5">
        <f>IFERROR(__xludf.DUMMYFUNCTION("""COMPUTED_VALUE"""),7215.66)</f>
        <v>7215.66</v>
      </c>
      <c r="L688" s="4">
        <f>IFERROR(__xludf.DUMMYFUNCTION("""COMPUTED_VALUE"""),19.0)</f>
        <v>19</v>
      </c>
      <c r="M688" s="4">
        <f>IFERROR(__xludf.DUMMYFUNCTION("""COMPUTED_VALUE"""),14.0)</f>
        <v>14</v>
      </c>
      <c r="N688" s="2" t="str">
        <f>IFERROR(__xludf.DUMMYFUNCTION("""COMPUTED_VALUE"""),"FALSO")</f>
        <v>FALSO</v>
      </c>
    </row>
    <row r="689">
      <c r="A689" s="2">
        <f>IFERROR(__xludf.DUMMYFUNCTION("""COMPUTED_VALUE"""),688.0)</f>
        <v>688</v>
      </c>
      <c r="B689" s="2" t="str">
        <f>IFERROR(__xludf.DUMMYFUNCTION("""COMPUTED_VALUE"""),"Rance Hanscome")</f>
        <v>Rance Hanscome</v>
      </c>
      <c r="C689" s="2" t="str">
        <f>IFERROR(__xludf.DUMMYFUNCTION("""COMPUTED_VALUE"""),"rhanscomej4@example.com")</f>
        <v>rhanscomej4@example.com</v>
      </c>
      <c r="D689" s="4">
        <f>IFERROR(__xludf.DUMMYFUNCTION("""COMPUTED_VALUE"""),29.0)</f>
        <v>29</v>
      </c>
      <c r="E689" s="4">
        <f>IFERROR(__xludf.DUMMYFUNCTION("""COMPUTED_VALUE"""),25.0)</f>
        <v>25</v>
      </c>
      <c r="F689" s="4">
        <f>IFERROR(__xludf.DUMMYFUNCTION("""COMPUTED_VALUE"""),4.0)</f>
        <v>4</v>
      </c>
      <c r="G689" s="4">
        <f>IFERROR(__xludf.DUMMYFUNCTION("""COMPUTED_VALUE"""),167.0)</f>
        <v>167</v>
      </c>
      <c r="H689" s="5">
        <f>IFERROR(__xludf.DUMMYFUNCTION("""COMPUTED_VALUE"""),7787.42)</f>
        <v>7787.42</v>
      </c>
      <c r="I689" s="5">
        <f>IFERROR(__xludf.DUMMYFUNCTION("""COMPUTED_VALUE"""),7828.17)</f>
        <v>7828.17</v>
      </c>
      <c r="J689" s="5">
        <f>IFERROR(__xludf.DUMMYFUNCTION("""COMPUTED_VALUE"""),5333.16)</f>
        <v>5333.16</v>
      </c>
      <c r="K689" s="5">
        <f>IFERROR(__xludf.DUMMYFUNCTION("""COMPUTED_VALUE"""),1979.08)</f>
        <v>1979.08</v>
      </c>
      <c r="L689" s="4">
        <f>IFERROR(__xludf.DUMMYFUNCTION("""COMPUTED_VALUE"""),15.0)</f>
        <v>15</v>
      </c>
      <c r="M689" s="4">
        <f>IFERROR(__xludf.DUMMYFUNCTION("""COMPUTED_VALUE"""),42.0)</f>
        <v>42</v>
      </c>
      <c r="N689" s="2" t="str">
        <f>IFERROR(__xludf.DUMMYFUNCTION("""COMPUTED_VALUE"""),"VERDADERO")</f>
        <v>VERDADERO</v>
      </c>
    </row>
    <row r="690">
      <c r="A690" s="2">
        <f>IFERROR(__xludf.DUMMYFUNCTION("""COMPUTED_VALUE"""),689.0)</f>
        <v>689</v>
      </c>
      <c r="B690" s="2" t="str">
        <f>IFERROR(__xludf.DUMMYFUNCTION("""COMPUTED_VALUE"""),"Molly Dudden")</f>
        <v>Molly Dudden</v>
      </c>
      <c r="C690" s="2" t="str">
        <f>IFERROR(__xludf.DUMMYFUNCTION("""COMPUTED_VALUE"""),"mduddenj5@aol.com")</f>
        <v>mduddenj5@aol.com</v>
      </c>
      <c r="D690" s="4">
        <f>IFERROR(__xludf.DUMMYFUNCTION("""COMPUTED_VALUE"""),134.0)</f>
        <v>134</v>
      </c>
      <c r="E690" s="4">
        <f>IFERROR(__xludf.DUMMYFUNCTION("""COMPUTED_VALUE"""),122.0)</f>
        <v>122</v>
      </c>
      <c r="F690" s="4">
        <f>IFERROR(__xludf.DUMMYFUNCTION("""COMPUTED_VALUE"""),5.0)</f>
        <v>5</v>
      </c>
      <c r="G690" s="4">
        <f>IFERROR(__xludf.DUMMYFUNCTION("""COMPUTED_VALUE"""),623.0)</f>
        <v>623</v>
      </c>
      <c r="H690" s="5">
        <f>IFERROR(__xludf.DUMMYFUNCTION("""COMPUTED_VALUE"""),7451.32)</f>
        <v>7451.32</v>
      </c>
      <c r="I690" s="5">
        <f>IFERROR(__xludf.DUMMYFUNCTION("""COMPUTED_VALUE"""),6074.24)</f>
        <v>6074.24</v>
      </c>
      <c r="J690" s="5">
        <f>IFERROR(__xludf.DUMMYFUNCTION("""COMPUTED_VALUE"""),225.59)</f>
        <v>225.59</v>
      </c>
      <c r="K690" s="5">
        <f>IFERROR(__xludf.DUMMYFUNCTION("""COMPUTED_VALUE"""),7597.97)</f>
        <v>7597.97</v>
      </c>
      <c r="L690" s="4">
        <f>IFERROR(__xludf.DUMMYFUNCTION("""COMPUTED_VALUE"""),7.0)</f>
        <v>7</v>
      </c>
      <c r="M690" s="4">
        <f>IFERROR(__xludf.DUMMYFUNCTION("""COMPUTED_VALUE"""),35.0)</f>
        <v>35</v>
      </c>
      <c r="N690" s="2" t="str">
        <f>IFERROR(__xludf.DUMMYFUNCTION("""COMPUTED_VALUE"""),"FALSO")</f>
        <v>FALSO</v>
      </c>
    </row>
    <row r="691">
      <c r="A691" s="2">
        <f>IFERROR(__xludf.DUMMYFUNCTION("""COMPUTED_VALUE"""),690.0)</f>
        <v>690</v>
      </c>
      <c r="B691" s="2" t="str">
        <f>IFERROR(__xludf.DUMMYFUNCTION("""COMPUTED_VALUE"""),"Judd Mounfield")</f>
        <v>Judd Mounfield</v>
      </c>
      <c r="C691" s="2" t="str">
        <f>IFERROR(__xludf.DUMMYFUNCTION("""COMPUTED_VALUE"""),"jmounfieldj6@bing.com")</f>
        <v>jmounfieldj6@bing.com</v>
      </c>
      <c r="D691" s="4">
        <f>IFERROR(__xludf.DUMMYFUNCTION("""COMPUTED_VALUE"""),17.0)</f>
        <v>17</v>
      </c>
      <c r="E691" s="4">
        <f>IFERROR(__xludf.DUMMYFUNCTION("""COMPUTED_VALUE"""),5.0)</f>
        <v>5</v>
      </c>
      <c r="F691" s="4">
        <f>IFERROR(__xludf.DUMMYFUNCTION("""COMPUTED_VALUE"""),7.0)</f>
        <v>7</v>
      </c>
      <c r="G691" s="4">
        <f>IFERROR(__xludf.DUMMYFUNCTION("""COMPUTED_VALUE"""),548.0)</f>
        <v>548</v>
      </c>
      <c r="H691" s="5">
        <f>IFERROR(__xludf.DUMMYFUNCTION("""COMPUTED_VALUE"""),1844.35)</f>
        <v>1844.35</v>
      </c>
      <c r="I691" s="5">
        <f>IFERROR(__xludf.DUMMYFUNCTION("""COMPUTED_VALUE"""),2772.33)</f>
        <v>2772.33</v>
      </c>
      <c r="J691" s="5">
        <f>IFERROR(__xludf.DUMMYFUNCTION("""COMPUTED_VALUE"""),9323.03)</f>
        <v>9323.03</v>
      </c>
      <c r="K691" s="5">
        <f>IFERROR(__xludf.DUMMYFUNCTION("""COMPUTED_VALUE"""),1914.78)</f>
        <v>1914.78</v>
      </c>
      <c r="L691" s="4">
        <f>IFERROR(__xludf.DUMMYFUNCTION("""COMPUTED_VALUE"""),16.0)</f>
        <v>16</v>
      </c>
      <c r="M691" s="4">
        <f>IFERROR(__xludf.DUMMYFUNCTION("""COMPUTED_VALUE"""),36.0)</f>
        <v>36</v>
      </c>
      <c r="N691" s="2" t="str">
        <f>IFERROR(__xludf.DUMMYFUNCTION("""COMPUTED_VALUE"""),"FALSO")</f>
        <v>FALSO</v>
      </c>
    </row>
    <row r="692">
      <c r="A692" s="2">
        <f>IFERROR(__xludf.DUMMYFUNCTION("""COMPUTED_VALUE"""),691.0)</f>
        <v>691</v>
      </c>
      <c r="B692" s="2" t="str">
        <f>IFERROR(__xludf.DUMMYFUNCTION("""COMPUTED_VALUE"""),"Adah Wretham")</f>
        <v>Adah Wretham</v>
      </c>
      <c r="C692" s="2" t="str">
        <f>IFERROR(__xludf.DUMMYFUNCTION("""COMPUTED_VALUE"""),"awrethamj7@hexun.com")</f>
        <v>awrethamj7@hexun.com</v>
      </c>
      <c r="D692" s="4">
        <f>IFERROR(__xludf.DUMMYFUNCTION("""COMPUTED_VALUE"""),153.0)</f>
        <v>153</v>
      </c>
      <c r="E692" s="4">
        <f>IFERROR(__xludf.DUMMYFUNCTION("""COMPUTED_VALUE"""),64.0)</f>
        <v>64</v>
      </c>
      <c r="F692" s="4">
        <f>IFERROR(__xludf.DUMMYFUNCTION("""COMPUTED_VALUE"""),4.0)</f>
        <v>4</v>
      </c>
      <c r="G692" s="4">
        <f>IFERROR(__xludf.DUMMYFUNCTION("""COMPUTED_VALUE"""),229.0)</f>
        <v>229</v>
      </c>
      <c r="H692" s="5">
        <f>IFERROR(__xludf.DUMMYFUNCTION("""COMPUTED_VALUE"""),2703.9)</f>
        <v>2703.9</v>
      </c>
      <c r="I692" s="5">
        <f>IFERROR(__xludf.DUMMYFUNCTION("""COMPUTED_VALUE"""),4981.72)</f>
        <v>4981.72</v>
      </c>
      <c r="J692" s="5">
        <f>IFERROR(__xludf.DUMMYFUNCTION("""COMPUTED_VALUE"""),8345.97)</f>
        <v>8345.97</v>
      </c>
      <c r="K692" s="5">
        <f>IFERROR(__xludf.DUMMYFUNCTION("""COMPUTED_VALUE"""),2613.67)</f>
        <v>2613.67</v>
      </c>
      <c r="L692" s="4">
        <f>IFERROR(__xludf.DUMMYFUNCTION("""COMPUTED_VALUE"""),9.0)</f>
        <v>9</v>
      </c>
      <c r="M692" s="4">
        <f>IFERROR(__xludf.DUMMYFUNCTION("""COMPUTED_VALUE"""),68.0)</f>
        <v>68</v>
      </c>
      <c r="N692" s="2" t="str">
        <f>IFERROR(__xludf.DUMMYFUNCTION("""COMPUTED_VALUE"""),"FALSO")</f>
        <v>FALSO</v>
      </c>
    </row>
    <row r="693">
      <c r="A693" s="2">
        <f>IFERROR(__xludf.DUMMYFUNCTION("""COMPUTED_VALUE"""),692.0)</f>
        <v>692</v>
      </c>
      <c r="B693" s="2" t="str">
        <f>IFERROR(__xludf.DUMMYFUNCTION("""COMPUTED_VALUE"""),"Inez Gomersal")</f>
        <v>Inez Gomersal</v>
      </c>
      <c r="C693" s="2" t="str">
        <f>IFERROR(__xludf.DUMMYFUNCTION("""COMPUTED_VALUE"""),"igomersalj8@linkedin.com")</f>
        <v>igomersalj8@linkedin.com</v>
      </c>
      <c r="D693" s="4">
        <f>IFERROR(__xludf.DUMMYFUNCTION("""COMPUTED_VALUE"""),124.0)</f>
        <v>124</v>
      </c>
      <c r="E693" s="4">
        <f>IFERROR(__xludf.DUMMYFUNCTION("""COMPUTED_VALUE"""),122.0)</f>
        <v>122</v>
      </c>
      <c r="F693" s="4">
        <f>IFERROR(__xludf.DUMMYFUNCTION("""COMPUTED_VALUE"""),5.0)</f>
        <v>5</v>
      </c>
      <c r="G693" s="4">
        <f>IFERROR(__xludf.DUMMYFUNCTION("""COMPUTED_VALUE"""),623.0)</f>
        <v>623</v>
      </c>
      <c r="H693" s="5">
        <f>IFERROR(__xludf.DUMMYFUNCTION("""COMPUTED_VALUE"""),8994.14)</f>
        <v>8994.14</v>
      </c>
      <c r="I693" s="5">
        <f>IFERROR(__xludf.DUMMYFUNCTION("""COMPUTED_VALUE"""),2917.47)</f>
        <v>2917.47</v>
      </c>
      <c r="J693" s="5">
        <f>IFERROR(__xludf.DUMMYFUNCTION("""COMPUTED_VALUE"""),5386.27)</f>
        <v>5386.27</v>
      </c>
      <c r="K693" s="5">
        <f>IFERROR(__xludf.DUMMYFUNCTION("""COMPUTED_VALUE"""),7639.11)</f>
        <v>7639.11</v>
      </c>
      <c r="L693" s="4">
        <f>IFERROR(__xludf.DUMMYFUNCTION("""COMPUTED_VALUE"""),3.0)</f>
        <v>3</v>
      </c>
      <c r="M693" s="4">
        <f>IFERROR(__xludf.DUMMYFUNCTION("""COMPUTED_VALUE"""),71.0)</f>
        <v>71</v>
      </c>
      <c r="N693" s="2" t="str">
        <f>IFERROR(__xludf.DUMMYFUNCTION("""COMPUTED_VALUE"""),"FALSO")</f>
        <v>FALSO</v>
      </c>
    </row>
    <row r="694">
      <c r="A694" s="2">
        <f>IFERROR(__xludf.DUMMYFUNCTION("""COMPUTED_VALUE"""),693.0)</f>
        <v>693</v>
      </c>
      <c r="B694" s="2" t="str">
        <f>IFERROR(__xludf.DUMMYFUNCTION("""COMPUTED_VALUE"""),"Guinevere Boocock")</f>
        <v>Guinevere Boocock</v>
      </c>
      <c r="C694" s="2" t="str">
        <f>IFERROR(__xludf.DUMMYFUNCTION("""COMPUTED_VALUE"""),"gboocockj9@w3.org")</f>
        <v>gboocockj9@w3.org</v>
      </c>
      <c r="D694" s="4">
        <f>IFERROR(__xludf.DUMMYFUNCTION("""COMPUTED_VALUE"""),30.0)</f>
        <v>30</v>
      </c>
      <c r="E694" s="4">
        <f>IFERROR(__xludf.DUMMYFUNCTION("""COMPUTED_VALUE"""),81.0)</f>
        <v>81</v>
      </c>
      <c r="F694" s="4">
        <f>IFERROR(__xludf.DUMMYFUNCTION("""COMPUTED_VALUE"""),2.0)</f>
        <v>2</v>
      </c>
      <c r="G694" s="4">
        <f>IFERROR(__xludf.DUMMYFUNCTION("""COMPUTED_VALUE"""),694.0)</f>
        <v>694</v>
      </c>
      <c r="H694" s="5">
        <f>IFERROR(__xludf.DUMMYFUNCTION("""COMPUTED_VALUE"""),3607.27)</f>
        <v>3607.27</v>
      </c>
      <c r="I694" s="5">
        <f>IFERROR(__xludf.DUMMYFUNCTION("""COMPUTED_VALUE"""),3636.91)</f>
        <v>3636.91</v>
      </c>
      <c r="J694" s="5">
        <f>IFERROR(__xludf.DUMMYFUNCTION("""COMPUTED_VALUE"""),5274.85)</f>
        <v>5274.85</v>
      </c>
      <c r="K694" s="5">
        <f>IFERROR(__xludf.DUMMYFUNCTION("""COMPUTED_VALUE"""),5428.82)</f>
        <v>5428.82</v>
      </c>
      <c r="L694" s="4">
        <f>IFERROR(__xludf.DUMMYFUNCTION("""COMPUTED_VALUE"""),17.0)</f>
        <v>17</v>
      </c>
      <c r="M694" s="4">
        <f>IFERROR(__xludf.DUMMYFUNCTION("""COMPUTED_VALUE"""),70.0)</f>
        <v>70</v>
      </c>
      <c r="N694" s="2" t="str">
        <f>IFERROR(__xludf.DUMMYFUNCTION("""COMPUTED_VALUE"""),"VERDADERO")</f>
        <v>VERDADERO</v>
      </c>
    </row>
    <row r="695">
      <c r="A695" s="2">
        <f>IFERROR(__xludf.DUMMYFUNCTION("""COMPUTED_VALUE"""),694.0)</f>
        <v>694</v>
      </c>
      <c r="B695" s="2" t="str">
        <f>IFERROR(__xludf.DUMMYFUNCTION("""COMPUTED_VALUE"""),"Renault Fishby")</f>
        <v>Renault Fishby</v>
      </c>
      <c r="C695" s="2" t="str">
        <f>IFERROR(__xludf.DUMMYFUNCTION("""COMPUTED_VALUE"""),"rfishbyja@com.com")</f>
        <v>rfishbyja@com.com</v>
      </c>
      <c r="D695" s="4">
        <f>IFERROR(__xludf.DUMMYFUNCTION("""COMPUTED_VALUE"""),153.0)</f>
        <v>153</v>
      </c>
      <c r="E695" s="4">
        <f>IFERROR(__xludf.DUMMYFUNCTION("""COMPUTED_VALUE"""),117.0)</f>
        <v>117</v>
      </c>
      <c r="F695" s="4">
        <f>IFERROR(__xludf.DUMMYFUNCTION("""COMPUTED_VALUE"""),4.0)</f>
        <v>4</v>
      </c>
      <c r="G695" s="4">
        <f>IFERROR(__xludf.DUMMYFUNCTION("""COMPUTED_VALUE"""),551.0)</f>
        <v>551</v>
      </c>
      <c r="H695" s="5">
        <f>IFERROR(__xludf.DUMMYFUNCTION("""COMPUTED_VALUE"""),3777.68)</f>
        <v>3777.68</v>
      </c>
      <c r="I695" s="5">
        <f>IFERROR(__xludf.DUMMYFUNCTION("""COMPUTED_VALUE"""),9422.57)</f>
        <v>9422.57</v>
      </c>
      <c r="J695" s="5">
        <f>IFERROR(__xludf.DUMMYFUNCTION("""COMPUTED_VALUE"""),8344.98)</f>
        <v>8344.98</v>
      </c>
      <c r="K695" s="5">
        <f>IFERROR(__xludf.DUMMYFUNCTION("""COMPUTED_VALUE"""),7243.33)</f>
        <v>7243.33</v>
      </c>
      <c r="L695" s="4">
        <f>IFERROR(__xludf.DUMMYFUNCTION("""COMPUTED_VALUE"""),9.0)</f>
        <v>9</v>
      </c>
      <c r="M695" s="4">
        <f>IFERROR(__xludf.DUMMYFUNCTION("""COMPUTED_VALUE"""),34.0)</f>
        <v>34</v>
      </c>
      <c r="N695" s="2" t="str">
        <f>IFERROR(__xludf.DUMMYFUNCTION("""COMPUTED_VALUE"""),"VERDADERO")</f>
        <v>VERDADERO</v>
      </c>
    </row>
    <row r="696">
      <c r="A696" s="2">
        <f>IFERROR(__xludf.DUMMYFUNCTION("""COMPUTED_VALUE"""),695.0)</f>
        <v>695</v>
      </c>
      <c r="B696" s="2" t="str">
        <f>IFERROR(__xludf.DUMMYFUNCTION("""COMPUTED_VALUE"""),"Averil McEntee")</f>
        <v>Averil McEntee</v>
      </c>
      <c r="C696" s="2" t="str">
        <f>IFERROR(__xludf.DUMMYFUNCTION("""COMPUTED_VALUE"""),"amcenteejb@biblegateway.com")</f>
        <v>amcenteejb@biblegateway.com</v>
      </c>
      <c r="D696" s="4">
        <f>IFERROR(__xludf.DUMMYFUNCTION("""COMPUTED_VALUE"""),29.0)</f>
        <v>29</v>
      </c>
      <c r="E696" s="4">
        <f>IFERROR(__xludf.DUMMYFUNCTION("""COMPUTED_VALUE"""),58.0)</f>
        <v>58</v>
      </c>
      <c r="F696" s="4">
        <f>IFERROR(__xludf.DUMMYFUNCTION("""COMPUTED_VALUE"""),8.0)</f>
        <v>8</v>
      </c>
      <c r="G696" s="4">
        <f>IFERROR(__xludf.DUMMYFUNCTION("""COMPUTED_VALUE"""),405.0)</f>
        <v>405</v>
      </c>
      <c r="H696" s="5">
        <f>IFERROR(__xludf.DUMMYFUNCTION("""COMPUTED_VALUE"""),5575.3)</f>
        <v>5575.3</v>
      </c>
      <c r="I696" s="5">
        <f>IFERROR(__xludf.DUMMYFUNCTION("""COMPUTED_VALUE"""),3297.42)</f>
        <v>3297.42</v>
      </c>
      <c r="J696" s="5">
        <f>IFERROR(__xludf.DUMMYFUNCTION("""COMPUTED_VALUE"""),1267.07)</f>
        <v>1267.07</v>
      </c>
      <c r="K696" s="5">
        <f>IFERROR(__xludf.DUMMYFUNCTION("""COMPUTED_VALUE"""),6598.38)</f>
        <v>6598.38</v>
      </c>
      <c r="L696" s="4">
        <f>IFERROR(__xludf.DUMMYFUNCTION("""COMPUTED_VALUE"""),8.0)</f>
        <v>8</v>
      </c>
      <c r="M696" s="4">
        <f>IFERROR(__xludf.DUMMYFUNCTION("""COMPUTED_VALUE"""),24.0)</f>
        <v>24</v>
      </c>
      <c r="N696" s="2" t="str">
        <f>IFERROR(__xludf.DUMMYFUNCTION("""COMPUTED_VALUE"""),"VERDADERO")</f>
        <v>VERDADERO</v>
      </c>
    </row>
    <row r="697">
      <c r="A697" s="2">
        <f>IFERROR(__xludf.DUMMYFUNCTION("""COMPUTED_VALUE"""),696.0)</f>
        <v>696</v>
      </c>
      <c r="B697" s="2" t="str">
        <f>IFERROR(__xludf.DUMMYFUNCTION("""COMPUTED_VALUE"""),"Nadine Mottershaw")</f>
        <v>Nadine Mottershaw</v>
      </c>
      <c r="C697" s="2" t="str">
        <f>IFERROR(__xludf.DUMMYFUNCTION("""COMPUTED_VALUE"""),"nmottershawjc@cnn.com")</f>
        <v>nmottershawjc@cnn.com</v>
      </c>
      <c r="D697" s="4">
        <f>IFERROR(__xludf.DUMMYFUNCTION("""COMPUTED_VALUE"""),17.0)</f>
        <v>17</v>
      </c>
      <c r="E697" s="4">
        <f>IFERROR(__xludf.DUMMYFUNCTION("""COMPUTED_VALUE"""),81.0)</f>
        <v>81</v>
      </c>
      <c r="F697" s="4">
        <f>IFERROR(__xludf.DUMMYFUNCTION("""COMPUTED_VALUE"""),2.0)</f>
        <v>2</v>
      </c>
      <c r="G697" s="4">
        <f>IFERROR(__xludf.DUMMYFUNCTION("""COMPUTED_VALUE"""),1164.0)</f>
        <v>1164</v>
      </c>
      <c r="H697" s="5">
        <f>IFERROR(__xludf.DUMMYFUNCTION("""COMPUTED_VALUE"""),2091.65)</f>
        <v>2091.65</v>
      </c>
      <c r="I697" s="5">
        <f>IFERROR(__xludf.DUMMYFUNCTION("""COMPUTED_VALUE"""),668.73)</f>
        <v>668.73</v>
      </c>
      <c r="J697" s="5">
        <f>IFERROR(__xludf.DUMMYFUNCTION("""COMPUTED_VALUE"""),1783.86)</f>
        <v>1783.86</v>
      </c>
      <c r="K697" s="5">
        <f>IFERROR(__xludf.DUMMYFUNCTION("""COMPUTED_VALUE"""),1126.23)</f>
        <v>1126.23</v>
      </c>
      <c r="L697" s="4">
        <f>IFERROR(__xludf.DUMMYFUNCTION("""COMPUTED_VALUE"""),19.0)</f>
        <v>19</v>
      </c>
      <c r="M697" s="4">
        <f>IFERROR(__xludf.DUMMYFUNCTION("""COMPUTED_VALUE"""),37.0)</f>
        <v>37</v>
      </c>
      <c r="N697" s="2" t="str">
        <f>IFERROR(__xludf.DUMMYFUNCTION("""COMPUTED_VALUE"""),"VERDADERO")</f>
        <v>VERDADERO</v>
      </c>
    </row>
    <row r="698">
      <c r="A698" s="2">
        <f>IFERROR(__xludf.DUMMYFUNCTION("""COMPUTED_VALUE"""),697.0)</f>
        <v>697</v>
      </c>
      <c r="B698" s="2" t="str">
        <f>IFERROR(__xludf.DUMMYFUNCTION("""COMPUTED_VALUE"""),"Leslie Russam")</f>
        <v>Leslie Russam</v>
      </c>
      <c r="C698" s="2" t="str">
        <f>IFERROR(__xludf.DUMMYFUNCTION("""COMPUTED_VALUE"""),"lrussamjd@ihg.com")</f>
        <v>lrussamjd@ihg.com</v>
      </c>
      <c r="D698" s="4">
        <f>IFERROR(__xludf.DUMMYFUNCTION("""COMPUTED_VALUE"""),150.0)</f>
        <v>150</v>
      </c>
      <c r="E698" s="4">
        <f>IFERROR(__xludf.DUMMYFUNCTION("""COMPUTED_VALUE"""),2.0)</f>
        <v>2</v>
      </c>
      <c r="F698" s="4">
        <f>IFERROR(__xludf.DUMMYFUNCTION("""COMPUTED_VALUE"""),5.0)</f>
        <v>5</v>
      </c>
      <c r="G698" s="4">
        <f>IFERROR(__xludf.DUMMYFUNCTION("""COMPUTED_VALUE"""),91.0)</f>
        <v>91</v>
      </c>
      <c r="H698" s="5">
        <f>IFERROR(__xludf.DUMMYFUNCTION("""COMPUTED_VALUE"""),5444.88)</f>
        <v>5444.88</v>
      </c>
      <c r="I698" s="5">
        <f>IFERROR(__xludf.DUMMYFUNCTION("""COMPUTED_VALUE"""),3806.22)</f>
        <v>3806.22</v>
      </c>
      <c r="J698" s="5">
        <f>IFERROR(__xludf.DUMMYFUNCTION("""COMPUTED_VALUE"""),4592.92)</f>
        <v>4592.92</v>
      </c>
      <c r="K698" s="5">
        <f>IFERROR(__xludf.DUMMYFUNCTION("""COMPUTED_VALUE"""),3334.08)</f>
        <v>3334.08</v>
      </c>
      <c r="L698" s="4">
        <f>IFERROR(__xludf.DUMMYFUNCTION("""COMPUTED_VALUE"""),8.0)</f>
        <v>8</v>
      </c>
      <c r="M698" s="4">
        <f>IFERROR(__xludf.DUMMYFUNCTION("""COMPUTED_VALUE"""),76.0)</f>
        <v>76</v>
      </c>
      <c r="N698" s="2" t="str">
        <f>IFERROR(__xludf.DUMMYFUNCTION("""COMPUTED_VALUE"""),"VERDADERO")</f>
        <v>VERDADERO</v>
      </c>
    </row>
    <row r="699">
      <c r="A699" s="2">
        <f>IFERROR(__xludf.DUMMYFUNCTION("""COMPUTED_VALUE"""),698.0)</f>
        <v>698</v>
      </c>
      <c r="B699" s="2" t="str">
        <f>IFERROR(__xludf.DUMMYFUNCTION("""COMPUTED_VALUE"""),"Cyrill Peter")</f>
        <v>Cyrill Peter</v>
      </c>
      <c r="C699" s="2" t="str">
        <f>IFERROR(__xludf.DUMMYFUNCTION("""COMPUTED_VALUE"""),"cpeterje@businessinsider.com")</f>
        <v>cpeterje@businessinsider.com</v>
      </c>
      <c r="D699" s="4">
        <f>IFERROR(__xludf.DUMMYFUNCTION("""COMPUTED_VALUE"""),23.0)</f>
        <v>23</v>
      </c>
      <c r="E699" s="4">
        <f>IFERROR(__xludf.DUMMYFUNCTION("""COMPUTED_VALUE"""),29.0)</f>
        <v>29</v>
      </c>
      <c r="F699" s="4">
        <f>IFERROR(__xludf.DUMMYFUNCTION("""COMPUTED_VALUE"""),11.0)</f>
        <v>11</v>
      </c>
      <c r="G699" s="4">
        <f>IFERROR(__xludf.DUMMYFUNCTION("""COMPUTED_VALUE"""),417.0)</f>
        <v>417</v>
      </c>
      <c r="H699" s="5">
        <f>IFERROR(__xludf.DUMMYFUNCTION("""COMPUTED_VALUE"""),5217.16)</f>
        <v>5217.16</v>
      </c>
      <c r="I699" s="5">
        <f>IFERROR(__xludf.DUMMYFUNCTION("""COMPUTED_VALUE"""),7524.4)</f>
        <v>7524.4</v>
      </c>
      <c r="J699" s="5">
        <f>IFERROR(__xludf.DUMMYFUNCTION("""COMPUTED_VALUE"""),1695.92)</f>
        <v>1695.92</v>
      </c>
      <c r="K699" s="5">
        <f>IFERROR(__xludf.DUMMYFUNCTION("""COMPUTED_VALUE"""),6056.96)</f>
        <v>6056.96</v>
      </c>
      <c r="L699" s="4">
        <f>IFERROR(__xludf.DUMMYFUNCTION("""COMPUTED_VALUE"""),8.0)</f>
        <v>8</v>
      </c>
      <c r="M699" s="4">
        <f>IFERROR(__xludf.DUMMYFUNCTION("""COMPUTED_VALUE"""),53.0)</f>
        <v>53</v>
      </c>
      <c r="N699" s="2" t="str">
        <f>IFERROR(__xludf.DUMMYFUNCTION("""COMPUTED_VALUE"""),"FALSO")</f>
        <v>FALSO</v>
      </c>
    </row>
    <row r="700">
      <c r="A700" s="2">
        <f>IFERROR(__xludf.DUMMYFUNCTION("""COMPUTED_VALUE"""),699.0)</f>
        <v>699</v>
      </c>
      <c r="B700" s="2" t="str">
        <f>IFERROR(__xludf.DUMMYFUNCTION("""COMPUTED_VALUE"""),"Madelena Blackborow")</f>
        <v>Madelena Blackborow</v>
      </c>
      <c r="C700" s="2" t="str">
        <f>IFERROR(__xludf.DUMMYFUNCTION("""COMPUTED_VALUE"""),"mblackborowjf@tinyurl.com")</f>
        <v>mblackborowjf@tinyurl.com</v>
      </c>
      <c r="D700" s="4">
        <f>IFERROR(__xludf.DUMMYFUNCTION("""COMPUTED_VALUE"""),29.0)</f>
        <v>29</v>
      </c>
      <c r="E700" s="4">
        <f>IFERROR(__xludf.DUMMYFUNCTION("""COMPUTED_VALUE"""),15.0)</f>
        <v>15</v>
      </c>
      <c r="F700" s="4">
        <f>IFERROR(__xludf.DUMMYFUNCTION("""COMPUTED_VALUE"""),6.0)</f>
        <v>6</v>
      </c>
      <c r="G700" s="4">
        <f>IFERROR(__xludf.DUMMYFUNCTION("""COMPUTED_VALUE"""),194.0)</f>
        <v>194</v>
      </c>
      <c r="H700" s="5">
        <f>IFERROR(__xludf.DUMMYFUNCTION("""COMPUTED_VALUE"""),5313.42)</f>
        <v>5313.42</v>
      </c>
      <c r="I700" s="5">
        <f>IFERROR(__xludf.DUMMYFUNCTION("""COMPUTED_VALUE"""),9369.91)</f>
        <v>9369.91</v>
      </c>
      <c r="J700" s="5">
        <f>IFERROR(__xludf.DUMMYFUNCTION("""COMPUTED_VALUE"""),7383.46)</f>
        <v>7383.46</v>
      </c>
      <c r="K700" s="5">
        <f>IFERROR(__xludf.DUMMYFUNCTION("""COMPUTED_VALUE"""),8167.8)</f>
        <v>8167.8</v>
      </c>
      <c r="L700" s="4">
        <f>IFERROR(__xludf.DUMMYFUNCTION("""COMPUTED_VALUE"""),1.0)</f>
        <v>1</v>
      </c>
      <c r="M700" s="4">
        <f>IFERROR(__xludf.DUMMYFUNCTION("""COMPUTED_VALUE"""),45.0)</f>
        <v>45</v>
      </c>
      <c r="N700" s="2" t="str">
        <f>IFERROR(__xludf.DUMMYFUNCTION("""COMPUTED_VALUE"""),"FALSO")</f>
        <v>FALSO</v>
      </c>
    </row>
    <row r="701">
      <c r="A701" s="2">
        <f>IFERROR(__xludf.DUMMYFUNCTION("""COMPUTED_VALUE"""),700.0)</f>
        <v>700</v>
      </c>
      <c r="B701" s="2" t="str">
        <f>IFERROR(__xludf.DUMMYFUNCTION("""COMPUTED_VALUE"""),"Marty Adamczewski")</f>
        <v>Marty Adamczewski</v>
      </c>
      <c r="C701" s="2" t="str">
        <f>IFERROR(__xludf.DUMMYFUNCTION("""COMPUTED_VALUE"""),"madamczewskijg@naver.com")</f>
        <v>madamczewskijg@naver.com</v>
      </c>
      <c r="D701" s="4">
        <f>IFERROR(__xludf.DUMMYFUNCTION("""COMPUTED_VALUE"""),150.0)</f>
        <v>150</v>
      </c>
      <c r="E701" s="4">
        <f>IFERROR(__xludf.DUMMYFUNCTION("""COMPUTED_VALUE"""),58.0)</f>
        <v>58</v>
      </c>
      <c r="F701" s="4">
        <f>IFERROR(__xludf.DUMMYFUNCTION("""COMPUTED_VALUE"""),12.0)</f>
        <v>12</v>
      </c>
      <c r="G701" s="4">
        <f>IFERROR(__xludf.DUMMYFUNCTION("""COMPUTED_VALUE"""),475.0)</f>
        <v>475</v>
      </c>
      <c r="H701" s="5">
        <f>IFERROR(__xludf.DUMMYFUNCTION("""COMPUTED_VALUE"""),1864.82)</f>
        <v>1864.82</v>
      </c>
      <c r="I701" s="5">
        <f>IFERROR(__xludf.DUMMYFUNCTION("""COMPUTED_VALUE"""),5152.85)</f>
        <v>5152.85</v>
      </c>
      <c r="J701" s="5">
        <f>IFERROR(__xludf.DUMMYFUNCTION("""COMPUTED_VALUE"""),5146.33)</f>
        <v>5146.33</v>
      </c>
      <c r="K701" s="5">
        <f>IFERROR(__xludf.DUMMYFUNCTION("""COMPUTED_VALUE"""),2999.24)</f>
        <v>2999.24</v>
      </c>
      <c r="L701" s="4">
        <f>IFERROR(__xludf.DUMMYFUNCTION("""COMPUTED_VALUE"""),15.0)</f>
        <v>15</v>
      </c>
      <c r="M701" s="4">
        <f>IFERROR(__xludf.DUMMYFUNCTION("""COMPUTED_VALUE"""),14.0)</f>
        <v>14</v>
      </c>
      <c r="N701" s="2" t="str">
        <f>IFERROR(__xludf.DUMMYFUNCTION("""COMPUTED_VALUE"""),"VERDADERO")</f>
        <v>VERDADERO</v>
      </c>
    </row>
    <row r="702">
      <c r="A702" s="2">
        <f>IFERROR(__xludf.DUMMYFUNCTION("""COMPUTED_VALUE"""),701.0)</f>
        <v>701</v>
      </c>
      <c r="B702" s="2" t="str">
        <f>IFERROR(__xludf.DUMMYFUNCTION("""COMPUTED_VALUE"""),"Fanya Munnery")</f>
        <v>Fanya Munnery</v>
      </c>
      <c r="C702" s="2" t="str">
        <f>IFERROR(__xludf.DUMMYFUNCTION("""COMPUTED_VALUE"""),"fmunneryjh@g.co")</f>
        <v>fmunneryjh@g.co</v>
      </c>
      <c r="D702" s="4">
        <f>IFERROR(__xludf.DUMMYFUNCTION("""COMPUTED_VALUE"""),121.0)</f>
        <v>121</v>
      </c>
      <c r="E702" s="4">
        <f>IFERROR(__xludf.DUMMYFUNCTION("""COMPUTED_VALUE"""),39.0)</f>
        <v>39</v>
      </c>
      <c r="F702" s="4">
        <f>IFERROR(__xludf.DUMMYFUNCTION("""COMPUTED_VALUE"""),11.0)</f>
        <v>11</v>
      </c>
      <c r="G702" s="4">
        <f>IFERROR(__xludf.DUMMYFUNCTION("""COMPUTED_VALUE"""),903.0)</f>
        <v>903</v>
      </c>
      <c r="H702" s="5">
        <f>IFERROR(__xludf.DUMMYFUNCTION("""COMPUTED_VALUE"""),9584.38)</f>
        <v>9584.38</v>
      </c>
      <c r="I702" s="5">
        <f>IFERROR(__xludf.DUMMYFUNCTION("""COMPUTED_VALUE"""),6997.82)</f>
        <v>6997.82</v>
      </c>
      <c r="J702" s="5">
        <f>IFERROR(__xludf.DUMMYFUNCTION("""COMPUTED_VALUE"""),2413.78)</f>
        <v>2413.78</v>
      </c>
      <c r="K702" s="5">
        <f>IFERROR(__xludf.DUMMYFUNCTION("""COMPUTED_VALUE"""),7422.93)</f>
        <v>7422.93</v>
      </c>
      <c r="L702" s="4">
        <f>IFERROR(__xludf.DUMMYFUNCTION("""COMPUTED_VALUE"""),11.0)</f>
        <v>11</v>
      </c>
      <c r="M702" s="4">
        <f>IFERROR(__xludf.DUMMYFUNCTION("""COMPUTED_VALUE"""),90.0)</f>
        <v>90</v>
      </c>
      <c r="N702" s="2" t="str">
        <f>IFERROR(__xludf.DUMMYFUNCTION("""COMPUTED_VALUE"""),"VERDADERO")</f>
        <v>VERDADERO</v>
      </c>
    </row>
    <row r="703">
      <c r="A703" s="2">
        <f>IFERROR(__xludf.DUMMYFUNCTION("""COMPUTED_VALUE"""),702.0)</f>
        <v>702</v>
      </c>
      <c r="B703" s="2" t="str">
        <f>IFERROR(__xludf.DUMMYFUNCTION("""COMPUTED_VALUE"""),"Skye Driscoll")</f>
        <v>Skye Driscoll</v>
      </c>
      <c r="C703" s="2" t="str">
        <f>IFERROR(__xludf.DUMMYFUNCTION("""COMPUTED_VALUE"""),"sdriscollji@last.fm")</f>
        <v>sdriscollji@last.fm</v>
      </c>
      <c r="D703" s="4">
        <f>IFERROR(__xludf.DUMMYFUNCTION("""COMPUTED_VALUE"""),29.0)</f>
        <v>29</v>
      </c>
      <c r="E703" s="4">
        <f>IFERROR(__xludf.DUMMYFUNCTION("""COMPUTED_VALUE"""),25.0)</f>
        <v>25</v>
      </c>
      <c r="F703" s="4">
        <f>IFERROR(__xludf.DUMMYFUNCTION("""COMPUTED_VALUE"""),4.0)</f>
        <v>4</v>
      </c>
      <c r="G703" s="4">
        <f>IFERROR(__xludf.DUMMYFUNCTION("""COMPUTED_VALUE"""),1236.0)</f>
        <v>1236</v>
      </c>
      <c r="H703" s="5">
        <f>IFERROR(__xludf.DUMMYFUNCTION("""COMPUTED_VALUE"""),516.2)</f>
        <v>516.2</v>
      </c>
      <c r="I703" s="5">
        <f>IFERROR(__xludf.DUMMYFUNCTION("""COMPUTED_VALUE"""),1784.33)</f>
        <v>1784.33</v>
      </c>
      <c r="J703" s="5">
        <f>IFERROR(__xludf.DUMMYFUNCTION("""COMPUTED_VALUE"""),3174.45)</f>
        <v>3174.45</v>
      </c>
      <c r="K703" s="5">
        <f>IFERROR(__xludf.DUMMYFUNCTION("""COMPUTED_VALUE"""),1132.78)</f>
        <v>1132.78</v>
      </c>
      <c r="L703" s="4">
        <f>IFERROR(__xludf.DUMMYFUNCTION("""COMPUTED_VALUE"""),16.0)</f>
        <v>16</v>
      </c>
      <c r="M703" s="4">
        <f>IFERROR(__xludf.DUMMYFUNCTION("""COMPUTED_VALUE"""),76.0)</f>
        <v>76</v>
      </c>
      <c r="N703" s="2" t="str">
        <f>IFERROR(__xludf.DUMMYFUNCTION("""COMPUTED_VALUE"""),"VERDADERO")</f>
        <v>VERDADERO</v>
      </c>
    </row>
    <row r="704">
      <c r="A704" s="2">
        <f>IFERROR(__xludf.DUMMYFUNCTION("""COMPUTED_VALUE"""),703.0)</f>
        <v>703</v>
      </c>
      <c r="B704" s="2" t="str">
        <f>IFERROR(__xludf.DUMMYFUNCTION("""COMPUTED_VALUE"""),"Dorian Seiter")</f>
        <v>Dorian Seiter</v>
      </c>
      <c r="C704" s="2" t="str">
        <f>IFERROR(__xludf.DUMMYFUNCTION("""COMPUTED_VALUE"""),"dseiterjj@linkedin.com")</f>
        <v>dseiterjj@linkedin.com</v>
      </c>
      <c r="D704" s="4">
        <f>IFERROR(__xludf.DUMMYFUNCTION("""COMPUTED_VALUE"""),137.0)</f>
        <v>137</v>
      </c>
      <c r="E704" s="4">
        <f>IFERROR(__xludf.DUMMYFUNCTION("""COMPUTED_VALUE"""),82.0)</f>
        <v>82</v>
      </c>
      <c r="F704" s="4">
        <f>IFERROR(__xludf.DUMMYFUNCTION("""COMPUTED_VALUE"""),1.0)</f>
        <v>1</v>
      </c>
      <c r="G704" s="4">
        <f>IFERROR(__xludf.DUMMYFUNCTION("""COMPUTED_VALUE"""),113.0)</f>
        <v>113</v>
      </c>
      <c r="H704" s="5">
        <f>IFERROR(__xludf.DUMMYFUNCTION("""COMPUTED_VALUE"""),6446.87)</f>
        <v>6446.87</v>
      </c>
      <c r="I704" s="5">
        <f>IFERROR(__xludf.DUMMYFUNCTION("""COMPUTED_VALUE"""),9602.58)</f>
        <v>9602.58</v>
      </c>
      <c r="J704" s="5">
        <f>IFERROR(__xludf.DUMMYFUNCTION("""COMPUTED_VALUE"""),54.71)</f>
        <v>54.71</v>
      </c>
      <c r="K704" s="5">
        <f>IFERROR(__xludf.DUMMYFUNCTION("""COMPUTED_VALUE"""),799.76)</f>
        <v>799.76</v>
      </c>
      <c r="L704" s="4">
        <f>IFERROR(__xludf.DUMMYFUNCTION("""COMPUTED_VALUE"""),3.0)</f>
        <v>3</v>
      </c>
      <c r="M704" s="4">
        <f>IFERROR(__xludf.DUMMYFUNCTION("""COMPUTED_VALUE"""),96.0)</f>
        <v>96</v>
      </c>
      <c r="N704" s="2" t="str">
        <f>IFERROR(__xludf.DUMMYFUNCTION("""COMPUTED_VALUE"""),"FALSO")</f>
        <v>FALSO</v>
      </c>
    </row>
    <row r="705">
      <c r="A705" s="2">
        <f>IFERROR(__xludf.DUMMYFUNCTION("""COMPUTED_VALUE"""),704.0)</f>
        <v>704</v>
      </c>
      <c r="B705" s="2" t="str">
        <f>IFERROR(__xludf.DUMMYFUNCTION("""COMPUTED_VALUE"""),"Carney Haskett")</f>
        <v>Carney Haskett</v>
      </c>
      <c r="C705" s="2" t="str">
        <f>IFERROR(__xludf.DUMMYFUNCTION("""COMPUTED_VALUE"""),"chaskettjk@zdnet.com")</f>
        <v>chaskettjk@zdnet.com</v>
      </c>
      <c r="D705" s="4">
        <f>IFERROR(__xludf.DUMMYFUNCTION("""COMPUTED_VALUE"""),73.0)</f>
        <v>73</v>
      </c>
      <c r="E705" s="4">
        <f>IFERROR(__xludf.DUMMYFUNCTION("""COMPUTED_VALUE"""),12.0)</f>
        <v>12</v>
      </c>
      <c r="F705" s="4">
        <f>IFERROR(__xludf.DUMMYFUNCTION("""COMPUTED_VALUE"""),6.0)</f>
        <v>6</v>
      </c>
      <c r="G705" s="4">
        <f>IFERROR(__xludf.DUMMYFUNCTION("""COMPUTED_VALUE"""),407.0)</f>
        <v>407</v>
      </c>
      <c r="H705" s="5">
        <f>IFERROR(__xludf.DUMMYFUNCTION("""COMPUTED_VALUE"""),4573.77)</f>
        <v>4573.77</v>
      </c>
      <c r="I705" s="5">
        <f>IFERROR(__xludf.DUMMYFUNCTION("""COMPUTED_VALUE"""),5566.98)</f>
        <v>5566.98</v>
      </c>
      <c r="J705" s="5">
        <f>IFERROR(__xludf.DUMMYFUNCTION("""COMPUTED_VALUE"""),6131.44)</f>
        <v>6131.44</v>
      </c>
      <c r="K705" s="5">
        <f>IFERROR(__xludf.DUMMYFUNCTION("""COMPUTED_VALUE"""),5748.91)</f>
        <v>5748.91</v>
      </c>
      <c r="L705" s="4">
        <f>IFERROR(__xludf.DUMMYFUNCTION("""COMPUTED_VALUE"""),18.0)</f>
        <v>18</v>
      </c>
      <c r="M705" s="4">
        <f>IFERROR(__xludf.DUMMYFUNCTION("""COMPUTED_VALUE"""),43.0)</f>
        <v>43</v>
      </c>
      <c r="N705" s="2" t="str">
        <f>IFERROR(__xludf.DUMMYFUNCTION("""COMPUTED_VALUE"""),"VERDADERO")</f>
        <v>VERDADERO</v>
      </c>
    </row>
    <row r="706">
      <c r="A706" s="2">
        <f>IFERROR(__xludf.DUMMYFUNCTION("""COMPUTED_VALUE"""),705.0)</f>
        <v>705</v>
      </c>
      <c r="B706" s="2" t="str">
        <f>IFERROR(__xludf.DUMMYFUNCTION("""COMPUTED_VALUE"""),"Corney Revill")</f>
        <v>Corney Revill</v>
      </c>
      <c r="C706" s="2" t="str">
        <f>IFERROR(__xludf.DUMMYFUNCTION("""COMPUTED_VALUE"""),"crevilljl@hc360.com")</f>
        <v>crevilljl@hc360.com</v>
      </c>
      <c r="D706" s="4">
        <f>IFERROR(__xludf.DUMMYFUNCTION("""COMPUTED_VALUE"""),120.0)</f>
        <v>120</v>
      </c>
      <c r="E706" s="4">
        <f>IFERROR(__xludf.DUMMYFUNCTION("""COMPUTED_VALUE"""),81.0)</f>
        <v>81</v>
      </c>
      <c r="F706" s="4">
        <f>IFERROR(__xludf.DUMMYFUNCTION("""COMPUTED_VALUE"""),2.0)</f>
        <v>2</v>
      </c>
      <c r="G706" s="4">
        <f>IFERROR(__xludf.DUMMYFUNCTION("""COMPUTED_VALUE"""),800.0)</f>
        <v>800</v>
      </c>
      <c r="H706" s="5">
        <f>IFERROR(__xludf.DUMMYFUNCTION("""COMPUTED_VALUE"""),2496.24)</f>
        <v>2496.24</v>
      </c>
      <c r="I706" s="5">
        <f>IFERROR(__xludf.DUMMYFUNCTION("""COMPUTED_VALUE"""),8796.05)</f>
        <v>8796.05</v>
      </c>
      <c r="J706" s="5">
        <f>IFERROR(__xludf.DUMMYFUNCTION("""COMPUTED_VALUE"""),8561.36)</f>
        <v>8561.36</v>
      </c>
      <c r="K706" s="5">
        <f>IFERROR(__xludf.DUMMYFUNCTION("""COMPUTED_VALUE"""),285.42)</f>
        <v>285.42</v>
      </c>
      <c r="L706" s="4">
        <f>IFERROR(__xludf.DUMMYFUNCTION("""COMPUTED_VALUE"""),16.0)</f>
        <v>16</v>
      </c>
      <c r="M706" s="4">
        <f>IFERROR(__xludf.DUMMYFUNCTION("""COMPUTED_VALUE"""),63.0)</f>
        <v>63</v>
      </c>
      <c r="N706" s="2" t="str">
        <f>IFERROR(__xludf.DUMMYFUNCTION("""COMPUTED_VALUE"""),"FALSO")</f>
        <v>FALSO</v>
      </c>
    </row>
    <row r="707">
      <c r="A707" s="2">
        <f>IFERROR(__xludf.DUMMYFUNCTION("""COMPUTED_VALUE"""),706.0)</f>
        <v>706</v>
      </c>
      <c r="B707" s="2" t="str">
        <f>IFERROR(__xludf.DUMMYFUNCTION("""COMPUTED_VALUE"""),"Cindi Mustarde")</f>
        <v>Cindi Mustarde</v>
      </c>
      <c r="C707" s="2" t="str">
        <f>IFERROR(__xludf.DUMMYFUNCTION("""COMPUTED_VALUE"""),"cmustardejm@cam.ac.uk")</f>
        <v>cmustardejm@cam.ac.uk</v>
      </c>
      <c r="D707" s="4">
        <f>IFERROR(__xludf.DUMMYFUNCTION("""COMPUTED_VALUE"""),46.0)</f>
        <v>46</v>
      </c>
      <c r="E707" s="4">
        <f>IFERROR(__xludf.DUMMYFUNCTION("""COMPUTED_VALUE"""),17.0)</f>
        <v>17</v>
      </c>
      <c r="F707" s="4">
        <f>IFERROR(__xludf.DUMMYFUNCTION("""COMPUTED_VALUE"""),5.0)</f>
        <v>5</v>
      </c>
      <c r="G707" s="4">
        <f>IFERROR(__xludf.DUMMYFUNCTION("""COMPUTED_VALUE"""),865.0)</f>
        <v>865</v>
      </c>
      <c r="H707" s="5">
        <f>IFERROR(__xludf.DUMMYFUNCTION("""COMPUTED_VALUE"""),6970.1)</f>
        <v>6970.1</v>
      </c>
      <c r="I707" s="5">
        <f>IFERROR(__xludf.DUMMYFUNCTION("""COMPUTED_VALUE"""),102.02)</f>
        <v>102.02</v>
      </c>
      <c r="J707" s="5">
        <f>IFERROR(__xludf.DUMMYFUNCTION("""COMPUTED_VALUE"""),2489.65)</f>
        <v>2489.65</v>
      </c>
      <c r="K707" s="5">
        <f>IFERROR(__xludf.DUMMYFUNCTION("""COMPUTED_VALUE"""),5737.46)</f>
        <v>5737.46</v>
      </c>
      <c r="L707" s="4">
        <f>IFERROR(__xludf.DUMMYFUNCTION("""COMPUTED_VALUE"""),14.0)</f>
        <v>14</v>
      </c>
      <c r="M707" s="4">
        <f>IFERROR(__xludf.DUMMYFUNCTION("""COMPUTED_VALUE"""),38.0)</f>
        <v>38</v>
      </c>
      <c r="N707" s="2" t="str">
        <f>IFERROR(__xludf.DUMMYFUNCTION("""COMPUTED_VALUE"""),"VERDADERO")</f>
        <v>VERDADERO</v>
      </c>
    </row>
    <row r="708">
      <c r="A708" s="2">
        <f>IFERROR(__xludf.DUMMYFUNCTION("""COMPUTED_VALUE"""),707.0)</f>
        <v>707</v>
      </c>
      <c r="B708" s="2" t="str">
        <f>IFERROR(__xludf.DUMMYFUNCTION("""COMPUTED_VALUE"""),"Adolphe Fearnyough")</f>
        <v>Adolphe Fearnyough</v>
      </c>
      <c r="C708" s="2" t="str">
        <f>IFERROR(__xludf.DUMMYFUNCTION("""COMPUTED_VALUE"""),"afearnyoughjn@lycos.com")</f>
        <v>afearnyoughjn@lycos.com</v>
      </c>
      <c r="D708" s="4">
        <f>IFERROR(__xludf.DUMMYFUNCTION("""COMPUTED_VALUE"""),19.0)</f>
        <v>19</v>
      </c>
      <c r="E708" s="4">
        <f>IFERROR(__xludf.DUMMYFUNCTION("""COMPUTED_VALUE"""),66.0)</f>
        <v>66</v>
      </c>
      <c r="F708" s="4">
        <f>IFERROR(__xludf.DUMMYFUNCTION("""COMPUTED_VALUE"""),6.0)</f>
        <v>6</v>
      </c>
      <c r="G708" s="4">
        <f>IFERROR(__xludf.DUMMYFUNCTION("""COMPUTED_VALUE"""),1518.0)</f>
        <v>1518</v>
      </c>
      <c r="H708" s="5">
        <f>IFERROR(__xludf.DUMMYFUNCTION("""COMPUTED_VALUE"""),6277.4)</f>
        <v>6277.4</v>
      </c>
      <c r="I708" s="5">
        <f>IFERROR(__xludf.DUMMYFUNCTION("""COMPUTED_VALUE"""),4829.09)</f>
        <v>4829.09</v>
      </c>
      <c r="J708" s="5">
        <f>IFERROR(__xludf.DUMMYFUNCTION("""COMPUTED_VALUE"""),6687.59)</f>
        <v>6687.59</v>
      </c>
      <c r="K708" s="5">
        <f>IFERROR(__xludf.DUMMYFUNCTION("""COMPUTED_VALUE"""),4967.35)</f>
        <v>4967.35</v>
      </c>
      <c r="L708" s="4">
        <f>IFERROR(__xludf.DUMMYFUNCTION("""COMPUTED_VALUE"""),15.0)</f>
        <v>15</v>
      </c>
      <c r="M708" s="4">
        <f>IFERROR(__xludf.DUMMYFUNCTION("""COMPUTED_VALUE"""),98.0)</f>
        <v>98</v>
      </c>
      <c r="N708" s="2" t="str">
        <f>IFERROR(__xludf.DUMMYFUNCTION("""COMPUTED_VALUE"""),"VERDADERO")</f>
        <v>VERDADERO</v>
      </c>
    </row>
    <row r="709">
      <c r="A709" s="2">
        <f>IFERROR(__xludf.DUMMYFUNCTION("""COMPUTED_VALUE"""),708.0)</f>
        <v>708</v>
      </c>
      <c r="B709" s="2" t="str">
        <f>IFERROR(__xludf.DUMMYFUNCTION("""COMPUTED_VALUE"""),"Lilly Duckers")</f>
        <v>Lilly Duckers</v>
      </c>
      <c r="C709" s="2" t="str">
        <f>IFERROR(__xludf.DUMMYFUNCTION("""COMPUTED_VALUE"""),"lduckersjo@sakura.ne.jp")</f>
        <v>lduckersjo@sakura.ne.jp</v>
      </c>
      <c r="D709" s="4">
        <f>IFERROR(__xludf.DUMMYFUNCTION("""COMPUTED_VALUE"""),34.0)</f>
        <v>34</v>
      </c>
      <c r="E709" s="4">
        <f>IFERROR(__xludf.DUMMYFUNCTION("""COMPUTED_VALUE"""),119.0)</f>
        <v>119</v>
      </c>
      <c r="F709" s="4">
        <f>IFERROR(__xludf.DUMMYFUNCTION("""COMPUTED_VALUE"""),1.0)</f>
        <v>1</v>
      </c>
      <c r="G709" s="4">
        <f>IFERROR(__xludf.DUMMYFUNCTION("""COMPUTED_VALUE"""),837.0)</f>
        <v>837</v>
      </c>
      <c r="H709" s="5">
        <f>IFERROR(__xludf.DUMMYFUNCTION("""COMPUTED_VALUE"""),7808.54)</f>
        <v>7808.54</v>
      </c>
      <c r="I709" s="5">
        <f>IFERROR(__xludf.DUMMYFUNCTION("""COMPUTED_VALUE"""),473.94)</f>
        <v>473.94</v>
      </c>
      <c r="J709" s="5">
        <f>IFERROR(__xludf.DUMMYFUNCTION("""COMPUTED_VALUE"""),6325.41)</f>
        <v>6325.41</v>
      </c>
      <c r="K709" s="5">
        <f>IFERROR(__xludf.DUMMYFUNCTION("""COMPUTED_VALUE"""),6004.69)</f>
        <v>6004.69</v>
      </c>
      <c r="L709" s="4">
        <f>IFERROR(__xludf.DUMMYFUNCTION("""COMPUTED_VALUE"""),19.0)</f>
        <v>19</v>
      </c>
      <c r="M709" s="4">
        <f>IFERROR(__xludf.DUMMYFUNCTION("""COMPUTED_VALUE"""),87.0)</f>
        <v>87</v>
      </c>
      <c r="N709" s="2" t="str">
        <f>IFERROR(__xludf.DUMMYFUNCTION("""COMPUTED_VALUE"""),"FALSO")</f>
        <v>FALSO</v>
      </c>
    </row>
    <row r="710">
      <c r="A710" s="2">
        <f>IFERROR(__xludf.DUMMYFUNCTION("""COMPUTED_VALUE"""),709.0)</f>
        <v>709</v>
      </c>
      <c r="B710" s="2" t="str">
        <f>IFERROR(__xludf.DUMMYFUNCTION("""COMPUTED_VALUE"""),"Tonnie Ollet")</f>
        <v>Tonnie Ollet</v>
      </c>
      <c r="C710" s="2" t="str">
        <f>IFERROR(__xludf.DUMMYFUNCTION("""COMPUTED_VALUE"""),"tolletjp@barnesandnoble.com")</f>
        <v>tolletjp@barnesandnoble.com</v>
      </c>
      <c r="D710" s="4">
        <f>IFERROR(__xludf.DUMMYFUNCTION("""COMPUTED_VALUE"""),121.0)</f>
        <v>121</v>
      </c>
      <c r="E710" s="4">
        <f>IFERROR(__xludf.DUMMYFUNCTION("""COMPUTED_VALUE"""),67.0)</f>
        <v>67</v>
      </c>
      <c r="F710" s="4">
        <f>IFERROR(__xludf.DUMMYFUNCTION("""COMPUTED_VALUE"""),7.0)</f>
        <v>7</v>
      </c>
      <c r="G710" s="4">
        <f>IFERROR(__xludf.DUMMYFUNCTION("""COMPUTED_VALUE"""),1261.0)</f>
        <v>1261</v>
      </c>
      <c r="H710" s="5">
        <f>IFERROR(__xludf.DUMMYFUNCTION("""COMPUTED_VALUE"""),9047.18)</f>
        <v>9047.18</v>
      </c>
      <c r="I710" s="5">
        <f>IFERROR(__xludf.DUMMYFUNCTION("""COMPUTED_VALUE"""),8295.0)</f>
        <v>8295</v>
      </c>
      <c r="J710" s="5">
        <f>IFERROR(__xludf.DUMMYFUNCTION("""COMPUTED_VALUE"""),7359.12)</f>
        <v>7359.12</v>
      </c>
      <c r="K710" s="5">
        <f>IFERROR(__xludf.DUMMYFUNCTION("""COMPUTED_VALUE"""),7468.44)</f>
        <v>7468.44</v>
      </c>
      <c r="L710" s="4">
        <f>IFERROR(__xludf.DUMMYFUNCTION("""COMPUTED_VALUE"""),16.0)</f>
        <v>16</v>
      </c>
      <c r="M710" s="4">
        <f>IFERROR(__xludf.DUMMYFUNCTION("""COMPUTED_VALUE"""),25.0)</f>
        <v>25</v>
      </c>
      <c r="N710" s="2" t="str">
        <f>IFERROR(__xludf.DUMMYFUNCTION("""COMPUTED_VALUE"""),"VERDADERO")</f>
        <v>VERDADERO</v>
      </c>
    </row>
    <row r="711">
      <c r="A711" s="2">
        <f>IFERROR(__xludf.DUMMYFUNCTION("""COMPUTED_VALUE"""),710.0)</f>
        <v>710</v>
      </c>
      <c r="B711" s="2" t="str">
        <f>IFERROR(__xludf.DUMMYFUNCTION("""COMPUTED_VALUE"""),"Stephana Winram")</f>
        <v>Stephana Winram</v>
      </c>
      <c r="C711" s="2" t="str">
        <f>IFERROR(__xludf.DUMMYFUNCTION("""COMPUTED_VALUE"""),"swinramjq@state.tx.us")</f>
        <v>swinramjq@state.tx.us</v>
      </c>
      <c r="D711" s="4">
        <f>IFERROR(__xludf.DUMMYFUNCTION("""COMPUTED_VALUE"""),137.0)</f>
        <v>137</v>
      </c>
      <c r="E711" s="4">
        <f>IFERROR(__xludf.DUMMYFUNCTION("""COMPUTED_VALUE"""),101.0)</f>
        <v>101</v>
      </c>
      <c r="F711" s="4">
        <f>IFERROR(__xludf.DUMMYFUNCTION("""COMPUTED_VALUE"""),5.0)</f>
        <v>5</v>
      </c>
      <c r="G711" s="4">
        <f>IFERROR(__xludf.DUMMYFUNCTION("""COMPUTED_VALUE"""),231.0)</f>
        <v>231</v>
      </c>
      <c r="H711" s="5">
        <f>IFERROR(__xludf.DUMMYFUNCTION("""COMPUTED_VALUE"""),2354.73)</f>
        <v>2354.73</v>
      </c>
      <c r="I711" s="5">
        <f>IFERROR(__xludf.DUMMYFUNCTION("""COMPUTED_VALUE"""),7447.0)</f>
        <v>7447</v>
      </c>
      <c r="J711" s="5">
        <f>IFERROR(__xludf.DUMMYFUNCTION("""COMPUTED_VALUE"""),7882.81)</f>
        <v>7882.81</v>
      </c>
      <c r="K711" s="5">
        <f>IFERROR(__xludf.DUMMYFUNCTION("""COMPUTED_VALUE"""),9689.86)</f>
        <v>9689.86</v>
      </c>
      <c r="L711" s="4">
        <f>IFERROR(__xludf.DUMMYFUNCTION("""COMPUTED_VALUE"""),5.0)</f>
        <v>5</v>
      </c>
      <c r="M711" s="4">
        <f>IFERROR(__xludf.DUMMYFUNCTION("""COMPUTED_VALUE"""),91.0)</f>
        <v>91</v>
      </c>
      <c r="N711" s="2" t="str">
        <f>IFERROR(__xludf.DUMMYFUNCTION("""COMPUTED_VALUE"""),"VERDADERO")</f>
        <v>VERDADERO</v>
      </c>
    </row>
    <row r="712">
      <c r="A712" s="2">
        <f>IFERROR(__xludf.DUMMYFUNCTION("""COMPUTED_VALUE"""),711.0)</f>
        <v>711</v>
      </c>
      <c r="B712" s="2" t="str">
        <f>IFERROR(__xludf.DUMMYFUNCTION("""COMPUTED_VALUE"""),"Alix Quigg")</f>
        <v>Alix Quigg</v>
      </c>
      <c r="C712" s="2" t="str">
        <f>IFERROR(__xludf.DUMMYFUNCTION("""COMPUTED_VALUE"""),"aquiggjr@nba.com")</f>
        <v>aquiggjr@nba.com</v>
      </c>
      <c r="D712" s="4">
        <f>IFERROR(__xludf.DUMMYFUNCTION("""COMPUTED_VALUE"""),29.0)</f>
        <v>29</v>
      </c>
      <c r="E712" s="4">
        <f>IFERROR(__xludf.DUMMYFUNCTION("""COMPUTED_VALUE"""),37.0)</f>
        <v>37</v>
      </c>
      <c r="F712" s="4">
        <f>IFERROR(__xludf.DUMMYFUNCTION("""COMPUTED_VALUE"""),11.0)</f>
        <v>11</v>
      </c>
      <c r="G712" s="4">
        <f>IFERROR(__xludf.DUMMYFUNCTION("""COMPUTED_VALUE"""),1193.0)</f>
        <v>1193</v>
      </c>
      <c r="H712" s="5">
        <f>IFERROR(__xludf.DUMMYFUNCTION("""COMPUTED_VALUE"""),851.3)</f>
        <v>851.3</v>
      </c>
      <c r="I712" s="5">
        <f>IFERROR(__xludf.DUMMYFUNCTION("""COMPUTED_VALUE"""),5831.85)</f>
        <v>5831.85</v>
      </c>
      <c r="J712" s="5">
        <f>IFERROR(__xludf.DUMMYFUNCTION("""COMPUTED_VALUE"""),3745.08)</f>
        <v>3745.08</v>
      </c>
      <c r="K712" s="5">
        <f>IFERROR(__xludf.DUMMYFUNCTION("""COMPUTED_VALUE"""),8057.07)</f>
        <v>8057.07</v>
      </c>
      <c r="L712" s="4">
        <f>IFERROR(__xludf.DUMMYFUNCTION("""COMPUTED_VALUE"""),1.0)</f>
        <v>1</v>
      </c>
      <c r="M712" s="4">
        <f>IFERROR(__xludf.DUMMYFUNCTION("""COMPUTED_VALUE"""),91.0)</f>
        <v>91</v>
      </c>
      <c r="N712" s="2" t="str">
        <f>IFERROR(__xludf.DUMMYFUNCTION("""COMPUTED_VALUE"""),"FALSO")</f>
        <v>FALSO</v>
      </c>
    </row>
    <row r="713">
      <c r="A713" s="2">
        <f>IFERROR(__xludf.DUMMYFUNCTION("""COMPUTED_VALUE"""),712.0)</f>
        <v>712</v>
      </c>
      <c r="B713" s="2" t="str">
        <f>IFERROR(__xludf.DUMMYFUNCTION("""COMPUTED_VALUE"""),"Dolly Braidford")</f>
        <v>Dolly Braidford</v>
      </c>
      <c r="C713" s="2" t="str">
        <f>IFERROR(__xludf.DUMMYFUNCTION("""COMPUTED_VALUE"""),"dbraidfordjs@upenn.edu")</f>
        <v>dbraidfordjs@upenn.edu</v>
      </c>
      <c r="D713" s="4">
        <f>IFERROR(__xludf.DUMMYFUNCTION("""COMPUTED_VALUE"""),48.0)</f>
        <v>48</v>
      </c>
      <c r="E713" s="4">
        <f>IFERROR(__xludf.DUMMYFUNCTION("""COMPUTED_VALUE"""),82.0)</f>
        <v>82</v>
      </c>
      <c r="F713" s="4">
        <f>IFERROR(__xludf.DUMMYFUNCTION("""COMPUTED_VALUE"""),3.0)</f>
        <v>3</v>
      </c>
      <c r="G713" s="4">
        <f>IFERROR(__xludf.DUMMYFUNCTION("""COMPUTED_VALUE"""),893.0)</f>
        <v>893</v>
      </c>
      <c r="H713" s="5">
        <f>IFERROR(__xludf.DUMMYFUNCTION("""COMPUTED_VALUE"""),3529.67)</f>
        <v>3529.67</v>
      </c>
      <c r="I713" s="5">
        <f>IFERROR(__xludf.DUMMYFUNCTION("""COMPUTED_VALUE"""),2650.7)</f>
        <v>2650.7</v>
      </c>
      <c r="J713" s="5">
        <f>IFERROR(__xludf.DUMMYFUNCTION("""COMPUTED_VALUE"""),981.21)</f>
        <v>981.21</v>
      </c>
      <c r="K713" s="5">
        <f>IFERROR(__xludf.DUMMYFUNCTION("""COMPUTED_VALUE"""),7190.14)</f>
        <v>7190.14</v>
      </c>
      <c r="L713" s="4">
        <f>IFERROR(__xludf.DUMMYFUNCTION("""COMPUTED_VALUE"""),15.0)</f>
        <v>15</v>
      </c>
      <c r="M713" s="4">
        <f>IFERROR(__xludf.DUMMYFUNCTION("""COMPUTED_VALUE"""),37.0)</f>
        <v>37</v>
      </c>
      <c r="N713" s="2" t="str">
        <f>IFERROR(__xludf.DUMMYFUNCTION("""COMPUTED_VALUE"""),"FALSO")</f>
        <v>FALSO</v>
      </c>
    </row>
    <row r="714">
      <c r="A714" s="2">
        <f>IFERROR(__xludf.DUMMYFUNCTION("""COMPUTED_VALUE"""),713.0)</f>
        <v>713</v>
      </c>
      <c r="B714" s="2" t="str">
        <f>IFERROR(__xludf.DUMMYFUNCTION("""COMPUTED_VALUE"""),"Dare Brinkley")</f>
        <v>Dare Brinkley</v>
      </c>
      <c r="C714" s="2" t="str">
        <f>IFERROR(__xludf.DUMMYFUNCTION("""COMPUTED_VALUE"""),"dbrinkleyjt@noaa.gov")</f>
        <v>dbrinkleyjt@noaa.gov</v>
      </c>
      <c r="D714" s="4">
        <f>IFERROR(__xludf.DUMMYFUNCTION("""COMPUTED_VALUE"""),153.0)</f>
        <v>153</v>
      </c>
      <c r="E714" s="4">
        <f>IFERROR(__xludf.DUMMYFUNCTION("""COMPUTED_VALUE"""),36.0)</f>
        <v>36</v>
      </c>
      <c r="F714" s="4">
        <f>IFERROR(__xludf.DUMMYFUNCTION("""COMPUTED_VALUE"""),5.0)</f>
        <v>5</v>
      </c>
      <c r="G714" s="4">
        <f>IFERROR(__xludf.DUMMYFUNCTION("""COMPUTED_VALUE"""),1266.0)</f>
        <v>1266</v>
      </c>
      <c r="H714" s="5">
        <f>IFERROR(__xludf.DUMMYFUNCTION("""COMPUTED_VALUE"""),8803.98)</f>
        <v>8803.98</v>
      </c>
      <c r="I714" s="5">
        <f>IFERROR(__xludf.DUMMYFUNCTION("""COMPUTED_VALUE"""),8953.05)</f>
        <v>8953.05</v>
      </c>
      <c r="J714" s="5">
        <f>IFERROR(__xludf.DUMMYFUNCTION("""COMPUTED_VALUE"""),6942.61)</f>
        <v>6942.61</v>
      </c>
      <c r="K714" s="5">
        <f>IFERROR(__xludf.DUMMYFUNCTION("""COMPUTED_VALUE"""),9917.65)</f>
        <v>9917.65</v>
      </c>
      <c r="L714" s="4">
        <f>IFERROR(__xludf.DUMMYFUNCTION("""COMPUTED_VALUE"""),11.0)</f>
        <v>11</v>
      </c>
      <c r="M714" s="4">
        <f>IFERROR(__xludf.DUMMYFUNCTION("""COMPUTED_VALUE"""),77.0)</f>
        <v>77</v>
      </c>
      <c r="N714" s="2" t="str">
        <f>IFERROR(__xludf.DUMMYFUNCTION("""COMPUTED_VALUE"""),"VERDADERO")</f>
        <v>VERDADERO</v>
      </c>
    </row>
    <row r="715">
      <c r="A715" s="2">
        <f>IFERROR(__xludf.DUMMYFUNCTION("""COMPUTED_VALUE"""),714.0)</f>
        <v>714</v>
      </c>
      <c r="B715" s="2" t="str">
        <f>IFERROR(__xludf.DUMMYFUNCTION("""COMPUTED_VALUE"""),"Kimble Scotting")</f>
        <v>Kimble Scotting</v>
      </c>
      <c r="C715" s="2" t="str">
        <f>IFERROR(__xludf.DUMMYFUNCTION("""COMPUTED_VALUE"""),"kscottingju@state.gov")</f>
        <v>kscottingju@state.gov</v>
      </c>
      <c r="D715" s="4">
        <f>IFERROR(__xludf.DUMMYFUNCTION("""COMPUTED_VALUE"""),29.0)</f>
        <v>29</v>
      </c>
      <c r="E715" s="4">
        <f>IFERROR(__xludf.DUMMYFUNCTION("""COMPUTED_VALUE"""),64.0)</f>
        <v>64</v>
      </c>
      <c r="F715" s="4">
        <f>IFERROR(__xludf.DUMMYFUNCTION("""COMPUTED_VALUE"""),4.0)</f>
        <v>4</v>
      </c>
      <c r="G715" s="4">
        <f>IFERROR(__xludf.DUMMYFUNCTION("""COMPUTED_VALUE"""),544.0)</f>
        <v>544</v>
      </c>
      <c r="H715" s="5">
        <f>IFERROR(__xludf.DUMMYFUNCTION("""COMPUTED_VALUE"""),7488.94)</f>
        <v>7488.94</v>
      </c>
      <c r="I715" s="5">
        <f>IFERROR(__xludf.DUMMYFUNCTION("""COMPUTED_VALUE"""),3485.69)</f>
        <v>3485.69</v>
      </c>
      <c r="J715" s="5">
        <f>IFERROR(__xludf.DUMMYFUNCTION("""COMPUTED_VALUE"""),7228.93)</f>
        <v>7228.93</v>
      </c>
      <c r="K715" s="5">
        <f>IFERROR(__xludf.DUMMYFUNCTION("""COMPUTED_VALUE"""),9782.8)</f>
        <v>9782.8</v>
      </c>
      <c r="L715" s="4">
        <f>IFERROR(__xludf.DUMMYFUNCTION("""COMPUTED_VALUE"""),4.0)</f>
        <v>4</v>
      </c>
      <c r="M715" s="4">
        <f>IFERROR(__xludf.DUMMYFUNCTION("""COMPUTED_VALUE"""),10.0)</f>
        <v>10</v>
      </c>
      <c r="N715" s="2" t="str">
        <f>IFERROR(__xludf.DUMMYFUNCTION("""COMPUTED_VALUE"""),"FALSO")</f>
        <v>FALSO</v>
      </c>
    </row>
    <row r="716">
      <c r="A716" s="2">
        <f>IFERROR(__xludf.DUMMYFUNCTION("""COMPUTED_VALUE"""),715.0)</f>
        <v>715</v>
      </c>
      <c r="B716" s="2" t="str">
        <f>IFERROR(__xludf.DUMMYFUNCTION("""COMPUTED_VALUE"""),"Trevar Grimme")</f>
        <v>Trevar Grimme</v>
      </c>
      <c r="C716" s="2" t="str">
        <f>IFERROR(__xludf.DUMMYFUNCTION("""COMPUTED_VALUE"""),"tgrimmejv@sogou.com")</f>
        <v>tgrimmejv@sogou.com</v>
      </c>
      <c r="D716" s="4">
        <f>IFERROR(__xludf.DUMMYFUNCTION("""COMPUTED_VALUE"""),130.0)</f>
        <v>130</v>
      </c>
      <c r="E716" s="4">
        <f>IFERROR(__xludf.DUMMYFUNCTION("""COMPUTED_VALUE"""),90.0)</f>
        <v>90</v>
      </c>
      <c r="F716" s="4">
        <f>IFERROR(__xludf.DUMMYFUNCTION("""COMPUTED_VALUE"""),5.0)</f>
        <v>5</v>
      </c>
      <c r="G716" s="4">
        <f>IFERROR(__xludf.DUMMYFUNCTION("""COMPUTED_VALUE"""),398.0)</f>
        <v>398</v>
      </c>
      <c r="H716" s="5">
        <f>IFERROR(__xludf.DUMMYFUNCTION("""COMPUTED_VALUE"""),3821.53)</f>
        <v>3821.53</v>
      </c>
      <c r="I716" s="5">
        <f>IFERROR(__xludf.DUMMYFUNCTION("""COMPUTED_VALUE"""),8929.85)</f>
        <v>8929.85</v>
      </c>
      <c r="J716" s="5">
        <f>IFERROR(__xludf.DUMMYFUNCTION("""COMPUTED_VALUE"""),3590.06)</f>
        <v>3590.06</v>
      </c>
      <c r="K716" s="5">
        <f>IFERROR(__xludf.DUMMYFUNCTION("""COMPUTED_VALUE"""),763.23)</f>
        <v>763.23</v>
      </c>
      <c r="L716" s="4">
        <f>IFERROR(__xludf.DUMMYFUNCTION("""COMPUTED_VALUE"""),4.0)</f>
        <v>4</v>
      </c>
      <c r="M716" s="4">
        <f>IFERROR(__xludf.DUMMYFUNCTION("""COMPUTED_VALUE"""),54.0)</f>
        <v>54</v>
      </c>
      <c r="N716" s="2" t="str">
        <f>IFERROR(__xludf.DUMMYFUNCTION("""COMPUTED_VALUE"""),"VERDADERO")</f>
        <v>VERDADERO</v>
      </c>
    </row>
    <row r="717">
      <c r="A717" s="2">
        <f>IFERROR(__xludf.DUMMYFUNCTION("""COMPUTED_VALUE"""),716.0)</f>
        <v>716</v>
      </c>
      <c r="B717" s="2" t="str">
        <f>IFERROR(__xludf.DUMMYFUNCTION("""COMPUTED_VALUE"""),"Bear De Malchar")</f>
        <v>Bear De Malchar</v>
      </c>
      <c r="C717" s="2" t="str">
        <f>IFERROR(__xludf.DUMMYFUNCTION("""COMPUTED_VALUE"""),"bdejw@skype.com")</f>
        <v>bdejw@skype.com</v>
      </c>
      <c r="D717" s="4">
        <f>IFERROR(__xludf.DUMMYFUNCTION("""COMPUTED_VALUE"""),122.0)</f>
        <v>122</v>
      </c>
      <c r="E717" s="4">
        <f>IFERROR(__xludf.DUMMYFUNCTION("""COMPUTED_VALUE"""),82.0)</f>
        <v>82</v>
      </c>
      <c r="F717" s="4">
        <f>IFERROR(__xludf.DUMMYFUNCTION("""COMPUTED_VALUE"""),3.0)</f>
        <v>3</v>
      </c>
      <c r="G717" s="4">
        <f>IFERROR(__xludf.DUMMYFUNCTION("""COMPUTED_VALUE"""),1033.0)</f>
        <v>1033</v>
      </c>
      <c r="H717" s="5">
        <f>IFERROR(__xludf.DUMMYFUNCTION("""COMPUTED_VALUE"""),9327.97)</f>
        <v>9327.97</v>
      </c>
      <c r="I717" s="5">
        <f>IFERROR(__xludf.DUMMYFUNCTION("""COMPUTED_VALUE"""),2652.68)</f>
        <v>2652.68</v>
      </c>
      <c r="J717" s="5">
        <f>IFERROR(__xludf.DUMMYFUNCTION("""COMPUTED_VALUE"""),556.03)</f>
        <v>556.03</v>
      </c>
      <c r="K717" s="5">
        <f>IFERROR(__xludf.DUMMYFUNCTION("""COMPUTED_VALUE"""),622.77)</f>
        <v>622.77</v>
      </c>
      <c r="L717" s="4">
        <f>IFERROR(__xludf.DUMMYFUNCTION("""COMPUTED_VALUE"""),13.0)</f>
        <v>13</v>
      </c>
      <c r="M717" s="4">
        <f>IFERROR(__xludf.DUMMYFUNCTION("""COMPUTED_VALUE"""),32.0)</f>
        <v>32</v>
      </c>
      <c r="N717" s="2" t="str">
        <f>IFERROR(__xludf.DUMMYFUNCTION("""COMPUTED_VALUE"""),"VERDADERO")</f>
        <v>VERDADERO</v>
      </c>
    </row>
    <row r="718">
      <c r="A718" s="2">
        <f>IFERROR(__xludf.DUMMYFUNCTION("""COMPUTED_VALUE"""),717.0)</f>
        <v>717</v>
      </c>
      <c r="B718" s="2" t="str">
        <f>IFERROR(__xludf.DUMMYFUNCTION("""COMPUTED_VALUE"""),"Kalie Mee")</f>
        <v>Kalie Mee</v>
      </c>
      <c r="C718" s="2" t="str">
        <f>IFERROR(__xludf.DUMMYFUNCTION("""COMPUTED_VALUE"""),"kmeejx@mozilla.org")</f>
        <v>kmeejx@mozilla.org</v>
      </c>
      <c r="D718" s="4">
        <f>IFERROR(__xludf.DUMMYFUNCTION("""COMPUTED_VALUE"""),12.0)</f>
        <v>12</v>
      </c>
      <c r="E718" s="4">
        <f>IFERROR(__xludf.DUMMYFUNCTION("""COMPUTED_VALUE"""),40.0)</f>
        <v>40</v>
      </c>
      <c r="F718" s="4">
        <f>IFERROR(__xludf.DUMMYFUNCTION("""COMPUTED_VALUE"""),1.0)</f>
        <v>1</v>
      </c>
      <c r="G718" s="4">
        <f>IFERROR(__xludf.DUMMYFUNCTION("""COMPUTED_VALUE"""),1375.0)</f>
        <v>1375</v>
      </c>
      <c r="H718" s="5">
        <f>IFERROR(__xludf.DUMMYFUNCTION("""COMPUTED_VALUE"""),7037.79)</f>
        <v>7037.79</v>
      </c>
      <c r="I718" s="5">
        <f>IFERROR(__xludf.DUMMYFUNCTION("""COMPUTED_VALUE"""),6050.25)</f>
        <v>6050.25</v>
      </c>
      <c r="J718" s="5">
        <f>IFERROR(__xludf.DUMMYFUNCTION("""COMPUTED_VALUE"""),8203.68)</f>
        <v>8203.68</v>
      </c>
      <c r="K718" s="5">
        <f>IFERROR(__xludf.DUMMYFUNCTION("""COMPUTED_VALUE"""),4778.81)</f>
        <v>4778.81</v>
      </c>
      <c r="L718" s="4">
        <f>IFERROR(__xludf.DUMMYFUNCTION("""COMPUTED_VALUE"""),12.0)</f>
        <v>12</v>
      </c>
      <c r="M718" s="4">
        <f>IFERROR(__xludf.DUMMYFUNCTION("""COMPUTED_VALUE"""),79.0)</f>
        <v>79</v>
      </c>
      <c r="N718" s="2" t="str">
        <f>IFERROR(__xludf.DUMMYFUNCTION("""COMPUTED_VALUE"""),"VERDADERO")</f>
        <v>VERDADERO</v>
      </c>
    </row>
    <row r="719">
      <c r="A719" s="2">
        <f>IFERROR(__xludf.DUMMYFUNCTION("""COMPUTED_VALUE"""),718.0)</f>
        <v>718</v>
      </c>
      <c r="B719" s="2" t="str">
        <f>IFERROR(__xludf.DUMMYFUNCTION("""COMPUTED_VALUE"""),"Gwyn Plackstone")</f>
        <v>Gwyn Plackstone</v>
      </c>
      <c r="C719" s="2" t="str">
        <f>IFERROR(__xludf.DUMMYFUNCTION("""COMPUTED_VALUE"""),"gplackstonejy@studiopress.com")</f>
        <v>gplackstonejy@studiopress.com</v>
      </c>
      <c r="D719" s="4">
        <f>IFERROR(__xludf.DUMMYFUNCTION("""COMPUTED_VALUE"""),153.0)</f>
        <v>153</v>
      </c>
      <c r="E719" s="4">
        <f>IFERROR(__xludf.DUMMYFUNCTION("""COMPUTED_VALUE"""),11.0)</f>
        <v>11</v>
      </c>
      <c r="F719" s="4">
        <f>IFERROR(__xludf.DUMMYFUNCTION("""COMPUTED_VALUE"""),13.0)</f>
        <v>13</v>
      </c>
      <c r="G719" s="4">
        <f>IFERROR(__xludf.DUMMYFUNCTION("""COMPUTED_VALUE"""),850.0)</f>
        <v>850</v>
      </c>
      <c r="H719" s="5">
        <f>IFERROR(__xludf.DUMMYFUNCTION("""COMPUTED_VALUE"""),4644.53)</f>
        <v>4644.53</v>
      </c>
      <c r="I719" s="5">
        <f>IFERROR(__xludf.DUMMYFUNCTION("""COMPUTED_VALUE"""),9483.62)</f>
        <v>9483.62</v>
      </c>
      <c r="J719" s="5">
        <f>IFERROR(__xludf.DUMMYFUNCTION("""COMPUTED_VALUE"""),3269.78)</f>
        <v>3269.78</v>
      </c>
      <c r="K719" s="5">
        <f>IFERROR(__xludf.DUMMYFUNCTION("""COMPUTED_VALUE"""),5232.74)</f>
        <v>5232.74</v>
      </c>
      <c r="L719" s="4">
        <f>IFERROR(__xludf.DUMMYFUNCTION("""COMPUTED_VALUE"""),18.0)</f>
        <v>18</v>
      </c>
      <c r="M719" s="4">
        <f>IFERROR(__xludf.DUMMYFUNCTION("""COMPUTED_VALUE"""),3.0)</f>
        <v>3</v>
      </c>
      <c r="N719" s="2" t="str">
        <f>IFERROR(__xludf.DUMMYFUNCTION("""COMPUTED_VALUE"""),"FALSO")</f>
        <v>FALSO</v>
      </c>
    </row>
    <row r="720">
      <c r="A720" s="2">
        <f>IFERROR(__xludf.DUMMYFUNCTION("""COMPUTED_VALUE"""),719.0)</f>
        <v>719</v>
      </c>
      <c r="B720" s="2" t="str">
        <f>IFERROR(__xludf.DUMMYFUNCTION("""COMPUTED_VALUE"""),"Drusi Philcott")</f>
        <v>Drusi Philcott</v>
      </c>
      <c r="C720" s="2" t="str">
        <f>IFERROR(__xludf.DUMMYFUNCTION("""COMPUTED_VALUE"""),"dphilcottjz@jimdo.com")</f>
        <v>dphilcottjz@jimdo.com</v>
      </c>
      <c r="D720" s="4">
        <f>IFERROR(__xludf.DUMMYFUNCTION("""COMPUTED_VALUE"""),29.0)</f>
        <v>29</v>
      </c>
      <c r="E720" s="4">
        <f>IFERROR(__xludf.DUMMYFUNCTION("""COMPUTED_VALUE"""),58.0)</f>
        <v>58</v>
      </c>
      <c r="F720" s="4">
        <f>IFERROR(__xludf.DUMMYFUNCTION("""COMPUTED_VALUE"""),8.0)</f>
        <v>8</v>
      </c>
      <c r="G720" s="4">
        <f>IFERROR(__xludf.DUMMYFUNCTION("""COMPUTED_VALUE"""),1321.0)</f>
        <v>1321</v>
      </c>
      <c r="H720" s="5">
        <f>IFERROR(__xludf.DUMMYFUNCTION("""COMPUTED_VALUE"""),8311.13)</f>
        <v>8311.13</v>
      </c>
      <c r="I720" s="5">
        <f>IFERROR(__xludf.DUMMYFUNCTION("""COMPUTED_VALUE"""),5483.95)</f>
        <v>5483.95</v>
      </c>
      <c r="J720" s="5">
        <f>IFERROR(__xludf.DUMMYFUNCTION("""COMPUTED_VALUE"""),7122.63)</f>
        <v>7122.63</v>
      </c>
      <c r="K720" s="5">
        <f>IFERROR(__xludf.DUMMYFUNCTION("""COMPUTED_VALUE"""),3795.88)</f>
        <v>3795.88</v>
      </c>
      <c r="L720" s="4">
        <f>IFERROR(__xludf.DUMMYFUNCTION("""COMPUTED_VALUE"""),8.0)</f>
        <v>8</v>
      </c>
      <c r="M720" s="4">
        <f>IFERROR(__xludf.DUMMYFUNCTION("""COMPUTED_VALUE"""),29.0)</f>
        <v>29</v>
      </c>
      <c r="N720" s="2" t="str">
        <f>IFERROR(__xludf.DUMMYFUNCTION("""COMPUTED_VALUE"""),"FALSO")</f>
        <v>FALSO</v>
      </c>
    </row>
    <row r="721">
      <c r="A721" s="2">
        <f>IFERROR(__xludf.DUMMYFUNCTION("""COMPUTED_VALUE"""),720.0)</f>
        <v>720</v>
      </c>
      <c r="B721" s="2" t="str">
        <f>IFERROR(__xludf.DUMMYFUNCTION("""COMPUTED_VALUE"""),"Ted Kernaghan")</f>
        <v>Ted Kernaghan</v>
      </c>
      <c r="C721" s="2" t="str">
        <f>IFERROR(__xludf.DUMMYFUNCTION("""COMPUTED_VALUE"""),"tkernaghank0@microsoft.com")</f>
        <v>tkernaghank0@microsoft.com</v>
      </c>
      <c r="D721" s="4">
        <f>IFERROR(__xludf.DUMMYFUNCTION("""COMPUTED_VALUE"""),29.0)</f>
        <v>29</v>
      </c>
      <c r="E721" s="4">
        <f>IFERROR(__xludf.DUMMYFUNCTION("""COMPUTED_VALUE"""),107.0)</f>
        <v>107</v>
      </c>
      <c r="F721" s="4">
        <f>IFERROR(__xludf.DUMMYFUNCTION("""COMPUTED_VALUE"""),5.0)</f>
        <v>5</v>
      </c>
      <c r="G721" s="4">
        <f>IFERROR(__xludf.DUMMYFUNCTION("""COMPUTED_VALUE"""),1566.0)</f>
        <v>1566</v>
      </c>
      <c r="H721" s="5">
        <f>IFERROR(__xludf.DUMMYFUNCTION("""COMPUTED_VALUE"""),1753.61)</f>
        <v>1753.61</v>
      </c>
      <c r="I721" s="5">
        <f>IFERROR(__xludf.DUMMYFUNCTION("""COMPUTED_VALUE"""),5609.06)</f>
        <v>5609.06</v>
      </c>
      <c r="J721" s="5">
        <f>IFERROR(__xludf.DUMMYFUNCTION("""COMPUTED_VALUE"""),7991.16)</f>
        <v>7991.16</v>
      </c>
      <c r="K721" s="5">
        <f>IFERROR(__xludf.DUMMYFUNCTION("""COMPUTED_VALUE"""),8459.31)</f>
        <v>8459.31</v>
      </c>
      <c r="L721" s="4">
        <f>IFERROR(__xludf.DUMMYFUNCTION("""COMPUTED_VALUE"""),20.0)</f>
        <v>20</v>
      </c>
      <c r="M721" s="4">
        <f>IFERROR(__xludf.DUMMYFUNCTION("""COMPUTED_VALUE"""),13.0)</f>
        <v>13</v>
      </c>
      <c r="N721" s="2" t="str">
        <f>IFERROR(__xludf.DUMMYFUNCTION("""COMPUTED_VALUE"""),"FALSO")</f>
        <v>FALSO</v>
      </c>
    </row>
    <row r="722">
      <c r="A722" s="2">
        <f>IFERROR(__xludf.DUMMYFUNCTION("""COMPUTED_VALUE"""),721.0)</f>
        <v>721</v>
      </c>
      <c r="B722" s="2" t="str">
        <f>IFERROR(__xludf.DUMMYFUNCTION("""COMPUTED_VALUE"""),"Leanora Leheude")</f>
        <v>Leanora Leheude</v>
      </c>
      <c r="C722" s="2" t="str">
        <f>IFERROR(__xludf.DUMMYFUNCTION("""COMPUTED_VALUE"""),"lleheudek1@ihg.com")</f>
        <v>lleheudek1@ihg.com</v>
      </c>
      <c r="D722" s="4">
        <f>IFERROR(__xludf.DUMMYFUNCTION("""COMPUTED_VALUE"""),120.0)</f>
        <v>120</v>
      </c>
      <c r="E722" s="4">
        <f>IFERROR(__xludf.DUMMYFUNCTION("""COMPUTED_VALUE"""),66.0)</f>
        <v>66</v>
      </c>
      <c r="F722" s="4">
        <f>IFERROR(__xludf.DUMMYFUNCTION("""COMPUTED_VALUE"""),6.0)</f>
        <v>6</v>
      </c>
      <c r="G722" s="4">
        <f>IFERROR(__xludf.DUMMYFUNCTION("""COMPUTED_VALUE"""),500.0)</f>
        <v>500</v>
      </c>
      <c r="H722" s="5">
        <f>IFERROR(__xludf.DUMMYFUNCTION("""COMPUTED_VALUE"""),1979.61)</f>
        <v>1979.61</v>
      </c>
      <c r="I722" s="5">
        <f>IFERROR(__xludf.DUMMYFUNCTION("""COMPUTED_VALUE"""),8206.91)</f>
        <v>8206.91</v>
      </c>
      <c r="J722" s="5">
        <f>IFERROR(__xludf.DUMMYFUNCTION("""COMPUTED_VALUE"""),8695.92)</f>
        <v>8695.92</v>
      </c>
      <c r="K722" s="5">
        <f>IFERROR(__xludf.DUMMYFUNCTION("""COMPUTED_VALUE"""),7171.7)</f>
        <v>7171.7</v>
      </c>
      <c r="L722" s="4">
        <f>IFERROR(__xludf.DUMMYFUNCTION("""COMPUTED_VALUE"""),16.0)</f>
        <v>16</v>
      </c>
      <c r="M722" s="4">
        <f>IFERROR(__xludf.DUMMYFUNCTION("""COMPUTED_VALUE"""),64.0)</f>
        <v>64</v>
      </c>
      <c r="N722" s="2" t="str">
        <f>IFERROR(__xludf.DUMMYFUNCTION("""COMPUTED_VALUE"""),"FALSO")</f>
        <v>FALSO</v>
      </c>
    </row>
    <row r="723">
      <c r="A723" s="2">
        <f>IFERROR(__xludf.DUMMYFUNCTION("""COMPUTED_VALUE"""),722.0)</f>
        <v>722</v>
      </c>
      <c r="B723" s="2" t="str">
        <f>IFERROR(__xludf.DUMMYFUNCTION("""COMPUTED_VALUE"""),"Colby Salzburger")</f>
        <v>Colby Salzburger</v>
      </c>
      <c r="C723" s="2" t="str">
        <f>IFERROR(__xludf.DUMMYFUNCTION("""COMPUTED_VALUE"""),"csalzburgerk2@ucla.edu")</f>
        <v>csalzburgerk2@ucla.edu</v>
      </c>
      <c r="D723" s="4">
        <f>IFERROR(__xludf.DUMMYFUNCTION("""COMPUTED_VALUE"""),73.0)</f>
        <v>73</v>
      </c>
      <c r="E723" s="4">
        <f>IFERROR(__xludf.DUMMYFUNCTION("""COMPUTED_VALUE"""),111.0)</f>
        <v>111</v>
      </c>
      <c r="F723" s="4">
        <f>IFERROR(__xludf.DUMMYFUNCTION("""COMPUTED_VALUE"""),4.0)</f>
        <v>4</v>
      </c>
      <c r="G723" s="4">
        <f>IFERROR(__xludf.DUMMYFUNCTION("""COMPUTED_VALUE"""),1054.0)</f>
        <v>1054</v>
      </c>
      <c r="H723" s="5">
        <f>IFERROR(__xludf.DUMMYFUNCTION("""COMPUTED_VALUE"""),2451.07)</f>
        <v>2451.07</v>
      </c>
      <c r="I723" s="5">
        <f>IFERROR(__xludf.DUMMYFUNCTION("""COMPUTED_VALUE"""),780.86)</f>
        <v>780.86</v>
      </c>
      <c r="J723" s="5">
        <f>IFERROR(__xludf.DUMMYFUNCTION("""COMPUTED_VALUE"""),8136.44)</f>
        <v>8136.44</v>
      </c>
      <c r="K723" s="5">
        <f>IFERROR(__xludf.DUMMYFUNCTION("""COMPUTED_VALUE"""),1400.77)</f>
        <v>1400.77</v>
      </c>
      <c r="L723" s="4">
        <f>IFERROR(__xludf.DUMMYFUNCTION("""COMPUTED_VALUE"""),8.0)</f>
        <v>8</v>
      </c>
      <c r="M723" s="4">
        <f>IFERROR(__xludf.DUMMYFUNCTION("""COMPUTED_VALUE"""),96.0)</f>
        <v>96</v>
      </c>
      <c r="N723" s="2" t="str">
        <f>IFERROR(__xludf.DUMMYFUNCTION("""COMPUTED_VALUE"""),"VERDADERO")</f>
        <v>VERDADERO</v>
      </c>
    </row>
    <row r="724">
      <c r="A724" s="2">
        <f>IFERROR(__xludf.DUMMYFUNCTION("""COMPUTED_VALUE"""),723.0)</f>
        <v>723</v>
      </c>
      <c r="B724" s="2" t="str">
        <f>IFERROR(__xludf.DUMMYFUNCTION("""COMPUTED_VALUE"""),"Genevieve Rowden")</f>
        <v>Genevieve Rowden</v>
      </c>
      <c r="C724" s="2" t="str">
        <f>IFERROR(__xludf.DUMMYFUNCTION("""COMPUTED_VALUE"""),"growdenk3@weather.com")</f>
        <v>growdenk3@weather.com</v>
      </c>
      <c r="D724" s="4">
        <f>IFERROR(__xludf.DUMMYFUNCTION("""COMPUTED_VALUE"""),120.0)</f>
        <v>120</v>
      </c>
      <c r="E724" s="4">
        <f>IFERROR(__xludf.DUMMYFUNCTION("""COMPUTED_VALUE"""),81.0)</f>
        <v>81</v>
      </c>
      <c r="F724" s="4">
        <f>IFERROR(__xludf.DUMMYFUNCTION("""COMPUTED_VALUE"""),2.0)</f>
        <v>2</v>
      </c>
      <c r="G724" s="4">
        <f>IFERROR(__xludf.DUMMYFUNCTION("""COMPUTED_VALUE"""),1551.0)</f>
        <v>1551</v>
      </c>
      <c r="H724" s="5">
        <f>IFERROR(__xludf.DUMMYFUNCTION("""COMPUTED_VALUE"""),2809.35)</f>
        <v>2809.35</v>
      </c>
      <c r="I724" s="5">
        <f>IFERROR(__xludf.DUMMYFUNCTION("""COMPUTED_VALUE"""),2630.41)</f>
        <v>2630.41</v>
      </c>
      <c r="J724" s="5">
        <f>IFERROR(__xludf.DUMMYFUNCTION("""COMPUTED_VALUE"""),9090.29)</f>
        <v>9090.29</v>
      </c>
      <c r="K724" s="5">
        <f>IFERROR(__xludf.DUMMYFUNCTION("""COMPUTED_VALUE"""),3155.07)</f>
        <v>3155.07</v>
      </c>
      <c r="L724" s="4">
        <f>IFERROR(__xludf.DUMMYFUNCTION("""COMPUTED_VALUE"""),3.0)</f>
        <v>3</v>
      </c>
      <c r="M724" s="4">
        <f>IFERROR(__xludf.DUMMYFUNCTION("""COMPUTED_VALUE"""),39.0)</f>
        <v>39</v>
      </c>
      <c r="N724" s="2" t="str">
        <f>IFERROR(__xludf.DUMMYFUNCTION("""COMPUTED_VALUE"""),"FALSO")</f>
        <v>FALSO</v>
      </c>
    </row>
    <row r="725">
      <c r="A725" s="2">
        <f>IFERROR(__xludf.DUMMYFUNCTION("""COMPUTED_VALUE"""),724.0)</f>
        <v>724</v>
      </c>
      <c r="B725" s="2" t="str">
        <f>IFERROR(__xludf.DUMMYFUNCTION("""COMPUTED_VALUE"""),"Annaliese Corston")</f>
        <v>Annaliese Corston</v>
      </c>
      <c r="C725" s="2" t="str">
        <f>IFERROR(__xludf.DUMMYFUNCTION("""COMPUTED_VALUE"""),"acorstonk4@sciencedaily.com")</f>
        <v>acorstonk4@sciencedaily.com</v>
      </c>
      <c r="D725" s="4">
        <f>IFERROR(__xludf.DUMMYFUNCTION("""COMPUTED_VALUE"""),29.0)</f>
        <v>29</v>
      </c>
      <c r="E725" s="4">
        <f>IFERROR(__xludf.DUMMYFUNCTION("""COMPUTED_VALUE"""),81.0)</f>
        <v>81</v>
      </c>
      <c r="F725" s="4">
        <f>IFERROR(__xludf.DUMMYFUNCTION("""COMPUTED_VALUE"""),2.0)</f>
        <v>2</v>
      </c>
      <c r="G725" s="4">
        <f>IFERROR(__xludf.DUMMYFUNCTION("""COMPUTED_VALUE"""),1116.0)</f>
        <v>1116</v>
      </c>
      <c r="H725" s="5">
        <f>IFERROR(__xludf.DUMMYFUNCTION("""COMPUTED_VALUE"""),8680.53)</f>
        <v>8680.53</v>
      </c>
      <c r="I725" s="5">
        <f>IFERROR(__xludf.DUMMYFUNCTION("""COMPUTED_VALUE"""),2206.62)</f>
        <v>2206.62</v>
      </c>
      <c r="J725" s="5">
        <f>IFERROR(__xludf.DUMMYFUNCTION("""COMPUTED_VALUE"""),8657.83)</f>
        <v>8657.83</v>
      </c>
      <c r="K725" s="5">
        <f>IFERROR(__xludf.DUMMYFUNCTION("""COMPUTED_VALUE"""),5800.86)</f>
        <v>5800.86</v>
      </c>
      <c r="L725" s="4">
        <f>IFERROR(__xludf.DUMMYFUNCTION("""COMPUTED_VALUE"""),19.0)</f>
        <v>19</v>
      </c>
      <c r="M725" s="4">
        <f>IFERROR(__xludf.DUMMYFUNCTION("""COMPUTED_VALUE"""),94.0)</f>
        <v>94</v>
      </c>
      <c r="N725" s="2" t="str">
        <f>IFERROR(__xludf.DUMMYFUNCTION("""COMPUTED_VALUE"""),"VERDADERO")</f>
        <v>VERDADERO</v>
      </c>
    </row>
    <row r="726">
      <c r="A726" s="2">
        <f>IFERROR(__xludf.DUMMYFUNCTION("""COMPUTED_VALUE"""),725.0)</f>
        <v>725</v>
      </c>
      <c r="B726" s="2" t="str">
        <f>IFERROR(__xludf.DUMMYFUNCTION("""COMPUTED_VALUE"""),"Jdavie Purdon")</f>
        <v>Jdavie Purdon</v>
      </c>
      <c r="C726" s="2" t="str">
        <f>IFERROR(__xludf.DUMMYFUNCTION("""COMPUTED_VALUE"""),"jpurdonk5@dion.ne.jp")</f>
        <v>jpurdonk5@dion.ne.jp</v>
      </c>
      <c r="D726" s="4">
        <f>IFERROR(__xludf.DUMMYFUNCTION("""COMPUTED_VALUE"""),48.0)</f>
        <v>48</v>
      </c>
      <c r="E726" s="4">
        <f>IFERROR(__xludf.DUMMYFUNCTION("""COMPUTED_VALUE"""),39.0)</f>
        <v>39</v>
      </c>
      <c r="F726" s="4">
        <f>IFERROR(__xludf.DUMMYFUNCTION("""COMPUTED_VALUE"""),11.0)</f>
        <v>11</v>
      </c>
      <c r="G726" s="4">
        <f>IFERROR(__xludf.DUMMYFUNCTION("""COMPUTED_VALUE"""),600.0)</f>
        <v>600</v>
      </c>
      <c r="H726" s="5">
        <f>IFERROR(__xludf.DUMMYFUNCTION("""COMPUTED_VALUE"""),5078.06)</f>
        <v>5078.06</v>
      </c>
      <c r="I726" s="5">
        <f>IFERROR(__xludf.DUMMYFUNCTION("""COMPUTED_VALUE"""),5107.27)</f>
        <v>5107.27</v>
      </c>
      <c r="J726" s="5">
        <f>IFERROR(__xludf.DUMMYFUNCTION("""COMPUTED_VALUE"""),9439.73)</f>
        <v>9439.73</v>
      </c>
      <c r="K726" s="5">
        <f>IFERROR(__xludf.DUMMYFUNCTION("""COMPUTED_VALUE"""),427.22)</f>
        <v>427.22</v>
      </c>
      <c r="L726" s="4">
        <f>IFERROR(__xludf.DUMMYFUNCTION("""COMPUTED_VALUE"""),5.0)</f>
        <v>5</v>
      </c>
      <c r="M726" s="4">
        <f>IFERROR(__xludf.DUMMYFUNCTION("""COMPUTED_VALUE"""),53.0)</f>
        <v>53</v>
      </c>
      <c r="N726" s="2" t="str">
        <f>IFERROR(__xludf.DUMMYFUNCTION("""COMPUTED_VALUE"""),"VERDADERO")</f>
        <v>VERDADERO</v>
      </c>
    </row>
    <row r="727">
      <c r="A727" s="2">
        <f>IFERROR(__xludf.DUMMYFUNCTION("""COMPUTED_VALUE"""),726.0)</f>
        <v>726</v>
      </c>
      <c r="B727" s="2" t="str">
        <f>IFERROR(__xludf.DUMMYFUNCTION("""COMPUTED_VALUE"""),"Duky Elster")</f>
        <v>Duky Elster</v>
      </c>
      <c r="C727" s="2" t="str">
        <f>IFERROR(__xludf.DUMMYFUNCTION("""COMPUTED_VALUE"""),"delsterk6@hp.com")</f>
        <v>delsterk6@hp.com</v>
      </c>
      <c r="D727" s="4">
        <f>IFERROR(__xludf.DUMMYFUNCTION("""COMPUTED_VALUE"""),29.0)</f>
        <v>29</v>
      </c>
      <c r="E727" s="4">
        <f>IFERROR(__xludf.DUMMYFUNCTION("""COMPUTED_VALUE"""),81.0)</f>
        <v>81</v>
      </c>
      <c r="F727" s="4">
        <f>IFERROR(__xludf.DUMMYFUNCTION("""COMPUTED_VALUE"""),2.0)</f>
        <v>2</v>
      </c>
      <c r="G727" s="4">
        <f>IFERROR(__xludf.DUMMYFUNCTION("""COMPUTED_VALUE"""),1038.0)</f>
        <v>1038</v>
      </c>
      <c r="H727" s="5">
        <f>IFERROR(__xludf.DUMMYFUNCTION("""COMPUTED_VALUE"""),902.33)</f>
        <v>902.33</v>
      </c>
      <c r="I727" s="5">
        <f>IFERROR(__xludf.DUMMYFUNCTION("""COMPUTED_VALUE"""),2544.92)</f>
        <v>2544.92</v>
      </c>
      <c r="J727" s="5">
        <f>IFERROR(__xludf.DUMMYFUNCTION("""COMPUTED_VALUE"""),648.05)</f>
        <v>648.05</v>
      </c>
      <c r="K727" s="5">
        <f>IFERROR(__xludf.DUMMYFUNCTION("""COMPUTED_VALUE"""),5577.65)</f>
        <v>5577.65</v>
      </c>
      <c r="L727" s="4">
        <f>IFERROR(__xludf.DUMMYFUNCTION("""COMPUTED_VALUE"""),14.0)</f>
        <v>14</v>
      </c>
      <c r="M727" s="4">
        <f>IFERROR(__xludf.DUMMYFUNCTION("""COMPUTED_VALUE"""),23.0)</f>
        <v>23</v>
      </c>
      <c r="N727" s="2" t="str">
        <f>IFERROR(__xludf.DUMMYFUNCTION("""COMPUTED_VALUE"""),"VERDADERO")</f>
        <v>VERDADERO</v>
      </c>
    </row>
    <row r="728">
      <c r="A728" s="2">
        <f>IFERROR(__xludf.DUMMYFUNCTION("""COMPUTED_VALUE"""),727.0)</f>
        <v>727</v>
      </c>
      <c r="B728" s="2" t="str">
        <f>IFERROR(__xludf.DUMMYFUNCTION("""COMPUTED_VALUE"""),"Valaree Pinnion")</f>
        <v>Valaree Pinnion</v>
      </c>
      <c r="C728" s="2" t="str">
        <f>IFERROR(__xludf.DUMMYFUNCTION("""COMPUTED_VALUE"""),"vpinnionk7@unicef.org")</f>
        <v>vpinnionk7@unicef.org</v>
      </c>
      <c r="D728" s="4">
        <f>IFERROR(__xludf.DUMMYFUNCTION("""COMPUTED_VALUE"""),120.0)</f>
        <v>120</v>
      </c>
      <c r="E728" s="4">
        <f>IFERROR(__xludf.DUMMYFUNCTION("""COMPUTED_VALUE"""),25.0)</f>
        <v>25</v>
      </c>
      <c r="F728" s="4">
        <f>IFERROR(__xludf.DUMMYFUNCTION("""COMPUTED_VALUE"""),4.0)</f>
        <v>4</v>
      </c>
      <c r="G728" s="4">
        <f>IFERROR(__xludf.DUMMYFUNCTION("""COMPUTED_VALUE"""),778.0)</f>
        <v>778</v>
      </c>
      <c r="H728" s="5">
        <f>IFERROR(__xludf.DUMMYFUNCTION("""COMPUTED_VALUE"""),4404.06)</f>
        <v>4404.06</v>
      </c>
      <c r="I728" s="5">
        <f>IFERROR(__xludf.DUMMYFUNCTION("""COMPUTED_VALUE"""),2704.05)</f>
        <v>2704.05</v>
      </c>
      <c r="J728" s="5">
        <f>IFERROR(__xludf.DUMMYFUNCTION("""COMPUTED_VALUE"""),3351.09)</f>
        <v>3351.09</v>
      </c>
      <c r="K728" s="5">
        <f>IFERROR(__xludf.DUMMYFUNCTION("""COMPUTED_VALUE"""),5148.63)</f>
        <v>5148.63</v>
      </c>
      <c r="L728" s="4">
        <f>IFERROR(__xludf.DUMMYFUNCTION("""COMPUTED_VALUE"""),16.0)</f>
        <v>16</v>
      </c>
      <c r="M728" s="4">
        <f>IFERROR(__xludf.DUMMYFUNCTION("""COMPUTED_VALUE"""),50.0)</f>
        <v>50</v>
      </c>
      <c r="N728" s="2" t="str">
        <f>IFERROR(__xludf.DUMMYFUNCTION("""COMPUTED_VALUE"""),"FALSO")</f>
        <v>FALSO</v>
      </c>
    </row>
    <row r="729">
      <c r="A729" s="2">
        <f>IFERROR(__xludf.DUMMYFUNCTION("""COMPUTED_VALUE"""),728.0)</f>
        <v>728</v>
      </c>
      <c r="B729" s="2" t="str">
        <f>IFERROR(__xludf.DUMMYFUNCTION("""COMPUTED_VALUE"""),"Kiley Crimes")</f>
        <v>Kiley Crimes</v>
      </c>
      <c r="C729" s="2" t="str">
        <f>IFERROR(__xludf.DUMMYFUNCTION("""COMPUTED_VALUE"""),"kcrimesk8@wix.com")</f>
        <v>kcrimesk8@wix.com</v>
      </c>
      <c r="D729" s="4">
        <f>IFERROR(__xludf.DUMMYFUNCTION("""COMPUTED_VALUE"""),153.0)</f>
        <v>153</v>
      </c>
      <c r="E729" s="4">
        <f>IFERROR(__xludf.DUMMYFUNCTION("""COMPUTED_VALUE"""),40.0)</f>
        <v>40</v>
      </c>
      <c r="F729" s="4">
        <f>IFERROR(__xludf.DUMMYFUNCTION("""COMPUTED_VALUE"""),1.0)</f>
        <v>1</v>
      </c>
      <c r="G729" s="4">
        <f>IFERROR(__xludf.DUMMYFUNCTION("""COMPUTED_VALUE"""),1135.0)</f>
        <v>1135</v>
      </c>
      <c r="H729" s="5">
        <f>IFERROR(__xludf.DUMMYFUNCTION("""COMPUTED_VALUE"""),8870.58)</f>
        <v>8870.58</v>
      </c>
      <c r="I729" s="5">
        <f>IFERROR(__xludf.DUMMYFUNCTION("""COMPUTED_VALUE"""),8774.37)</f>
        <v>8774.37</v>
      </c>
      <c r="J729" s="5">
        <f>IFERROR(__xludf.DUMMYFUNCTION("""COMPUTED_VALUE"""),9383.59)</f>
        <v>9383.59</v>
      </c>
      <c r="K729" s="5">
        <f>IFERROR(__xludf.DUMMYFUNCTION("""COMPUTED_VALUE"""),919.7)</f>
        <v>919.7</v>
      </c>
      <c r="L729" s="4">
        <f>IFERROR(__xludf.DUMMYFUNCTION("""COMPUTED_VALUE"""),10.0)</f>
        <v>10</v>
      </c>
      <c r="M729" s="4">
        <f>IFERROR(__xludf.DUMMYFUNCTION("""COMPUTED_VALUE"""),12.0)</f>
        <v>12</v>
      </c>
      <c r="N729" s="2" t="str">
        <f>IFERROR(__xludf.DUMMYFUNCTION("""COMPUTED_VALUE"""),"VERDADERO")</f>
        <v>VERDADERO</v>
      </c>
    </row>
    <row r="730">
      <c r="A730" s="2">
        <f>IFERROR(__xludf.DUMMYFUNCTION("""COMPUTED_VALUE"""),729.0)</f>
        <v>729</v>
      </c>
      <c r="B730" s="2" t="str">
        <f>IFERROR(__xludf.DUMMYFUNCTION("""COMPUTED_VALUE"""),"Angil Kingzeth")</f>
        <v>Angil Kingzeth</v>
      </c>
      <c r="C730" s="2" t="str">
        <f>IFERROR(__xludf.DUMMYFUNCTION("""COMPUTED_VALUE"""),"akingzethk9@dyndns.org")</f>
        <v>akingzethk9@dyndns.org</v>
      </c>
      <c r="D730" s="4">
        <f>IFERROR(__xludf.DUMMYFUNCTION("""COMPUTED_VALUE"""),120.0)</f>
        <v>120</v>
      </c>
      <c r="E730" s="4">
        <f>IFERROR(__xludf.DUMMYFUNCTION("""COMPUTED_VALUE"""),112.0)</f>
        <v>112</v>
      </c>
      <c r="F730" s="4">
        <f>IFERROR(__xludf.DUMMYFUNCTION("""COMPUTED_VALUE"""),11.0)</f>
        <v>11</v>
      </c>
      <c r="G730" s="4">
        <f>IFERROR(__xludf.DUMMYFUNCTION("""COMPUTED_VALUE"""),69.0)</f>
        <v>69</v>
      </c>
      <c r="H730" s="5">
        <f>IFERROR(__xludf.DUMMYFUNCTION("""COMPUTED_VALUE"""),8137.51)</f>
        <v>8137.51</v>
      </c>
      <c r="I730" s="5">
        <f>IFERROR(__xludf.DUMMYFUNCTION("""COMPUTED_VALUE"""),9719.09)</f>
        <v>9719.09</v>
      </c>
      <c r="J730" s="5">
        <f>IFERROR(__xludf.DUMMYFUNCTION("""COMPUTED_VALUE"""),3610.22)</f>
        <v>3610.22</v>
      </c>
      <c r="K730" s="5">
        <f>IFERROR(__xludf.DUMMYFUNCTION("""COMPUTED_VALUE"""),203.23)</f>
        <v>203.23</v>
      </c>
      <c r="L730" s="4">
        <f>IFERROR(__xludf.DUMMYFUNCTION("""COMPUTED_VALUE"""),13.0)</f>
        <v>13</v>
      </c>
      <c r="M730" s="4">
        <f>IFERROR(__xludf.DUMMYFUNCTION("""COMPUTED_VALUE"""),27.0)</f>
        <v>27</v>
      </c>
      <c r="N730" s="2" t="str">
        <f>IFERROR(__xludf.DUMMYFUNCTION("""COMPUTED_VALUE"""),"VERDADERO")</f>
        <v>VERDADERO</v>
      </c>
    </row>
    <row r="731">
      <c r="A731" s="2">
        <f>IFERROR(__xludf.DUMMYFUNCTION("""COMPUTED_VALUE"""),730.0)</f>
        <v>730</v>
      </c>
      <c r="B731" s="2" t="str">
        <f>IFERROR(__xludf.DUMMYFUNCTION("""COMPUTED_VALUE"""),"Danell Serot")</f>
        <v>Danell Serot</v>
      </c>
      <c r="C731" s="2" t="str">
        <f>IFERROR(__xludf.DUMMYFUNCTION("""COMPUTED_VALUE"""),"dserotka@bizjournals.com")</f>
        <v>dserotka@bizjournals.com</v>
      </c>
      <c r="D731" s="4">
        <f>IFERROR(__xludf.DUMMYFUNCTION("""COMPUTED_VALUE"""),65.0)</f>
        <v>65</v>
      </c>
      <c r="E731" s="4">
        <f>IFERROR(__xludf.DUMMYFUNCTION("""COMPUTED_VALUE"""),106.0)</f>
        <v>106</v>
      </c>
      <c r="F731" s="4">
        <f>IFERROR(__xludf.DUMMYFUNCTION("""COMPUTED_VALUE"""),4.0)</f>
        <v>4</v>
      </c>
      <c r="G731" s="4">
        <f>IFERROR(__xludf.DUMMYFUNCTION("""COMPUTED_VALUE"""),750.0)</f>
        <v>750</v>
      </c>
      <c r="H731" s="5">
        <f>IFERROR(__xludf.DUMMYFUNCTION("""COMPUTED_VALUE"""),8807.06)</f>
        <v>8807.06</v>
      </c>
      <c r="I731" s="5">
        <f>IFERROR(__xludf.DUMMYFUNCTION("""COMPUTED_VALUE"""),4175.19)</f>
        <v>4175.19</v>
      </c>
      <c r="J731" s="5">
        <f>IFERROR(__xludf.DUMMYFUNCTION("""COMPUTED_VALUE"""),4059.99)</f>
        <v>4059.99</v>
      </c>
      <c r="K731" s="5">
        <f>IFERROR(__xludf.DUMMYFUNCTION("""COMPUTED_VALUE"""),5013.12)</f>
        <v>5013.12</v>
      </c>
      <c r="L731" s="4">
        <f>IFERROR(__xludf.DUMMYFUNCTION("""COMPUTED_VALUE"""),2.0)</f>
        <v>2</v>
      </c>
      <c r="M731" s="4">
        <f>IFERROR(__xludf.DUMMYFUNCTION("""COMPUTED_VALUE"""),35.0)</f>
        <v>35</v>
      </c>
      <c r="N731" s="2" t="str">
        <f>IFERROR(__xludf.DUMMYFUNCTION("""COMPUTED_VALUE"""),"VERDADERO")</f>
        <v>VERDADERO</v>
      </c>
    </row>
    <row r="732">
      <c r="A732" s="2">
        <f>IFERROR(__xludf.DUMMYFUNCTION("""COMPUTED_VALUE"""),731.0)</f>
        <v>731</v>
      </c>
      <c r="B732" s="2" t="str">
        <f>IFERROR(__xludf.DUMMYFUNCTION("""COMPUTED_VALUE"""),"Claudina Morgan")</f>
        <v>Claudina Morgan</v>
      </c>
      <c r="C732" s="2" t="str">
        <f>IFERROR(__xludf.DUMMYFUNCTION("""COMPUTED_VALUE"""),"cmorgankb@comsenz.com")</f>
        <v>cmorgankb@comsenz.com</v>
      </c>
      <c r="D732" s="4">
        <f>IFERROR(__xludf.DUMMYFUNCTION("""COMPUTED_VALUE"""),29.0)</f>
        <v>29</v>
      </c>
      <c r="E732" s="4">
        <f>IFERROR(__xludf.DUMMYFUNCTION("""COMPUTED_VALUE"""),57.0)</f>
        <v>57</v>
      </c>
      <c r="F732" s="4">
        <f>IFERROR(__xludf.DUMMYFUNCTION("""COMPUTED_VALUE"""),5.0)</f>
        <v>5</v>
      </c>
      <c r="G732" s="4">
        <f>IFERROR(__xludf.DUMMYFUNCTION("""COMPUTED_VALUE"""),1090.0)</f>
        <v>1090</v>
      </c>
      <c r="H732" s="5">
        <f>IFERROR(__xludf.DUMMYFUNCTION("""COMPUTED_VALUE"""),3901.6)</f>
        <v>3901.6</v>
      </c>
      <c r="I732" s="5">
        <f>IFERROR(__xludf.DUMMYFUNCTION("""COMPUTED_VALUE"""),3134.7)</f>
        <v>3134.7</v>
      </c>
      <c r="J732" s="5">
        <f>IFERROR(__xludf.DUMMYFUNCTION("""COMPUTED_VALUE"""),5707.5)</f>
        <v>5707.5</v>
      </c>
      <c r="K732" s="5">
        <f>IFERROR(__xludf.DUMMYFUNCTION("""COMPUTED_VALUE"""),6959.08)</f>
        <v>6959.08</v>
      </c>
      <c r="L732" s="4">
        <f>IFERROR(__xludf.DUMMYFUNCTION("""COMPUTED_VALUE"""),5.0)</f>
        <v>5</v>
      </c>
      <c r="M732" s="4">
        <f>IFERROR(__xludf.DUMMYFUNCTION("""COMPUTED_VALUE"""),79.0)</f>
        <v>79</v>
      </c>
      <c r="N732" s="2" t="str">
        <f>IFERROR(__xludf.DUMMYFUNCTION("""COMPUTED_VALUE"""),"VERDADERO")</f>
        <v>VERDADERO</v>
      </c>
    </row>
    <row r="733">
      <c r="A733" s="2">
        <f>IFERROR(__xludf.DUMMYFUNCTION("""COMPUTED_VALUE"""),732.0)</f>
        <v>732</v>
      </c>
      <c r="B733" s="2" t="str">
        <f>IFERROR(__xludf.DUMMYFUNCTION("""COMPUTED_VALUE"""),"Oswell Cannam")</f>
        <v>Oswell Cannam</v>
      </c>
      <c r="C733" s="2" t="str">
        <f>IFERROR(__xludf.DUMMYFUNCTION("""COMPUTED_VALUE"""),"ocannamkc@tamu.edu")</f>
        <v>ocannamkc@tamu.edu</v>
      </c>
      <c r="D733" s="4">
        <f>IFERROR(__xludf.DUMMYFUNCTION("""COMPUTED_VALUE"""),29.0)</f>
        <v>29</v>
      </c>
      <c r="E733" s="4">
        <f>IFERROR(__xludf.DUMMYFUNCTION("""COMPUTED_VALUE"""),39.0)</f>
        <v>39</v>
      </c>
      <c r="F733" s="4">
        <f>IFERROR(__xludf.DUMMYFUNCTION("""COMPUTED_VALUE"""),11.0)</f>
        <v>11</v>
      </c>
      <c r="G733" s="4">
        <f>IFERROR(__xludf.DUMMYFUNCTION("""COMPUTED_VALUE"""),351.0)</f>
        <v>351</v>
      </c>
      <c r="H733" s="5">
        <f>IFERROR(__xludf.DUMMYFUNCTION("""COMPUTED_VALUE"""),3762.74)</f>
        <v>3762.74</v>
      </c>
      <c r="I733" s="5">
        <f>IFERROR(__xludf.DUMMYFUNCTION("""COMPUTED_VALUE"""),9762.84)</f>
        <v>9762.84</v>
      </c>
      <c r="J733" s="5">
        <f>IFERROR(__xludf.DUMMYFUNCTION("""COMPUTED_VALUE"""),7715.1)</f>
        <v>7715.1</v>
      </c>
      <c r="K733" s="5">
        <f>IFERROR(__xludf.DUMMYFUNCTION("""COMPUTED_VALUE"""),8965.79)</f>
        <v>8965.79</v>
      </c>
      <c r="L733" s="4">
        <f>IFERROR(__xludf.DUMMYFUNCTION("""COMPUTED_VALUE"""),7.0)</f>
        <v>7</v>
      </c>
      <c r="M733" s="4">
        <f>IFERROR(__xludf.DUMMYFUNCTION("""COMPUTED_VALUE"""),24.0)</f>
        <v>24</v>
      </c>
      <c r="N733" s="2" t="str">
        <f>IFERROR(__xludf.DUMMYFUNCTION("""COMPUTED_VALUE"""),"VERDADERO")</f>
        <v>VERDADERO</v>
      </c>
    </row>
    <row r="734">
      <c r="A734" s="2">
        <f>IFERROR(__xludf.DUMMYFUNCTION("""COMPUTED_VALUE"""),733.0)</f>
        <v>733</v>
      </c>
      <c r="B734" s="2" t="str">
        <f>IFERROR(__xludf.DUMMYFUNCTION("""COMPUTED_VALUE"""),"Thurston Matusovsky")</f>
        <v>Thurston Matusovsky</v>
      </c>
      <c r="C734" s="2" t="str">
        <f>IFERROR(__xludf.DUMMYFUNCTION("""COMPUTED_VALUE"""),"tmatusovskykd@europa.eu")</f>
        <v>tmatusovskykd@europa.eu</v>
      </c>
      <c r="D734" s="4">
        <f>IFERROR(__xludf.DUMMYFUNCTION("""COMPUTED_VALUE"""),143.0)</f>
        <v>143</v>
      </c>
      <c r="E734" s="4">
        <f>IFERROR(__xludf.DUMMYFUNCTION("""COMPUTED_VALUE"""),117.0)</f>
        <v>117</v>
      </c>
      <c r="F734" s="4">
        <f>IFERROR(__xludf.DUMMYFUNCTION("""COMPUTED_VALUE"""),4.0)</f>
        <v>4</v>
      </c>
      <c r="G734" s="4">
        <f>IFERROR(__xludf.DUMMYFUNCTION("""COMPUTED_VALUE"""),1570.0)</f>
        <v>1570</v>
      </c>
      <c r="H734" s="5">
        <f>IFERROR(__xludf.DUMMYFUNCTION("""COMPUTED_VALUE"""),5860.95)</f>
        <v>5860.95</v>
      </c>
      <c r="I734" s="5">
        <f>IFERROR(__xludf.DUMMYFUNCTION("""COMPUTED_VALUE"""),1551.11)</f>
        <v>1551.11</v>
      </c>
      <c r="J734" s="5">
        <f>IFERROR(__xludf.DUMMYFUNCTION("""COMPUTED_VALUE"""),3748.62)</f>
        <v>3748.62</v>
      </c>
      <c r="K734" s="5">
        <f>IFERROR(__xludf.DUMMYFUNCTION("""COMPUTED_VALUE"""),4429.99)</f>
        <v>4429.99</v>
      </c>
      <c r="L734" s="4">
        <f>IFERROR(__xludf.DUMMYFUNCTION("""COMPUTED_VALUE"""),16.0)</f>
        <v>16</v>
      </c>
      <c r="M734" s="4">
        <f>IFERROR(__xludf.DUMMYFUNCTION("""COMPUTED_VALUE"""),83.0)</f>
        <v>83</v>
      </c>
      <c r="N734" s="2" t="str">
        <f>IFERROR(__xludf.DUMMYFUNCTION("""COMPUTED_VALUE"""),"FALSO")</f>
        <v>FALSO</v>
      </c>
    </row>
    <row r="735">
      <c r="A735" s="2">
        <f>IFERROR(__xludf.DUMMYFUNCTION("""COMPUTED_VALUE"""),734.0)</f>
        <v>734</v>
      </c>
      <c r="B735" s="2" t="str">
        <f>IFERROR(__xludf.DUMMYFUNCTION("""COMPUTED_VALUE"""),"Benji Cawsby")</f>
        <v>Benji Cawsby</v>
      </c>
      <c r="C735" s="2" t="str">
        <f>IFERROR(__xludf.DUMMYFUNCTION("""COMPUTED_VALUE"""),"bcawsbyke@utexas.edu")</f>
        <v>bcawsbyke@utexas.edu</v>
      </c>
      <c r="D735" s="4">
        <f>IFERROR(__xludf.DUMMYFUNCTION("""COMPUTED_VALUE"""),124.0)</f>
        <v>124</v>
      </c>
      <c r="E735" s="4">
        <f>IFERROR(__xludf.DUMMYFUNCTION("""COMPUTED_VALUE"""),25.0)</f>
        <v>25</v>
      </c>
      <c r="F735" s="4">
        <f>IFERROR(__xludf.DUMMYFUNCTION("""COMPUTED_VALUE"""),4.0)</f>
        <v>4</v>
      </c>
      <c r="G735" s="4">
        <f>IFERROR(__xludf.DUMMYFUNCTION("""COMPUTED_VALUE"""),171.0)</f>
        <v>171</v>
      </c>
      <c r="H735" s="5">
        <f>IFERROR(__xludf.DUMMYFUNCTION("""COMPUTED_VALUE"""),3114.75)</f>
        <v>3114.75</v>
      </c>
      <c r="I735" s="5">
        <f>IFERROR(__xludf.DUMMYFUNCTION("""COMPUTED_VALUE"""),4810.91)</f>
        <v>4810.91</v>
      </c>
      <c r="J735" s="5">
        <f>IFERROR(__xludf.DUMMYFUNCTION("""COMPUTED_VALUE"""),3951.62)</f>
        <v>3951.62</v>
      </c>
      <c r="K735" s="5">
        <f>IFERROR(__xludf.DUMMYFUNCTION("""COMPUTED_VALUE"""),2862.99)</f>
        <v>2862.99</v>
      </c>
      <c r="L735" s="4">
        <f>IFERROR(__xludf.DUMMYFUNCTION("""COMPUTED_VALUE"""),20.0)</f>
        <v>20</v>
      </c>
      <c r="M735" s="4">
        <f>IFERROR(__xludf.DUMMYFUNCTION("""COMPUTED_VALUE"""),75.0)</f>
        <v>75</v>
      </c>
      <c r="N735" s="2" t="str">
        <f>IFERROR(__xludf.DUMMYFUNCTION("""COMPUTED_VALUE"""),"VERDADERO")</f>
        <v>VERDADERO</v>
      </c>
    </row>
    <row r="736">
      <c r="A736" s="2">
        <f>IFERROR(__xludf.DUMMYFUNCTION("""COMPUTED_VALUE"""),735.0)</f>
        <v>735</v>
      </c>
      <c r="B736" s="2" t="str">
        <f>IFERROR(__xludf.DUMMYFUNCTION("""COMPUTED_VALUE"""),"Sharia Eunson")</f>
        <v>Sharia Eunson</v>
      </c>
      <c r="C736" s="2" t="str">
        <f>IFERROR(__xludf.DUMMYFUNCTION("""COMPUTED_VALUE"""),"seunsonkf@cdbaby.com")</f>
        <v>seunsonkf@cdbaby.com</v>
      </c>
      <c r="D736" s="4">
        <f>IFERROR(__xludf.DUMMYFUNCTION("""COMPUTED_VALUE"""),29.0)</f>
        <v>29</v>
      </c>
      <c r="E736" s="4">
        <f>IFERROR(__xludf.DUMMYFUNCTION("""COMPUTED_VALUE"""),90.0)</f>
        <v>90</v>
      </c>
      <c r="F736" s="4">
        <f>IFERROR(__xludf.DUMMYFUNCTION("""COMPUTED_VALUE"""),5.0)</f>
        <v>5</v>
      </c>
      <c r="G736" s="4">
        <f>IFERROR(__xludf.DUMMYFUNCTION("""COMPUTED_VALUE"""),1589.0)</f>
        <v>1589</v>
      </c>
      <c r="H736" s="5">
        <f>IFERROR(__xludf.DUMMYFUNCTION("""COMPUTED_VALUE"""),1014.17)</f>
        <v>1014.17</v>
      </c>
      <c r="I736" s="5">
        <f>IFERROR(__xludf.DUMMYFUNCTION("""COMPUTED_VALUE"""),7747.89)</f>
        <v>7747.89</v>
      </c>
      <c r="J736" s="5">
        <f>IFERROR(__xludf.DUMMYFUNCTION("""COMPUTED_VALUE"""),1033.97)</f>
        <v>1033.97</v>
      </c>
      <c r="K736" s="5">
        <f>IFERROR(__xludf.DUMMYFUNCTION("""COMPUTED_VALUE"""),8724.51)</f>
        <v>8724.51</v>
      </c>
      <c r="L736" s="4">
        <f>IFERROR(__xludf.DUMMYFUNCTION("""COMPUTED_VALUE"""),6.0)</f>
        <v>6</v>
      </c>
      <c r="M736" s="4">
        <f>IFERROR(__xludf.DUMMYFUNCTION("""COMPUTED_VALUE"""),61.0)</f>
        <v>61</v>
      </c>
      <c r="N736" s="2" t="str">
        <f>IFERROR(__xludf.DUMMYFUNCTION("""COMPUTED_VALUE"""),"FALSO")</f>
        <v>FALSO</v>
      </c>
    </row>
    <row r="737">
      <c r="A737" s="2">
        <f>IFERROR(__xludf.DUMMYFUNCTION("""COMPUTED_VALUE"""),736.0)</f>
        <v>736</v>
      </c>
      <c r="B737" s="2" t="str">
        <f>IFERROR(__xludf.DUMMYFUNCTION("""COMPUTED_VALUE"""),"Codee Box")</f>
        <v>Codee Box</v>
      </c>
      <c r="C737" s="2" t="str">
        <f>IFERROR(__xludf.DUMMYFUNCTION("""COMPUTED_VALUE"""),"cboxkg@cnn.com")</f>
        <v>cboxkg@cnn.com</v>
      </c>
      <c r="D737" s="4">
        <f>IFERROR(__xludf.DUMMYFUNCTION("""COMPUTED_VALUE"""),124.0)</f>
        <v>124</v>
      </c>
      <c r="E737" s="4">
        <f>IFERROR(__xludf.DUMMYFUNCTION("""COMPUTED_VALUE"""),88.0)</f>
        <v>88</v>
      </c>
      <c r="F737" s="4">
        <f>IFERROR(__xludf.DUMMYFUNCTION("""COMPUTED_VALUE"""),3.0)</f>
        <v>3</v>
      </c>
      <c r="G737" s="4">
        <f>IFERROR(__xludf.DUMMYFUNCTION("""COMPUTED_VALUE"""),824.0)</f>
        <v>824</v>
      </c>
      <c r="H737" s="5">
        <f>IFERROR(__xludf.DUMMYFUNCTION("""COMPUTED_VALUE"""),5759.4)</f>
        <v>5759.4</v>
      </c>
      <c r="I737" s="5">
        <f>IFERROR(__xludf.DUMMYFUNCTION("""COMPUTED_VALUE"""),6898.78)</f>
        <v>6898.78</v>
      </c>
      <c r="J737" s="5">
        <f>IFERROR(__xludf.DUMMYFUNCTION("""COMPUTED_VALUE"""),6390.67)</f>
        <v>6390.67</v>
      </c>
      <c r="K737" s="5">
        <f>IFERROR(__xludf.DUMMYFUNCTION("""COMPUTED_VALUE"""),5056.75)</f>
        <v>5056.75</v>
      </c>
      <c r="L737" s="4">
        <f>IFERROR(__xludf.DUMMYFUNCTION("""COMPUTED_VALUE"""),5.0)</f>
        <v>5</v>
      </c>
      <c r="M737" s="4">
        <f>IFERROR(__xludf.DUMMYFUNCTION("""COMPUTED_VALUE"""),58.0)</f>
        <v>58</v>
      </c>
      <c r="N737" s="2" t="str">
        <f>IFERROR(__xludf.DUMMYFUNCTION("""COMPUTED_VALUE"""),"VERDADERO")</f>
        <v>VERDADERO</v>
      </c>
    </row>
    <row r="738">
      <c r="A738" s="2">
        <f>IFERROR(__xludf.DUMMYFUNCTION("""COMPUTED_VALUE"""),737.0)</f>
        <v>737</v>
      </c>
      <c r="B738" s="2" t="str">
        <f>IFERROR(__xludf.DUMMYFUNCTION("""COMPUTED_VALUE"""),"Dorette Largen")</f>
        <v>Dorette Largen</v>
      </c>
      <c r="C738" s="2" t="str">
        <f>IFERROR(__xludf.DUMMYFUNCTION("""COMPUTED_VALUE"""),"dlargenkh@bloomberg.com")</f>
        <v>dlargenkh@bloomberg.com</v>
      </c>
      <c r="D738" s="4">
        <f>IFERROR(__xludf.DUMMYFUNCTION("""COMPUTED_VALUE"""),122.0)</f>
        <v>122</v>
      </c>
      <c r="E738" s="4">
        <f>IFERROR(__xludf.DUMMYFUNCTION("""COMPUTED_VALUE"""),66.0)</f>
        <v>66</v>
      </c>
      <c r="F738" s="4">
        <f>IFERROR(__xludf.DUMMYFUNCTION("""COMPUTED_VALUE"""),6.0)</f>
        <v>6</v>
      </c>
      <c r="G738" s="4">
        <f>IFERROR(__xludf.DUMMYFUNCTION("""COMPUTED_VALUE"""),105.0)</f>
        <v>105</v>
      </c>
      <c r="H738" s="5">
        <f>IFERROR(__xludf.DUMMYFUNCTION("""COMPUTED_VALUE"""),7912.57)</f>
        <v>7912.57</v>
      </c>
      <c r="I738" s="5">
        <f>IFERROR(__xludf.DUMMYFUNCTION("""COMPUTED_VALUE"""),5754.98)</f>
        <v>5754.98</v>
      </c>
      <c r="J738" s="5">
        <f>IFERROR(__xludf.DUMMYFUNCTION("""COMPUTED_VALUE"""),5026.14)</f>
        <v>5026.14</v>
      </c>
      <c r="K738" s="5">
        <f>IFERROR(__xludf.DUMMYFUNCTION("""COMPUTED_VALUE"""),4431.92)</f>
        <v>4431.92</v>
      </c>
      <c r="L738" s="4">
        <f>IFERROR(__xludf.DUMMYFUNCTION("""COMPUTED_VALUE"""),19.0)</f>
        <v>19</v>
      </c>
      <c r="M738" s="4">
        <f>IFERROR(__xludf.DUMMYFUNCTION("""COMPUTED_VALUE"""),15.0)</f>
        <v>15</v>
      </c>
      <c r="N738" s="2" t="str">
        <f>IFERROR(__xludf.DUMMYFUNCTION("""COMPUTED_VALUE"""),"VERDADERO")</f>
        <v>VERDADERO</v>
      </c>
    </row>
    <row r="739">
      <c r="A739" s="2">
        <f>IFERROR(__xludf.DUMMYFUNCTION("""COMPUTED_VALUE"""),738.0)</f>
        <v>738</v>
      </c>
      <c r="B739" s="2" t="str">
        <f>IFERROR(__xludf.DUMMYFUNCTION("""COMPUTED_VALUE"""),"Richmond Neles")</f>
        <v>Richmond Neles</v>
      </c>
      <c r="C739" s="2" t="str">
        <f>IFERROR(__xludf.DUMMYFUNCTION("""COMPUTED_VALUE"""),"rneleski@fotki.com")</f>
        <v>rneleski@fotki.com</v>
      </c>
      <c r="D739" s="4">
        <f>IFERROR(__xludf.DUMMYFUNCTION("""COMPUTED_VALUE"""),29.0)</f>
        <v>29</v>
      </c>
      <c r="E739" s="4">
        <f>IFERROR(__xludf.DUMMYFUNCTION("""COMPUTED_VALUE"""),64.0)</f>
        <v>64</v>
      </c>
      <c r="F739" s="4">
        <f>IFERROR(__xludf.DUMMYFUNCTION("""COMPUTED_VALUE"""),4.0)</f>
        <v>4</v>
      </c>
      <c r="G739" s="4">
        <f>IFERROR(__xludf.DUMMYFUNCTION("""COMPUTED_VALUE"""),555.0)</f>
        <v>555</v>
      </c>
      <c r="H739" s="5">
        <f>IFERROR(__xludf.DUMMYFUNCTION("""COMPUTED_VALUE"""),4663.08)</f>
        <v>4663.08</v>
      </c>
      <c r="I739" s="5">
        <f>IFERROR(__xludf.DUMMYFUNCTION("""COMPUTED_VALUE"""),7019.89)</f>
        <v>7019.89</v>
      </c>
      <c r="J739" s="5">
        <f>IFERROR(__xludf.DUMMYFUNCTION("""COMPUTED_VALUE"""),350.81)</f>
        <v>350.81</v>
      </c>
      <c r="K739" s="5">
        <f>IFERROR(__xludf.DUMMYFUNCTION("""COMPUTED_VALUE"""),7441.11)</f>
        <v>7441.11</v>
      </c>
      <c r="L739" s="4">
        <f>IFERROR(__xludf.DUMMYFUNCTION("""COMPUTED_VALUE"""),18.0)</f>
        <v>18</v>
      </c>
      <c r="M739" s="4">
        <f>IFERROR(__xludf.DUMMYFUNCTION("""COMPUTED_VALUE"""),1.0)</f>
        <v>1</v>
      </c>
      <c r="N739" s="2" t="str">
        <f>IFERROR(__xludf.DUMMYFUNCTION("""COMPUTED_VALUE"""),"VERDADERO")</f>
        <v>VERDADERO</v>
      </c>
    </row>
    <row r="740">
      <c r="A740" s="2">
        <f>IFERROR(__xludf.DUMMYFUNCTION("""COMPUTED_VALUE"""),739.0)</f>
        <v>739</v>
      </c>
      <c r="B740" s="2" t="str">
        <f>IFERROR(__xludf.DUMMYFUNCTION("""COMPUTED_VALUE"""),"Irwin Bonnar")</f>
        <v>Irwin Bonnar</v>
      </c>
      <c r="C740" s="2" t="str">
        <f>IFERROR(__xludf.DUMMYFUNCTION("""COMPUTED_VALUE"""),"ibonnarkj@msn.com")</f>
        <v>ibonnarkj@msn.com</v>
      </c>
      <c r="D740" s="4">
        <f>IFERROR(__xludf.DUMMYFUNCTION("""COMPUTED_VALUE"""),118.0)</f>
        <v>118</v>
      </c>
      <c r="E740" s="4">
        <f>IFERROR(__xludf.DUMMYFUNCTION("""COMPUTED_VALUE"""),110.0)</f>
        <v>110</v>
      </c>
      <c r="F740" s="4">
        <f>IFERROR(__xludf.DUMMYFUNCTION("""COMPUTED_VALUE"""),11.0)</f>
        <v>11</v>
      </c>
      <c r="G740" s="4">
        <f>IFERROR(__xludf.DUMMYFUNCTION("""COMPUTED_VALUE"""),1541.0)</f>
        <v>1541</v>
      </c>
      <c r="H740" s="5">
        <f>IFERROR(__xludf.DUMMYFUNCTION("""COMPUTED_VALUE"""),8409.75)</f>
        <v>8409.75</v>
      </c>
      <c r="I740" s="5">
        <f>IFERROR(__xludf.DUMMYFUNCTION("""COMPUTED_VALUE"""),7409.45)</f>
        <v>7409.45</v>
      </c>
      <c r="J740" s="5">
        <f>IFERROR(__xludf.DUMMYFUNCTION("""COMPUTED_VALUE"""),2952.23)</f>
        <v>2952.23</v>
      </c>
      <c r="K740" s="5">
        <f>IFERROR(__xludf.DUMMYFUNCTION("""COMPUTED_VALUE"""),3161.16)</f>
        <v>3161.16</v>
      </c>
      <c r="L740" s="4">
        <f>IFERROR(__xludf.DUMMYFUNCTION("""COMPUTED_VALUE"""),4.0)</f>
        <v>4</v>
      </c>
      <c r="M740" s="4">
        <f>IFERROR(__xludf.DUMMYFUNCTION("""COMPUTED_VALUE"""),90.0)</f>
        <v>90</v>
      </c>
      <c r="N740" s="2" t="str">
        <f>IFERROR(__xludf.DUMMYFUNCTION("""COMPUTED_VALUE"""),"FALSO")</f>
        <v>FALSO</v>
      </c>
    </row>
    <row r="741">
      <c r="A741" s="2">
        <f>IFERROR(__xludf.DUMMYFUNCTION("""COMPUTED_VALUE"""),740.0)</f>
        <v>740</v>
      </c>
      <c r="B741" s="2" t="str">
        <f>IFERROR(__xludf.DUMMYFUNCTION("""COMPUTED_VALUE"""),"Kristofer Alvin")</f>
        <v>Kristofer Alvin</v>
      </c>
      <c r="C741" s="2" t="str">
        <f>IFERROR(__xludf.DUMMYFUNCTION("""COMPUTED_VALUE"""),"kalvinkk@scientificamerican.com")</f>
        <v>kalvinkk@scientificamerican.com</v>
      </c>
      <c r="D741" s="4">
        <f>IFERROR(__xludf.DUMMYFUNCTION("""COMPUTED_VALUE"""),29.0)</f>
        <v>29</v>
      </c>
      <c r="E741" s="4">
        <f>IFERROR(__xludf.DUMMYFUNCTION("""COMPUTED_VALUE"""),81.0)</f>
        <v>81</v>
      </c>
      <c r="F741" s="4">
        <f>IFERROR(__xludf.DUMMYFUNCTION("""COMPUTED_VALUE"""),2.0)</f>
        <v>2</v>
      </c>
      <c r="G741" s="4">
        <f>IFERROR(__xludf.DUMMYFUNCTION("""COMPUTED_VALUE"""),1394.0)</f>
        <v>1394</v>
      </c>
      <c r="H741" s="5">
        <f>IFERROR(__xludf.DUMMYFUNCTION("""COMPUTED_VALUE"""),8629.39)</f>
        <v>8629.39</v>
      </c>
      <c r="I741" s="5">
        <f>IFERROR(__xludf.DUMMYFUNCTION("""COMPUTED_VALUE"""),4276.27)</f>
        <v>4276.27</v>
      </c>
      <c r="J741" s="5">
        <f>IFERROR(__xludf.DUMMYFUNCTION("""COMPUTED_VALUE"""),9865.8)</f>
        <v>9865.8</v>
      </c>
      <c r="K741" s="5">
        <f>IFERROR(__xludf.DUMMYFUNCTION("""COMPUTED_VALUE"""),584.88)</f>
        <v>584.88</v>
      </c>
      <c r="L741" s="4">
        <f>IFERROR(__xludf.DUMMYFUNCTION("""COMPUTED_VALUE"""),5.0)</f>
        <v>5</v>
      </c>
      <c r="M741" s="4">
        <f>IFERROR(__xludf.DUMMYFUNCTION("""COMPUTED_VALUE"""),27.0)</f>
        <v>27</v>
      </c>
      <c r="N741" s="2" t="str">
        <f>IFERROR(__xludf.DUMMYFUNCTION("""COMPUTED_VALUE"""),"VERDADERO")</f>
        <v>VERDADERO</v>
      </c>
    </row>
    <row r="742">
      <c r="A742" s="2">
        <f>IFERROR(__xludf.DUMMYFUNCTION("""COMPUTED_VALUE"""),741.0)</f>
        <v>741</v>
      </c>
      <c r="B742" s="2" t="str">
        <f>IFERROR(__xludf.DUMMYFUNCTION("""COMPUTED_VALUE"""),"Karalee Marshman")</f>
        <v>Karalee Marshman</v>
      </c>
      <c r="C742" s="2" t="str">
        <f>IFERROR(__xludf.DUMMYFUNCTION("""COMPUTED_VALUE"""),"kmarshmankl@sun.com")</f>
        <v>kmarshmankl@sun.com</v>
      </c>
      <c r="D742" s="4">
        <f>IFERROR(__xludf.DUMMYFUNCTION("""COMPUTED_VALUE"""),143.0)</f>
        <v>143</v>
      </c>
      <c r="E742" s="4">
        <f>IFERROR(__xludf.DUMMYFUNCTION("""COMPUTED_VALUE"""),64.0)</f>
        <v>64</v>
      </c>
      <c r="F742" s="4">
        <f>IFERROR(__xludf.DUMMYFUNCTION("""COMPUTED_VALUE"""),4.0)</f>
        <v>4</v>
      </c>
      <c r="G742" s="4">
        <f>IFERROR(__xludf.DUMMYFUNCTION("""COMPUTED_VALUE"""),470.0)</f>
        <v>470</v>
      </c>
      <c r="H742" s="5">
        <f>IFERROR(__xludf.DUMMYFUNCTION("""COMPUTED_VALUE"""),8803.16)</f>
        <v>8803.16</v>
      </c>
      <c r="I742" s="5">
        <f>IFERROR(__xludf.DUMMYFUNCTION("""COMPUTED_VALUE"""),5377.08)</f>
        <v>5377.08</v>
      </c>
      <c r="J742" s="5">
        <f>IFERROR(__xludf.DUMMYFUNCTION("""COMPUTED_VALUE"""),1804.82)</f>
        <v>1804.82</v>
      </c>
      <c r="K742" s="5">
        <f>IFERROR(__xludf.DUMMYFUNCTION("""COMPUTED_VALUE"""),1135.0)</f>
        <v>1135</v>
      </c>
      <c r="L742" s="4">
        <f>IFERROR(__xludf.DUMMYFUNCTION("""COMPUTED_VALUE"""),8.0)</f>
        <v>8</v>
      </c>
      <c r="M742" s="4">
        <f>IFERROR(__xludf.DUMMYFUNCTION("""COMPUTED_VALUE"""),26.0)</f>
        <v>26</v>
      </c>
      <c r="N742" s="2" t="str">
        <f>IFERROR(__xludf.DUMMYFUNCTION("""COMPUTED_VALUE"""),"VERDADERO")</f>
        <v>VERDADERO</v>
      </c>
    </row>
    <row r="743">
      <c r="A743" s="2">
        <f>IFERROR(__xludf.DUMMYFUNCTION("""COMPUTED_VALUE"""),742.0)</f>
        <v>742</v>
      </c>
      <c r="B743" s="2" t="str">
        <f>IFERROR(__xludf.DUMMYFUNCTION("""COMPUTED_VALUE"""),"Jasen Trevithick")</f>
        <v>Jasen Trevithick</v>
      </c>
      <c r="C743" s="2" t="str">
        <f>IFERROR(__xludf.DUMMYFUNCTION("""COMPUTED_VALUE"""),"jtrevithickkm@domainmarket.com")</f>
        <v>jtrevithickkm@domainmarket.com</v>
      </c>
      <c r="D743" s="4">
        <f>IFERROR(__xludf.DUMMYFUNCTION("""COMPUTED_VALUE"""),65.0)</f>
        <v>65</v>
      </c>
      <c r="E743" s="4">
        <f>IFERROR(__xludf.DUMMYFUNCTION("""COMPUTED_VALUE"""),102.0)</f>
        <v>102</v>
      </c>
      <c r="F743" s="4">
        <f>IFERROR(__xludf.DUMMYFUNCTION("""COMPUTED_VALUE"""),4.0)</f>
        <v>4</v>
      </c>
      <c r="G743" s="4">
        <f>IFERROR(__xludf.DUMMYFUNCTION("""COMPUTED_VALUE"""),75.0)</f>
        <v>75</v>
      </c>
      <c r="H743" s="5">
        <f>IFERROR(__xludf.DUMMYFUNCTION("""COMPUTED_VALUE"""),9490.89)</f>
        <v>9490.89</v>
      </c>
      <c r="I743" s="5">
        <f>IFERROR(__xludf.DUMMYFUNCTION("""COMPUTED_VALUE"""),720.14)</f>
        <v>720.14</v>
      </c>
      <c r="J743" s="5">
        <f>IFERROR(__xludf.DUMMYFUNCTION("""COMPUTED_VALUE"""),2448.83)</f>
        <v>2448.83</v>
      </c>
      <c r="K743" s="5">
        <f>IFERROR(__xludf.DUMMYFUNCTION("""COMPUTED_VALUE"""),2761.63)</f>
        <v>2761.63</v>
      </c>
      <c r="L743" s="4">
        <f>IFERROR(__xludf.DUMMYFUNCTION("""COMPUTED_VALUE"""),12.0)</f>
        <v>12</v>
      </c>
      <c r="M743" s="4">
        <f>IFERROR(__xludf.DUMMYFUNCTION("""COMPUTED_VALUE"""),65.0)</f>
        <v>65</v>
      </c>
      <c r="N743" s="2" t="str">
        <f>IFERROR(__xludf.DUMMYFUNCTION("""COMPUTED_VALUE"""),"VERDADERO")</f>
        <v>VERDADERO</v>
      </c>
    </row>
    <row r="744">
      <c r="A744" s="2">
        <f>IFERROR(__xludf.DUMMYFUNCTION("""COMPUTED_VALUE"""),743.0)</f>
        <v>743</v>
      </c>
      <c r="B744" s="2" t="str">
        <f>IFERROR(__xludf.DUMMYFUNCTION("""COMPUTED_VALUE"""),"Blaire Gomby")</f>
        <v>Blaire Gomby</v>
      </c>
      <c r="C744" s="2" t="str">
        <f>IFERROR(__xludf.DUMMYFUNCTION("""COMPUTED_VALUE"""),"bgombykn@google.cn")</f>
        <v>bgombykn@google.cn</v>
      </c>
      <c r="D744" s="4">
        <f>IFERROR(__xludf.DUMMYFUNCTION("""COMPUTED_VALUE"""),119.0)</f>
        <v>119</v>
      </c>
      <c r="E744" s="4">
        <f>IFERROR(__xludf.DUMMYFUNCTION("""COMPUTED_VALUE"""),64.0)</f>
        <v>64</v>
      </c>
      <c r="F744" s="4">
        <f>IFERROR(__xludf.DUMMYFUNCTION("""COMPUTED_VALUE"""),4.0)</f>
        <v>4</v>
      </c>
      <c r="G744" s="4">
        <f>IFERROR(__xludf.DUMMYFUNCTION("""COMPUTED_VALUE"""),545.0)</f>
        <v>545</v>
      </c>
      <c r="H744" s="5">
        <f>IFERROR(__xludf.DUMMYFUNCTION("""COMPUTED_VALUE"""),5662.45)</f>
        <v>5662.45</v>
      </c>
      <c r="I744" s="5">
        <f>IFERROR(__xludf.DUMMYFUNCTION("""COMPUTED_VALUE"""),8913.61)</f>
        <v>8913.61</v>
      </c>
      <c r="J744" s="5">
        <f>IFERROR(__xludf.DUMMYFUNCTION("""COMPUTED_VALUE"""),4413.23)</f>
        <v>4413.23</v>
      </c>
      <c r="K744" s="5">
        <f>IFERROR(__xludf.DUMMYFUNCTION("""COMPUTED_VALUE"""),4313.75)</f>
        <v>4313.75</v>
      </c>
      <c r="L744" s="4">
        <f>IFERROR(__xludf.DUMMYFUNCTION("""COMPUTED_VALUE"""),17.0)</f>
        <v>17</v>
      </c>
      <c r="M744" s="4">
        <f>IFERROR(__xludf.DUMMYFUNCTION("""COMPUTED_VALUE"""),36.0)</f>
        <v>36</v>
      </c>
      <c r="N744" s="2" t="str">
        <f>IFERROR(__xludf.DUMMYFUNCTION("""COMPUTED_VALUE"""),"FALSO")</f>
        <v>FALSO</v>
      </c>
    </row>
    <row r="745">
      <c r="A745" s="2">
        <f>IFERROR(__xludf.DUMMYFUNCTION("""COMPUTED_VALUE"""),744.0)</f>
        <v>744</v>
      </c>
      <c r="B745" s="2" t="str">
        <f>IFERROR(__xludf.DUMMYFUNCTION("""COMPUTED_VALUE"""),"Benedict Abbati")</f>
        <v>Benedict Abbati</v>
      </c>
      <c r="C745" s="2" t="str">
        <f>IFERROR(__xludf.DUMMYFUNCTION("""COMPUTED_VALUE"""),"babbatiko@arstechnica.com")</f>
        <v>babbatiko@arstechnica.com</v>
      </c>
      <c r="D745" s="4">
        <f>IFERROR(__xludf.DUMMYFUNCTION("""COMPUTED_VALUE"""),124.0)</f>
        <v>124</v>
      </c>
      <c r="E745" s="4">
        <f>IFERROR(__xludf.DUMMYFUNCTION("""COMPUTED_VALUE"""),41.0)</f>
        <v>41</v>
      </c>
      <c r="F745" s="4">
        <f>IFERROR(__xludf.DUMMYFUNCTION("""COMPUTED_VALUE"""),8.0)</f>
        <v>8</v>
      </c>
      <c r="G745" s="4">
        <f>IFERROR(__xludf.DUMMYFUNCTION("""COMPUTED_VALUE"""),923.0)</f>
        <v>923</v>
      </c>
      <c r="H745" s="5">
        <f>IFERROR(__xludf.DUMMYFUNCTION("""COMPUTED_VALUE"""),6944.81)</f>
        <v>6944.81</v>
      </c>
      <c r="I745" s="5">
        <f>IFERROR(__xludf.DUMMYFUNCTION("""COMPUTED_VALUE"""),8823.99)</f>
        <v>8823.99</v>
      </c>
      <c r="J745" s="5">
        <f>IFERROR(__xludf.DUMMYFUNCTION("""COMPUTED_VALUE"""),4184.04)</f>
        <v>4184.04</v>
      </c>
      <c r="K745" s="5">
        <f>IFERROR(__xludf.DUMMYFUNCTION("""COMPUTED_VALUE"""),1591.59)</f>
        <v>1591.59</v>
      </c>
      <c r="L745" s="4">
        <f>IFERROR(__xludf.DUMMYFUNCTION("""COMPUTED_VALUE"""),8.0)</f>
        <v>8</v>
      </c>
      <c r="M745" s="4">
        <f>IFERROR(__xludf.DUMMYFUNCTION("""COMPUTED_VALUE"""),16.0)</f>
        <v>16</v>
      </c>
      <c r="N745" s="2" t="str">
        <f>IFERROR(__xludf.DUMMYFUNCTION("""COMPUTED_VALUE"""),"FALSO")</f>
        <v>FALSO</v>
      </c>
    </row>
    <row r="746">
      <c r="A746" s="2">
        <f>IFERROR(__xludf.DUMMYFUNCTION("""COMPUTED_VALUE"""),745.0)</f>
        <v>745</v>
      </c>
      <c r="B746" s="2" t="str">
        <f>IFERROR(__xludf.DUMMYFUNCTION("""COMPUTED_VALUE"""),"Klement Dullard")</f>
        <v>Klement Dullard</v>
      </c>
      <c r="C746" s="2" t="str">
        <f>IFERROR(__xludf.DUMMYFUNCTION("""COMPUTED_VALUE"""),"kdullardkp@studiopress.com")</f>
        <v>kdullardkp@studiopress.com</v>
      </c>
      <c r="D746" s="4">
        <f>IFERROR(__xludf.DUMMYFUNCTION("""COMPUTED_VALUE"""),153.0)</f>
        <v>153</v>
      </c>
      <c r="E746" s="4">
        <f>IFERROR(__xludf.DUMMYFUNCTION("""COMPUTED_VALUE"""),85.0)</f>
        <v>85</v>
      </c>
      <c r="F746" s="4">
        <f>IFERROR(__xludf.DUMMYFUNCTION("""COMPUTED_VALUE"""),3.0)</f>
        <v>3</v>
      </c>
      <c r="G746" s="4">
        <f>IFERROR(__xludf.DUMMYFUNCTION("""COMPUTED_VALUE"""),1013.0)</f>
        <v>1013</v>
      </c>
      <c r="H746" s="5">
        <f>IFERROR(__xludf.DUMMYFUNCTION("""COMPUTED_VALUE"""),7154.75)</f>
        <v>7154.75</v>
      </c>
      <c r="I746" s="5">
        <f>IFERROR(__xludf.DUMMYFUNCTION("""COMPUTED_VALUE"""),8330.65)</f>
        <v>8330.65</v>
      </c>
      <c r="J746" s="5">
        <f>IFERROR(__xludf.DUMMYFUNCTION("""COMPUTED_VALUE"""),7667.32)</f>
        <v>7667.32</v>
      </c>
      <c r="K746" s="5">
        <f>IFERROR(__xludf.DUMMYFUNCTION("""COMPUTED_VALUE"""),870.42)</f>
        <v>870.42</v>
      </c>
      <c r="L746" s="4">
        <f>IFERROR(__xludf.DUMMYFUNCTION("""COMPUTED_VALUE"""),16.0)</f>
        <v>16</v>
      </c>
      <c r="M746" s="4">
        <f>IFERROR(__xludf.DUMMYFUNCTION("""COMPUTED_VALUE"""),64.0)</f>
        <v>64</v>
      </c>
      <c r="N746" s="2" t="str">
        <f>IFERROR(__xludf.DUMMYFUNCTION("""COMPUTED_VALUE"""),"VERDADERO")</f>
        <v>VERDADERO</v>
      </c>
    </row>
    <row r="747">
      <c r="A747" s="2">
        <f>IFERROR(__xludf.DUMMYFUNCTION("""COMPUTED_VALUE"""),746.0)</f>
        <v>746</v>
      </c>
      <c r="B747" s="2" t="str">
        <f>IFERROR(__xludf.DUMMYFUNCTION("""COMPUTED_VALUE"""),"Megen Skyram")</f>
        <v>Megen Skyram</v>
      </c>
      <c r="C747" s="2" t="str">
        <f>IFERROR(__xludf.DUMMYFUNCTION("""COMPUTED_VALUE"""),"mskyramkq@youtube.com")</f>
        <v>mskyramkq@youtube.com</v>
      </c>
      <c r="D747" s="4">
        <f>IFERROR(__xludf.DUMMYFUNCTION("""COMPUTED_VALUE"""),124.0)</f>
        <v>124</v>
      </c>
      <c r="E747" s="4">
        <f>IFERROR(__xludf.DUMMYFUNCTION("""COMPUTED_VALUE"""),73.0)</f>
        <v>73</v>
      </c>
      <c r="F747" s="4">
        <f>IFERROR(__xludf.DUMMYFUNCTION("""COMPUTED_VALUE"""),8.0)</f>
        <v>8</v>
      </c>
      <c r="G747" s="4">
        <f>IFERROR(__xludf.DUMMYFUNCTION("""COMPUTED_VALUE"""),965.0)</f>
        <v>965</v>
      </c>
      <c r="H747" s="5">
        <f>IFERROR(__xludf.DUMMYFUNCTION("""COMPUTED_VALUE"""),655.99)</f>
        <v>655.99</v>
      </c>
      <c r="I747" s="5">
        <f>IFERROR(__xludf.DUMMYFUNCTION("""COMPUTED_VALUE"""),5721.9)</f>
        <v>5721.9</v>
      </c>
      <c r="J747" s="5">
        <f>IFERROR(__xludf.DUMMYFUNCTION("""COMPUTED_VALUE"""),2294.97)</f>
        <v>2294.97</v>
      </c>
      <c r="K747" s="5">
        <f>IFERROR(__xludf.DUMMYFUNCTION("""COMPUTED_VALUE"""),6426.69)</f>
        <v>6426.69</v>
      </c>
      <c r="L747" s="4">
        <f>IFERROR(__xludf.DUMMYFUNCTION("""COMPUTED_VALUE"""),7.0)</f>
        <v>7</v>
      </c>
      <c r="M747" s="4">
        <f>IFERROR(__xludf.DUMMYFUNCTION("""COMPUTED_VALUE"""),89.0)</f>
        <v>89</v>
      </c>
      <c r="N747" s="2" t="str">
        <f>IFERROR(__xludf.DUMMYFUNCTION("""COMPUTED_VALUE"""),"VERDADERO")</f>
        <v>VERDADERO</v>
      </c>
    </row>
    <row r="748">
      <c r="A748" s="2">
        <f>IFERROR(__xludf.DUMMYFUNCTION("""COMPUTED_VALUE"""),747.0)</f>
        <v>747</v>
      </c>
      <c r="B748" s="2" t="str">
        <f>IFERROR(__xludf.DUMMYFUNCTION("""COMPUTED_VALUE"""),"Lyndell Matuskiewicz")</f>
        <v>Lyndell Matuskiewicz</v>
      </c>
      <c r="C748" s="2" t="str">
        <f>IFERROR(__xludf.DUMMYFUNCTION("""COMPUTED_VALUE"""),"lmatuskiewiczkr@columbia.edu")</f>
        <v>lmatuskiewiczkr@columbia.edu</v>
      </c>
      <c r="D748" s="4">
        <f>IFERROR(__xludf.DUMMYFUNCTION("""COMPUTED_VALUE"""),137.0)</f>
        <v>137</v>
      </c>
      <c r="E748" s="4">
        <f>IFERROR(__xludf.DUMMYFUNCTION("""COMPUTED_VALUE"""),71.0)</f>
        <v>71</v>
      </c>
      <c r="F748" s="4">
        <f>IFERROR(__xludf.DUMMYFUNCTION("""COMPUTED_VALUE"""),6.0)</f>
        <v>6</v>
      </c>
      <c r="G748" s="4">
        <f>IFERROR(__xludf.DUMMYFUNCTION("""COMPUTED_VALUE"""),181.0)</f>
        <v>181</v>
      </c>
      <c r="H748" s="5">
        <f>IFERROR(__xludf.DUMMYFUNCTION("""COMPUTED_VALUE"""),4025.2)</f>
        <v>4025.2</v>
      </c>
      <c r="I748" s="5">
        <f>IFERROR(__xludf.DUMMYFUNCTION("""COMPUTED_VALUE"""),7852.48)</f>
        <v>7852.48</v>
      </c>
      <c r="J748" s="5">
        <f>IFERROR(__xludf.DUMMYFUNCTION("""COMPUTED_VALUE"""),4465.01)</f>
        <v>4465.01</v>
      </c>
      <c r="K748" s="5">
        <f>IFERROR(__xludf.DUMMYFUNCTION("""COMPUTED_VALUE"""),6474.74)</f>
        <v>6474.74</v>
      </c>
      <c r="L748" s="4">
        <f>IFERROR(__xludf.DUMMYFUNCTION("""COMPUTED_VALUE"""),1.0)</f>
        <v>1</v>
      </c>
      <c r="M748" s="4">
        <f>IFERROR(__xludf.DUMMYFUNCTION("""COMPUTED_VALUE"""),28.0)</f>
        <v>28</v>
      </c>
      <c r="N748" s="2" t="str">
        <f>IFERROR(__xludf.DUMMYFUNCTION("""COMPUTED_VALUE"""),"FALSO")</f>
        <v>FALSO</v>
      </c>
    </row>
    <row r="749">
      <c r="A749" s="2">
        <f>IFERROR(__xludf.DUMMYFUNCTION("""COMPUTED_VALUE"""),748.0)</f>
        <v>748</v>
      </c>
      <c r="B749" s="2" t="str">
        <f>IFERROR(__xludf.DUMMYFUNCTION("""COMPUTED_VALUE"""),"Codie Hanwright")</f>
        <v>Codie Hanwright</v>
      </c>
      <c r="C749" s="2" t="str">
        <f>IFERROR(__xludf.DUMMYFUNCTION("""COMPUTED_VALUE"""),"chanwrightks@barnesandnoble.com")</f>
        <v>chanwrightks@barnesandnoble.com</v>
      </c>
      <c r="D749" s="4">
        <f>IFERROR(__xludf.DUMMYFUNCTION("""COMPUTED_VALUE"""),29.0)</f>
        <v>29</v>
      </c>
      <c r="E749" s="4">
        <f>IFERROR(__xludf.DUMMYFUNCTION("""COMPUTED_VALUE"""),29.0)</f>
        <v>29</v>
      </c>
      <c r="F749" s="4">
        <f>IFERROR(__xludf.DUMMYFUNCTION("""COMPUTED_VALUE"""),11.0)</f>
        <v>11</v>
      </c>
      <c r="G749" s="4">
        <f>IFERROR(__xludf.DUMMYFUNCTION("""COMPUTED_VALUE"""),1519.0)</f>
        <v>1519</v>
      </c>
      <c r="H749" s="5">
        <f>IFERROR(__xludf.DUMMYFUNCTION("""COMPUTED_VALUE"""),4435.03)</f>
        <v>4435.03</v>
      </c>
      <c r="I749" s="5">
        <f>IFERROR(__xludf.DUMMYFUNCTION("""COMPUTED_VALUE"""),5410.45)</f>
        <v>5410.45</v>
      </c>
      <c r="J749" s="5">
        <f>IFERROR(__xludf.DUMMYFUNCTION("""COMPUTED_VALUE"""),9008.28)</f>
        <v>9008.28</v>
      </c>
      <c r="K749" s="5">
        <f>IFERROR(__xludf.DUMMYFUNCTION("""COMPUTED_VALUE"""),1041.57)</f>
        <v>1041.57</v>
      </c>
      <c r="L749" s="4">
        <f>IFERROR(__xludf.DUMMYFUNCTION("""COMPUTED_VALUE"""),6.0)</f>
        <v>6</v>
      </c>
      <c r="M749" s="4">
        <f>IFERROR(__xludf.DUMMYFUNCTION("""COMPUTED_VALUE"""),55.0)</f>
        <v>55</v>
      </c>
      <c r="N749" s="2" t="str">
        <f>IFERROR(__xludf.DUMMYFUNCTION("""COMPUTED_VALUE"""),"FALSO")</f>
        <v>FALSO</v>
      </c>
    </row>
    <row r="750">
      <c r="A750" s="2">
        <f>IFERROR(__xludf.DUMMYFUNCTION("""COMPUTED_VALUE"""),749.0)</f>
        <v>749</v>
      </c>
      <c r="B750" s="2" t="str">
        <f>IFERROR(__xludf.DUMMYFUNCTION("""COMPUTED_VALUE"""),"Bail Bitchener")</f>
        <v>Bail Bitchener</v>
      </c>
      <c r="C750" s="2" t="str">
        <f>IFERROR(__xludf.DUMMYFUNCTION("""COMPUTED_VALUE"""),"bbitchenerkt@yahoo.com")</f>
        <v>bbitchenerkt@yahoo.com</v>
      </c>
      <c r="D750" s="4">
        <f>IFERROR(__xludf.DUMMYFUNCTION("""COMPUTED_VALUE"""),65.0)</f>
        <v>65</v>
      </c>
      <c r="E750" s="4">
        <f>IFERROR(__xludf.DUMMYFUNCTION("""COMPUTED_VALUE"""),107.0)</f>
        <v>107</v>
      </c>
      <c r="F750" s="4">
        <f>IFERROR(__xludf.DUMMYFUNCTION("""COMPUTED_VALUE"""),5.0)</f>
        <v>5</v>
      </c>
      <c r="G750" s="4">
        <f>IFERROR(__xludf.DUMMYFUNCTION("""COMPUTED_VALUE"""),1005.0)</f>
        <v>1005</v>
      </c>
      <c r="H750" s="5">
        <f>IFERROR(__xludf.DUMMYFUNCTION("""COMPUTED_VALUE"""),2140.68)</f>
        <v>2140.68</v>
      </c>
      <c r="I750" s="5">
        <f>IFERROR(__xludf.DUMMYFUNCTION("""COMPUTED_VALUE"""),181.65)</f>
        <v>181.65</v>
      </c>
      <c r="J750" s="5">
        <f>IFERROR(__xludf.DUMMYFUNCTION("""COMPUTED_VALUE"""),7861.12)</f>
        <v>7861.12</v>
      </c>
      <c r="K750" s="5">
        <f>IFERROR(__xludf.DUMMYFUNCTION("""COMPUTED_VALUE"""),3472.27)</f>
        <v>3472.27</v>
      </c>
      <c r="L750" s="4">
        <f>IFERROR(__xludf.DUMMYFUNCTION("""COMPUTED_VALUE"""),1.0)</f>
        <v>1</v>
      </c>
      <c r="M750" s="4">
        <f>IFERROR(__xludf.DUMMYFUNCTION("""COMPUTED_VALUE"""),55.0)</f>
        <v>55</v>
      </c>
      <c r="N750" s="2" t="str">
        <f>IFERROR(__xludf.DUMMYFUNCTION("""COMPUTED_VALUE"""),"FALSO")</f>
        <v>FALSO</v>
      </c>
    </row>
    <row r="751">
      <c r="A751" s="2">
        <f>IFERROR(__xludf.DUMMYFUNCTION("""COMPUTED_VALUE"""),750.0)</f>
        <v>750</v>
      </c>
      <c r="B751" s="2" t="str">
        <f>IFERROR(__xludf.DUMMYFUNCTION("""COMPUTED_VALUE"""),"Quintana Pauly")</f>
        <v>Quintana Pauly</v>
      </c>
      <c r="C751" s="2" t="str">
        <f>IFERROR(__xludf.DUMMYFUNCTION("""COMPUTED_VALUE"""),"qpaulyku@flickr.com")</f>
        <v>qpaulyku@flickr.com</v>
      </c>
      <c r="D751" s="4">
        <f>IFERROR(__xludf.DUMMYFUNCTION("""COMPUTED_VALUE"""),137.0)</f>
        <v>137</v>
      </c>
      <c r="E751" s="4">
        <f>IFERROR(__xludf.DUMMYFUNCTION("""COMPUTED_VALUE"""),123.0)</f>
        <v>123</v>
      </c>
      <c r="F751" s="4">
        <f>IFERROR(__xludf.DUMMYFUNCTION("""COMPUTED_VALUE"""),7.0)</f>
        <v>7</v>
      </c>
      <c r="G751" s="4">
        <f>IFERROR(__xludf.DUMMYFUNCTION("""COMPUTED_VALUE"""),1603.0)</f>
        <v>1603</v>
      </c>
      <c r="H751" s="5">
        <f>IFERROR(__xludf.DUMMYFUNCTION("""COMPUTED_VALUE"""),4244.59)</f>
        <v>4244.59</v>
      </c>
      <c r="I751" s="5">
        <f>IFERROR(__xludf.DUMMYFUNCTION("""COMPUTED_VALUE"""),1705.99)</f>
        <v>1705.99</v>
      </c>
      <c r="J751" s="5">
        <f>IFERROR(__xludf.DUMMYFUNCTION("""COMPUTED_VALUE"""),6773.92)</f>
        <v>6773.92</v>
      </c>
      <c r="K751" s="5">
        <f>IFERROR(__xludf.DUMMYFUNCTION("""COMPUTED_VALUE"""),1915.45)</f>
        <v>1915.45</v>
      </c>
      <c r="L751" s="4">
        <f>IFERROR(__xludf.DUMMYFUNCTION("""COMPUTED_VALUE"""),8.0)</f>
        <v>8</v>
      </c>
      <c r="M751" s="4">
        <f>IFERROR(__xludf.DUMMYFUNCTION("""COMPUTED_VALUE"""),62.0)</f>
        <v>62</v>
      </c>
      <c r="N751" s="2" t="str">
        <f>IFERROR(__xludf.DUMMYFUNCTION("""COMPUTED_VALUE"""),"FALSO")</f>
        <v>FALSO</v>
      </c>
    </row>
    <row r="752">
      <c r="A752" s="2">
        <f>IFERROR(__xludf.DUMMYFUNCTION("""COMPUTED_VALUE"""),751.0)</f>
        <v>751</v>
      </c>
      <c r="B752" s="2" t="str">
        <f>IFERROR(__xludf.DUMMYFUNCTION("""COMPUTED_VALUE"""),"Eba d'Escoffier")</f>
        <v>Eba d'Escoffier</v>
      </c>
      <c r="C752" s="2" t="str">
        <f>IFERROR(__xludf.DUMMYFUNCTION("""COMPUTED_VALUE"""),"edescoffierkv@reddit.com")</f>
        <v>edescoffierkv@reddit.com</v>
      </c>
      <c r="D752" s="4">
        <f>IFERROR(__xludf.DUMMYFUNCTION("""COMPUTED_VALUE"""),124.0)</f>
        <v>124</v>
      </c>
      <c r="E752" s="4">
        <f>IFERROR(__xludf.DUMMYFUNCTION("""COMPUTED_VALUE"""),21.0)</f>
        <v>21</v>
      </c>
      <c r="F752" s="4">
        <f>IFERROR(__xludf.DUMMYFUNCTION("""COMPUTED_VALUE"""),4.0)</f>
        <v>4</v>
      </c>
      <c r="G752" s="4">
        <f>IFERROR(__xludf.DUMMYFUNCTION("""COMPUTED_VALUE"""),1084.0)</f>
        <v>1084</v>
      </c>
      <c r="H752" s="5">
        <f>IFERROR(__xludf.DUMMYFUNCTION("""COMPUTED_VALUE"""),6521.66)</f>
        <v>6521.66</v>
      </c>
      <c r="I752" s="5">
        <f>IFERROR(__xludf.DUMMYFUNCTION("""COMPUTED_VALUE"""),1117.4)</f>
        <v>1117.4</v>
      </c>
      <c r="J752" s="5">
        <f>IFERROR(__xludf.DUMMYFUNCTION("""COMPUTED_VALUE"""),8156.19)</f>
        <v>8156.19</v>
      </c>
      <c r="K752" s="5">
        <f>IFERROR(__xludf.DUMMYFUNCTION("""COMPUTED_VALUE"""),4630.03)</f>
        <v>4630.03</v>
      </c>
      <c r="L752" s="4">
        <f>IFERROR(__xludf.DUMMYFUNCTION("""COMPUTED_VALUE"""),8.0)</f>
        <v>8</v>
      </c>
      <c r="M752" s="4">
        <f>IFERROR(__xludf.DUMMYFUNCTION("""COMPUTED_VALUE"""),78.0)</f>
        <v>78</v>
      </c>
      <c r="N752" s="2" t="str">
        <f>IFERROR(__xludf.DUMMYFUNCTION("""COMPUTED_VALUE"""),"FALSO")</f>
        <v>FALSO</v>
      </c>
    </row>
    <row r="753">
      <c r="A753" s="2">
        <f>IFERROR(__xludf.DUMMYFUNCTION("""COMPUTED_VALUE"""),752.0)</f>
        <v>752</v>
      </c>
      <c r="B753" s="2" t="str">
        <f>IFERROR(__xludf.DUMMYFUNCTION("""COMPUTED_VALUE"""),"Krysta McCard")</f>
        <v>Krysta McCard</v>
      </c>
      <c r="C753" s="2" t="str">
        <f>IFERROR(__xludf.DUMMYFUNCTION("""COMPUTED_VALUE"""),"kmccardkw@reddit.com")</f>
        <v>kmccardkw@reddit.com</v>
      </c>
      <c r="D753" s="4">
        <f>IFERROR(__xludf.DUMMYFUNCTION("""COMPUTED_VALUE"""),5.0)</f>
        <v>5</v>
      </c>
      <c r="E753" s="4">
        <f>IFERROR(__xludf.DUMMYFUNCTION("""COMPUTED_VALUE"""),1.0)</f>
        <v>1</v>
      </c>
      <c r="F753" s="4">
        <f>IFERROR(__xludf.DUMMYFUNCTION("""COMPUTED_VALUE"""),4.0)</f>
        <v>4</v>
      </c>
      <c r="G753" s="4">
        <f>IFERROR(__xludf.DUMMYFUNCTION("""COMPUTED_VALUE"""),1440.0)</f>
        <v>1440</v>
      </c>
      <c r="H753" s="5">
        <f>IFERROR(__xludf.DUMMYFUNCTION("""COMPUTED_VALUE"""),8710.18)</f>
        <v>8710.18</v>
      </c>
      <c r="I753" s="5">
        <f>IFERROR(__xludf.DUMMYFUNCTION("""COMPUTED_VALUE"""),9357.7)</f>
        <v>9357.7</v>
      </c>
      <c r="J753" s="5">
        <f>IFERROR(__xludf.DUMMYFUNCTION("""COMPUTED_VALUE"""),6782.52)</f>
        <v>6782.52</v>
      </c>
      <c r="K753" s="5">
        <f>IFERROR(__xludf.DUMMYFUNCTION("""COMPUTED_VALUE"""),7306.77)</f>
        <v>7306.77</v>
      </c>
      <c r="L753" s="4">
        <f>IFERROR(__xludf.DUMMYFUNCTION("""COMPUTED_VALUE"""),18.0)</f>
        <v>18</v>
      </c>
      <c r="M753" s="4">
        <f>IFERROR(__xludf.DUMMYFUNCTION("""COMPUTED_VALUE"""),93.0)</f>
        <v>93</v>
      </c>
      <c r="N753" s="2" t="str">
        <f>IFERROR(__xludf.DUMMYFUNCTION("""COMPUTED_VALUE"""),"FALSO")</f>
        <v>FALSO</v>
      </c>
    </row>
    <row r="754">
      <c r="A754" s="2">
        <f>IFERROR(__xludf.DUMMYFUNCTION("""COMPUTED_VALUE"""),753.0)</f>
        <v>753</v>
      </c>
      <c r="B754" s="2" t="str">
        <f>IFERROR(__xludf.DUMMYFUNCTION("""COMPUTED_VALUE"""),"Engelbert Josland")</f>
        <v>Engelbert Josland</v>
      </c>
      <c r="C754" s="2" t="str">
        <f>IFERROR(__xludf.DUMMYFUNCTION("""COMPUTED_VALUE"""),"ejoslandkx@businessinsider.com")</f>
        <v>ejoslandkx@businessinsider.com</v>
      </c>
      <c r="D754" s="4">
        <f>IFERROR(__xludf.DUMMYFUNCTION("""COMPUTED_VALUE"""),121.0)</f>
        <v>121</v>
      </c>
      <c r="E754" s="4">
        <f>IFERROR(__xludf.DUMMYFUNCTION("""COMPUTED_VALUE"""),6.0)</f>
        <v>6</v>
      </c>
      <c r="F754" s="4">
        <f>IFERROR(__xludf.DUMMYFUNCTION("""COMPUTED_VALUE"""),13.0)</f>
        <v>13</v>
      </c>
      <c r="G754" s="4">
        <f>IFERROR(__xludf.DUMMYFUNCTION("""COMPUTED_VALUE"""),444.0)</f>
        <v>444</v>
      </c>
      <c r="H754" s="5">
        <f>IFERROR(__xludf.DUMMYFUNCTION("""COMPUTED_VALUE"""),9818.62)</f>
        <v>9818.62</v>
      </c>
      <c r="I754" s="5">
        <f>IFERROR(__xludf.DUMMYFUNCTION("""COMPUTED_VALUE"""),9882.25)</f>
        <v>9882.25</v>
      </c>
      <c r="J754" s="5">
        <f>IFERROR(__xludf.DUMMYFUNCTION("""COMPUTED_VALUE"""),3797.39)</f>
        <v>3797.39</v>
      </c>
      <c r="K754" s="5">
        <f>IFERROR(__xludf.DUMMYFUNCTION("""COMPUTED_VALUE"""),987.58)</f>
        <v>987.58</v>
      </c>
      <c r="L754" s="4">
        <f>IFERROR(__xludf.DUMMYFUNCTION("""COMPUTED_VALUE"""),6.0)</f>
        <v>6</v>
      </c>
      <c r="M754" s="4">
        <f>IFERROR(__xludf.DUMMYFUNCTION("""COMPUTED_VALUE"""),57.0)</f>
        <v>57</v>
      </c>
      <c r="N754" s="2" t="str">
        <f>IFERROR(__xludf.DUMMYFUNCTION("""COMPUTED_VALUE"""),"VERDADERO")</f>
        <v>VERDADERO</v>
      </c>
    </row>
    <row r="755">
      <c r="A755" s="2">
        <f>IFERROR(__xludf.DUMMYFUNCTION("""COMPUTED_VALUE"""),754.0)</f>
        <v>754</v>
      </c>
      <c r="B755" s="2" t="str">
        <f>IFERROR(__xludf.DUMMYFUNCTION("""COMPUTED_VALUE"""),"Auroora Varfalameev")</f>
        <v>Auroora Varfalameev</v>
      </c>
      <c r="C755" s="2" t="str">
        <f>IFERROR(__xludf.DUMMYFUNCTION("""COMPUTED_VALUE"""),"avarfalameevky@artisteer.com")</f>
        <v>avarfalameevky@artisteer.com</v>
      </c>
      <c r="D755" s="4">
        <f>IFERROR(__xludf.DUMMYFUNCTION("""COMPUTED_VALUE"""),150.0)</f>
        <v>150</v>
      </c>
      <c r="E755" s="4">
        <f>IFERROR(__xludf.DUMMYFUNCTION("""COMPUTED_VALUE"""),64.0)</f>
        <v>64</v>
      </c>
      <c r="F755" s="4">
        <f>IFERROR(__xludf.DUMMYFUNCTION("""COMPUTED_VALUE"""),4.0)</f>
        <v>4</v>
      </c>
      <c r="G755" s="4">
        <f>IFERROR(__xludf.DUMMYFUNCTION("""COMPUTED_VALUE"""),229.0)</f>
        <v>229</v>
      </c>
      <c r="H755" s="5">
        <f>IFERROR(__xludf.DUMMYFUNCTION("""COMPUTED_VALUE"""),9691.9)</f>
        <v>9691.9</v>
      </c>
      <c r="I755" s="5">
        <f>IFERROR(__xludf.DUMMYFUNCTION("""COMPUTED_VALUE"""),3025.77)</f>
        <v>3025.77</v>
      </c>
      <c r="J755" s="5">
        <f>IFERROR(__xludf.DUMMYFUNCTION("""COMPUTED_VALUE"""),1791.14)</f>
        <v>1791.14</v>
      </c>
      <c r="K755" s="5">
        <f>IFERROR(__xludf.DUMMYFUNCTION("""COMPUTED_VALUE"""),3485.37)</f>
        <v>3485.37</v>
      </c>
      <c r="L755" s="4">
        <f>IFERROR(__xludf.DUMMYFUNCTION("""COMPUTED_VALUE"""),18.0)</f>
        <v>18</v>
      </c>
      <c r="M755" s="4">
        <f>IFERROR(__xludf.DUMMYFUNCTION("""COMPUTED_VALUE"""),36.0)</f>
        <v>36</v>
      </c>
      <c r="N755" s="2" t="str">
        <f>IFERROR(__xludf.DUMMYFUNCTION("""COMPUTED_VALUE"""),"VERDADERO")</f>
        <v>VERDADERO</v>
      </c>
    </row>
    <row r="756">
      <c r="A756" s="2">
        <f>IFERROR(__xludf.DUMMYFUNCTION("""COMPUTED_VALUE"""),755.0)</f>
        <v>755</v>
      </c>
      <c r="B756" s="2" t="str">
        <f>IFERROR(__xludf.DUMMYFUNCTION("""COMPUTED_VALUE"""),"Zaccaria Aikin")</f>
        <v>Zaccaria Aikin</v>
      </c>
      <c r="C756" s="2" t="str">
        <f>IFERROR(__xludf.DUMMYFUNCTION("""COMPUTED_VALUE"""),"zaikinkz@bloglines.com")</f>
        <v>zaikinkz@bloglines.com</v>
      </c>
      <c r="D756" s="4">
        <f>IFERROR(__xludf.DUMMYFUNCTION("""COMPUTED_VALUE"""),142.0)</f>
        <v>142</v>
      </c>
      <c r="E756" s="4">
        <f>IFERROR(__xludf.DUMMYFUNCTION("""COMPUTED_VALUE"""),9.0)</f>
        <v>9</v>
      </c>
      <c r="F756" s="4">
        <f>IFERROR(__xludf.DUMMYFUNCTION("""COMPUTED_VALUE"""),10.0)</f>
        <v>10</v>
      </c>
      <c r="G756" s="4">
        <f>IFERROR(__xludf.DUMMYFUNCTION("""COMPUTED_VALUE"""),671.0)</f>
        <v>671</v>
      </c>
      <c r="H756" s="5">
        <f>IFERROR(__xludf.DUMMYFUNCTION("""COMPUTED_VALUE"""),1531.77)</f>
        <v>1531.77</v>
      </c>
      <c r="I756" s="5">
        <f>IFERROR(__xludf.DUMMYFUNCTION("""COMPUTED_VALUE"""),2381.15)</f>
        <v>2381.15</v>
      </c>
      <c r="J756" s="5">
        <f>IFERROR(__xludf.DUMMYFUNCTION("""COMPUTED_VALUE"""),3217.43)</f>
        <v>3217.43</v>
      </c>
      <c r="K756" s="5">
        <f>IFERROR(__xludf.DUMMYFUNCTION("""COMPUTED_VALUE"""),9965.59)</f>
        <v>9965.59</v>
      </c>
      <c r="L756" s="4">
        <f>IFERROR(__xludf.DUMMYFUNCTION("""COMPUTED_VALUE"""),12.0)</f>
        <v>12</v>
      </c>
      <c r="M756" s="4">
        <f>IFERROR(__xludf.DUMMYFUNCTION("""COMPUTED_VALUE"""),1.0)</f>
        <v>1</v>
      </c>
      <c r="N756" s="2" t="str">
        <f>IFERROR(__xludf.DUMMYFUNCTION("""COMPUTED_VALUE"""),"VERDADERO")</f>
        <v>VERDADERO</v>
      </c>
    </row>
    <row r="757">
      <c r="A757" s="2">
        <f>IFERROR(__xludf.DUMMYFUNCTION("""COMPUTED_VALUE"""),756.0)</f>
        <v>756</v>
      </c>
      <c r="B757" s="2" t="str">
        <f>IFERROR(__xludf.DUMMYFUNCTION("""COMPUTED_VALUE"""),"Annie Cranson")</f>
        <v>Annie Cranson</v>
      </c>
      <c r="C757" s="2" t="str">
        <f>IFERROR(__xludf.DUMMYFUNCTION("""COMPUTED_VALUE"""),"acransonl0@howstuffworks.com")</f>
        <v>acransonl0@howstuffworks.com</v>
      </c>
      <c r="D757" s="4">
        <f>IFERROR(__xludf.DUMMYFUNCTION("""COMPUTED_VALUE"""),83.0)</f>
        <v>83</v>
      </c>
      <c r="E757" s="4">
        <f>IFERROR(__xludf.DUMMYFUNCTION("""COMPUTED_VALUE"""),66.0)</f>
        <v>66</v>
      </c>
      <c r="F757" s="4">
        <f>IFERROR(__xludf.DUMMYFUNCTION("""COMPUTED_VALUE"""),6.0)</f>
        <v>6</v>
      </c>
      <c r="G757" s="4">
        <f>IFERROR(__xludf.DUMMYFUNCTION("""COMPUTED_VALUE"""),286.0)</f>
        <v>286</v>
      </c>
      <c r="H757" s="5">
        <f>IFERROR(__xludf.DUMMYFUNCTION("""COMPUTED_VALUE"""),6406.99)</f>
        <v>6406.99</v>
      </c>
      <c r="I757" s="5">
        <f>IFERROR(__xludf.DUMMYFUNCTION("""COMPUTED_VALUE"""),3502.68)</f>
        <v>3502.68</v>
      </c>
      <c r="J757" s="5">
        <f>IFERROR(__xludf.DUMMYFUNCTION("""COMPUTED_VALUE"""),4539.01)</f>
        <v>4539.01</v>
      </c>
      <c r="K757" s="5">
        <f>IFERROR(__xludf.DUMMYFUNCTION("""COMPUTED_VALUE"""),5838.78)</f>
        <v>5838.78</v>
      </c>
      <c r="L757" s="4">
        <f>IFERROR(__xludf.DUMMYFUNCTION("""COMPUTED_VALUE"""),19.0)</f>
        <v>19</v>
      </c>
      <c r="M757" s="4">
        <f>IFERROR(__xludf.DUMMYFUNCTION("""COMPUTED_VALUE"""),36.0)</f>
        <v>36</v>
      </c>
      <c r="N757" s="2" t="str">
        <f>IFERROR(__xludf.DUMMYFUNCTION("""COMPUTED_VALUE"""),"VERDADERO")</f>
        <v>VERDADERO</v>
      </c>
    </row>
    <row r="758">
      <c r="A758" s="2">
        <f>IFERROR(__xludf.DUMMYFUNCTION("""COMPUTED_VALUE"""),757.0)</f>
        <v>757</v>
      </c>
      <c r="B758" s="2" t="str">
        <f>IFERROR(__xludf.DUMMYFUNCTION("""COMPUTED_VALUE"""),"Vincenz Oppery")</f>
        <v>Vincenz Oppery</v>
      </c>
      <c r="C758" s="2" t="str">
        <f>IFERROR(__xludf.DUMMYFUNCTION("""COMPUTED_VALUE"""),"vopperyl1@yahoo.co.jp")</f>
        <v>vopperyl1@yahoo.co.jp</v>
      </c>
      <c r="D758" s="4">
        <f>IFERROR(__xludf.DUMMYFUNCTION("""COMPUTED_VALUE"""),65.0)</f>
        <v>65</v>
      </c>
      <c r="E758" s="4">
        <f>IFERROR(__xludf.DUMMYFUNCTION("""COMPUTED_VALUE"""),66.0)</f>
        <v>66</v>
      </c>
      <c r="F758" s="4">
        <f>IFERROR(__xludf.DUMMYFUNCTION("""COMPUTED_VALUE"""),6.0)</f>
        <v>6</v>
      </c>
      <c r="G758" s="4">
        <f>IFERROR(__xludf.DUMMYFUNCTION("""COMPUTED_VALUE"""),1196.0)</f>
        <v>1196</v>
      </c>
      <c r="H758" s="5">
        <f>IFERROR(__xludf.DUMMYFUNCTION("""COMPUTED_VALUE"""),7836.32)</f>
        <v>7836.32</v>
      </c>
      <c r="I758" s="5">
        <f>IFERROR(__xludf.DUMMYFUNCTION("""COMPUTED_VALUE"""),5881.1)</f>
        <v>5881.1</v>
      </c>
      <c r="J758" s="5">
        <f>IFERROR(__xludf.DUMMYFUNCTION("""COMPUTED_VALUE"""),9567.62)</f>
        <v>9567.62</v>
      </c>
      <c r="K758" s="5">
        <f>IFERROR(__xludf.DUMMYFUNCTION("""COMPUTED_VALUE"""),6070.25)</f>
        <v>6070.25</v>
      </c>
      <c r="L758" s="4">
        <f>IFERROR(__xludf.DUMMYFUNCTION("""COMPUTED_VALUE"""),7.0)</f>
        <v>7</v>
      </c>
      <c r="M758" s="4">
        <f>IFERROR(__xludf.DUMMYFUNCTION("""COMPUTED_VALUE"""),17.0)</f>
        <v>17</v>
      </c>
      <c r="N758" s="2" t="str">
        <f>IFERROR(__xludf.DUMMYFUNCTION("""COMPUTED_VALUE"""),"FALSO")</f>
        <v>FALSO</v>
      </c>
    </row>
    <row r="759">
      <c r="A759" s="2">
        <f>IFERROR(__xludf.DUMMYFUNCTION("""COMPUTED_VALUE"""),758.0)</f>
        <v>758</v>
      </c>
      <c r="B759" s="2" t="str">
        <f>IFERROR(__xludf.DUMMYFUNCTION("""COMPUTED_VALUE"""),"Ajay Bettaney")</f>
        <v>Ajay Bettaney</v>
      </c>
      <c r="C759" s="2" t="str">
        <f>IFERROR(__xludf.DUMMYFUNCTION("""COMPUTED_VALUE"""),"abettaneyl2@un.org")</f>
        <v>abettaneyl2@un.org</v>
      </c>
      <c r="D759" s="4">
        <f>IFERROR(__xludf.DUMMYFUNCTION("""COMPUTED_VALUE"""),122.0)</f>
        <v>122</v>
      </c>
      <c r="E759" s="4">
        <f>IFERROR(__xludf.DUMMYFUNCTION("""COMPUTED_VALUE"""),62.0)</f>
        <v>62</v>
      </c>
      <c r="F759" s="4">
        <f>IFERROR(__xludf.DUMMYFUNCTION("""COMPUTED_VALUE"""),4.0)</f>
        <v>4</v>
      </c>
      <c r="G759" s="4">
        <f>IFERROR(__xludf.DUMMYFUNCTION("""COMPUTED_VALUE"""),1385.0)</f>
        <v>1385</v>
      </c>
      <c r="H759" s="5">
        <f>IFERROR(__xludf.DUMMYFUNCTION("""COMPUTED_VALUE"""),9283.79)</f>
        <v>9283.79</v>
      </c>
      <c r="I759" s="5">
        <f>IFERROR(__xludf.DUMMYFUNCTION("""COMPUTED_VALUE"""),2288.68)</f>
        <v>2288.68</v>
      </c>
      <c r="J759" s="5">
        <f>IFERROR(__xludf.DUMMYFUNCTION("""COMPUTED_VALUE"""),1286.18)</f>
        <v>1286.18</v>
      </c>
      <c r="K759" s="5">
        <f>IFERROR(__xludf.DUMMYFUNCTION("""COMPUTED_VALUE"""),3509.4)</f>
        <v>3509.4</v>
      </c>
      <c r="L759" s="4">
        <f>IFERROR(__xludf.DUMMYFUNCTION("""COMPUTED_VALUE"""),11.0)</f>
        <v>11</v>
      </c>
      <c r="M759" s="4">
        <f>IFERROR(__xludf.DUMMYFUNCTION("""COMPUTED_VALUE"""),17.0)</f>
        <v>17</v>
      </c>
      <c r="N759" s="2" t="str">
        <f>IFERROR(__xludf.DUMMYFUNCTION("""COMPUTED_VALUE"""),"VERDADERO")</f>
        <v>VERDADERO</v>
      </c>
    </row>
    <row r="760">
      <c r="A760" s="2">
        <f>IFERROR(__xludf.DUMMYFUNCTION("""COMPUTED_VALUE"""),759.0)</f>
        <v>759</v>
      </c>
      <c r="B760" s="2" t="str">
        <f>IFERROR(__xludf.DUMMYFUNCTION("""COMPUTED_VALUE"""),"Wilone Mayell")</f>
        <v>Wilone Mayell</v>
      </c>
      <c r="C760" s="2" t="str">
        <f>IFERROR(__xludf.DUMMYFUNCTION("""COMPUTED_VALUE"""),"wmayelll3@dagondesign.com")</f>
        <v>wmayelll3@dagondesign.com</v>
      </c>
      <c r="D760" s="4">
        <f>IFERROR(__xludf.DUMMYFUNCTION("""COMPUTED_VALUE"""),65.0)</f>
        <v>65</v>
      </c>
      <c r="E760" s="4">
        <f>IFERROR(__xludf.DUMMYFUNCTION("""COMPUTED_VALUE"""),81.0)</f>
        <v>81</v>
      </c>
      <c r="F760" s="4">
        <f>IFERROR(__xludf.DUMMYFUNCTION("""COMPUTED_VALUE"""),2.0)</f>
        <v>2</v>
      </c>
      <c r="G760" s="4">
        <f>IFERROR(__xludf.DUMMYFUNCTION("""COMPUTED_VALUE"""),1576.0)</f>
        <v>1576</v>
      </c>
      <c r="H760" s="5">
        <f>IFERROR(__xludf.DUMMYFUNCTION("""COMPUTED_VALUE"""),442.14)</f>
        <v>442.14</v>
      </c>
      <c r="I760" s="5">
        <f>IFERROR(__xludf.DUMMYFUNCTION("""COMPUTED_VALUE"""),589.86)</f>
        <v>589.86</v>
      </c>
      <c r="J760" s="5">
        <f>IFERROR(__xludf.DUMMYFUNCTION("""COMPUTED_VALUE"""),5759.81)</f>
        <v>5759.81</v>
      </c>
      <c r="K760" s="5">
        <f>IFERROR(__xludf.DUMMYFUNCTION("""COMPUTED_VALUE"""),4533.0)</f>
        <v>4533</v>
      </c>
      <c r="L760" s="4">
        <f>IFERROR(__xludf.DUMMYFUNCTION("""COMPUTED_VALUE"""),2.0)</f>
        <v>2</v>
      </c>
      <c r="M760" s="4">
        <f>IFERROR(__xludf.DUMMYFUNCTION("""COMPUTED_VALUE"""),45.0)</f>
        <v>45</v>
      </c>
      <c r="N760" s="2" t="str">
        <f>IFERROR(__xludf.DUMMYFUNCTION("""COMPUTED_VALUE"""),"VERDADERO")</f>
        <v>VERDADERO</v>
      </c>
    </row>
    <row r="761">
      <c r="A761" s="2">
        <f>IFERROR(__xludf.DUMMYFUNCTION("""COMPUTED_VALUE"""),760.0)</f>
        <v>760</v>
      </c>
      <c r="B761" s="2" t="str">
        <f>IFERROR(__xludf.DUMMYFUNCTION("""COMPUTED_VALUE"""),"Orsola Luter")</f>
        <v>Orsola Luter</v>
      </c>
      <c r="C761" s="2" t="str">
        <f>IFERROR(__xludf.DUMMYFUNCTION("""COMPUTED_VALUE"""),"oluterl4@dailymail.co.uk")</f>
        <v>oluterl4@dailymail.co.uk</v>
      </c>
      <c r="D761" s="4">
        <f>IFERROR(__xludf.DUMMYFUNCTION("""COMPUTED_VALUE"""),73.0)</f>
        <v>73</v>
      </c>
      <c r="E761" s="4">
        <f>IFERROR(__xludf.DUMMYFUNCTION("""COMPUTED_VALUE"""),81.0)</f>
        <v>81</v>
      </c>
      <c r="F761" s="4">
        <f>IFERROR(__xludf.DUMMYFUNCTION("""COMPUTED_VALUE"""),2.0)</f>
        <v>2</v>
      </c>
      <c r="G761" s="4">
        <f>IFERROR(__xludf.DUMMYFUNCTION("""COMPUTED_VALUE"""),456.0)</f>
        <v>456</v>
      </c>
      <c r="H761" s="5">
        <f>IFERROR(__xludf.DUMMYFUNCTION("""COMPUTED_VALUE"""),1670.44)</f>
        <v>1670.44</v>
      </c>
      <c r="I761" s="5">
        <f>IFERROR(__xludf.DUMMYFUNCTION("""COMPUTED_VALUE"""),5248.52)</f>
        <v>5248.52</v>
      </c>
      <c r="J761" s="5">
        <f>IFERROR(__xludf.DUMMYFUNCTION("""COMPUTED_VALUE"""),6282.83)</f>
        <v>6282.83</v>
      </c>
      <c r="K761" s="5">
        <f>IFERROR(__xludf.DUMMYFUNCTION("""COMPUTED_VALUE"""),385.84)</f>
        <v>385.84</v>
      </c>
      <c r="L761" s="4">
        <f>IFERROR(__xludf.DUMMYFUNCTION("""COMPUTED_VALUE"""),13.0)</f>
        <v>13</v>
      </c>
      <c r="M761" s="4">
        <f>IFERROR(__xludf.DUMMYFUNCTION("""COMPUTED_VALUE"""),72.0)</f>
        <v>72</v>
      </c>
      <c r="N761" s="2" t="str">
        <f>IFERROR(__xludf.DUMMYFUNCTION("""COMPUTED_VALUE"""),"FALSO")</f>
        <v>FALSO</v>
      </c>
    </row>
    <row r="762">
      <c r="A762" s="2">
        <f>IFERROR(__xludf.DUMMYFUNCTION("""COMPUTED_VALUE"""),761.0)</f>
        <v>761</v>
      </c>
      <c r="B762" s="2" t="str">
        <f>IFERROR(__xludf.DUMMYFUNCTION("""COMPUTED_VALUE"""),"Dilly Kinnach")</f>
        <v>Dilly Kinnach</v>
      </c>
      <c r="C762" s="2" t="str">
        <f>IFERROR(__xludf.DUMMYFUNCTION("""COMPUTED_VALUE"""),"dkinnachl5@i2i.jp")</f>
        <v>dkinnachl5@i2i.jp</v>
      </c>
      <c r="D762" s="4">
        <f>IFERROR(__xludf.DUMMYFUNCTION("""COMPUTED_VALUE"""),29.0)</f>
        <v>29</v>
      </c>
      <c r="E762" s="4">
        <f>IFERROR(__xludf.DUMMYFUNCTION("""COMPUTED_VALUE"""),118.0)</f>
        <v>118</v>
      </c>
      <c r="F762" s="4">
        <f>IFERROR(__xludf.DUMMYFUNCTION("""COMPUTED_VALUE"""),9.0)</f>
        <v>9</v>
      </c>
      <c r="G762" s="4">
        <f>IFERROR(__xludf.DUMMYFUNCTION("""COMPUTED_VALUE"""),49.0)</f>
        <v>49</v>
      </c>
      <c r="H762" s="5">
        <f>IFERROR(__xludf.DUMMYFUNCTION("""COMPUTED_VALUE"""),572.31)</f>
        <v>572.31</v>
      </c>
      <c r="I762" s="5">
        <f>IFERROR(__xludf.DUMMYFUNCTION("""COMPUTED_VALUE"""),391.48)</f>
        <v>391.48</v>
      </c>
      <c r="J762" s="5">
        <f>IFERROR(__xludf.DUMMYFUNCTION("""COMPUTED_VALUE"""),8898.12)</f>
        <v>8898.12</v>
      </c>
      <c r="K762" s="5">
        <f>IFERROR(__xludf.DUMMYFUNCTION("""COMPUTED_VALUE"""),7736.28)</f>
        <v>7736.28</v>
      </c>
      <c r="L762" s="4">
        <f>IFERROR(__xludf.DUMMYFUNCTION("""COMPUTED_VALUE"""),16.0)</f>
        <v>16</v>
      </c>
      <c r="M762" s="4">
        <f>IFERROR(__xludf.DUMMYFUNCTION("""COMPUTED_VALUE"""),70.0)</f>
        <v>70</v>
      </c>
      <c r="N762" s="2" t="str">
        <f>IFERROR(__xludf.DUMMYFUNCTION("""COMPUTED_VALUE"""),"VERDADERO")</f>
        <v>VERDADERO</v>
      </c>
    </row>
    <row r="763">
      <c r="A763" s="2">
        <f>IFERROR(__xludf.DUMMYFUNCTION("""COMPUTED_VALUE"""),762.0)</f>
        <v>762</v>
      </c>
      <c r="B763" s="2" t="str">
        <f>IFERROR(__xludf.DUMMYFUNCTION("""COMPUTED_VALUE"""),"Alva Streeton")</f>
        <v>Alva Streeton</v>
      </c>
      <c r="C763" s="2" t="str">
        <f>IFERROR(__xludf.DUMMYFUNCTION("""COMPUTED_VALUE"""),"astreetonl6@sakura.ne.jp")</f>
        <v>astreetonl6@sakura.ne.jp</v>
      </c>
      <c r="D763" s="4">
        <f>IFERROR(__xludf.DUMMYFUNCTION("""COMPUTED_VALUE"""),153.0)</f>
        <v>153</v>
      </c>
      <c r="E763" s="4">
        <f>IFERROR(__xludf.DUMMYFUNCTION("""COMPUTED_VALUE"""),71.0)</f>
        <v>71</v>
      </c>
      <c r="F763" s="4">
        <f>IFERROR(__xludf.DUMMYFUNCTION("""COMPUTED_VALUE"""),6.0)</f>
        <v>6</v>
      </c>
      <c r="G763" s="4">
        <f>IFERROR(__xludf.DUMMYFUNCTION("""COMPUTED_VALUE"""),1052.0)</f>
        <v>1052</v>
      </c>
      <c r="H763" s="5">
        <f>IFERROR(__xludf.DUMMYFUNCTION("""COMPUTED_VALUE"""),6123.99)</f>
        <v>6123.99</v>
      </c>
      <c r="I763" s="5">
        <f>IFERROR(__xludf.DUMMYFUNCTION("""COMPUTED_VALUE"""),8276.53)</f>
        <v>8276.53</v>
      </c>
      <c r="J763" s="5">
        <f>IFERROR(__xludf.DUMMYFUNCTION("""COMPUTED_VALUE"""),6930.45)</f>
        <v>6930.45</v>
      </c>
      <c r="K763" s="5">
        <f>IFERROR(__xludf.DUMMYFUNCTION("""COMPUTED_VALUE"""),6962.23)</f>
        <v>6962.23</v>
      </c>
      <c r="L763" s="4">
        <f>IFERROR(__xludf.DUMMYFUNCTION("""COMPUTED_VALUE"""),8.0)</f>
        <v>8</v>
      </c>
      <c r="M763" s="4">
        <f>IFERROR(__xludf.DUMMYFUNCTION("""COMPUTED_VALUE"""),7.0)</f>
        <v>7</v>
      </c>
      <c r="N763" s="2" t="str">
        <f>IFERROR(__xludf.DUMMYFUNCTION("""COMPUTED_VALUE"""),"VERDADERO")</f>
        <v>VERDADERO</v>
      </c>
    </row>
    <row r="764">
      <c r="A764" s="2">
        <f>IFERROR(__xludf.DUMMYFUNCTION("""COMPUTED_VALUE"""),763.0)</f>
        <v>763</v>
      </c>
      <c r="B764" s="2" t="str">
        <f>IFERROR(__xludf.DUMMYFUNCTION("""COMPUTED_VALUE"""),"Meredeth Risbrough")</f>
        <v>Meredeth Risbrough</v>
      </c>
      <c r="C764" s="2" t="str">
        <f>IFERROR(__xludf.DUMMYFUNCTION("""COMPUTED_VALUE"""),"mrisbroughl7@gravatar.com")</f>
        <v>mrisbroughl7@gravatar.com</v>
      </c>
      <c r="D764" s="4">
        <f>IFERROR(__xludf.DUMMYFUNCTION("""COMPUTED_VALUE"""),124.0)</f>
        <v>124</v>
      </c>
      <c r="E764" s="4">
        <f>IFERROR(__xludf.DUMMYFUNCTION("""COMPUTED_VALUE"""),120.0)</f>
        <v>120</v>
      </c>
      <c r="F764" s="4">
        <f>IFERROR(__xludf.DUMMYFUNCTION("""COMPUTED_VALUE"""),5.0)</f>
        <v>5</v>
      </c>
      <c r="G764" s="4">
        <f>IFERROR(__xludf.DUMMYFUNCTION("""COMPUTED_VALUE"""),1509.0)</f>
        <v>1509</v>
      </c>
      <c r="H764" s="5">
        <f>IFERROR(__xludf.DUMMYFUNCTION("""COMPUTED_VALUE"""),1701.95)</f>
        <v>1701.95</v>
      </c>
      <c r="I764" s="5">
        <f>IFERROR(__xludf.DUMMYFUNCTION("""COMPUTED_VALUE"""),2649.49)</f>
        <v>2649.49</v>
      </c>
      <c r="J764" s="5">
        <f>IFERROR(__xludf.DUMMYFUNCTION("""COMPUTED_VALUE"""),4026.42)</f>
        <v>4026.42</v>
      </c>
      <c r="K764" s="5">
        <f>IFERROR(__xludf.DUMMYFUNCTION("""COMPUTED_VALUE"""),962.25)</f>
        <v>962.25</v>
      </c>
      <c r="L764" s="4">
        <f>IFERROR(__xludf.DUMMYFUNCTION("""COMPUTED_VALUE"""),1.0)</f>
        <v>1</v>
      </c>
      <c r="M764" s="4">
        <f>IFERROR(__xludf.DUMMYFUNCTION("""COMPUTED_VALUE"""),20.0)</f>
        <v>20</v>
      </c>
      <c r="N764" s="2" t="str">
        <f>IFERROR(__xludf.DUMMYFUNCTION("""COMPUTED_VALUE"""),"VERDADERO")</f>
        <v>VERDADERO</v>
      </c>
    </row>
    <row r="765">
      <c r="A765" s="2">
        <f>IFERROR(__xludf.DUMMYFUNCTION("""COMPUTED_VALUE"""),764.0)</f>
        <v>764</v>
      </c>
      <c r="B765" s="2" t="str">
        <f>IFERROR(__xludf.DUMMYFUNCTION("""COMPUTED_VALUE"""),"Billie Peetermann")</f>
        <v>Billie Peetermann</v>
      </c>
      <c r="C765" s="2" t="str">
        <f>IFERROR(__xludf.DUMMYFUNCTION("""COMPUTED_VALUE"""),"bpeetermannl8@mail.ru")</f>
        <v>bpeetermannl8@mail.ru</v>
      </c>
      <c r="D765" s="4">
        <f>IFERROR(__xludf.DUMMYFUNCTION("""COMPUTED_VALUE"""),131.0)</f>
        <v>131</v>
      </c>
      <c r="E765" s="4">
        <f>IFERROR(__xludf.DUMMYFUNCTION("""COMPUTED_VALUE"""),120.0)</f>
        <v>120</v>
      </c>
      <c r="F765" s="4">
        <f>IFERROR(__xludf.DUMMYFUNCTION("""COMPUTED_VALUE"""),5.0)</f>
        <v>5</v>
      </c>
      <c r="G765" s="4">
        <f>IFERROR(__xludf.DUMMYFUNCTION("""COMPUTED_VALUE"""),1454.0)</f>
        <v>1454</v>
      </c>
      <c r="H765" s="5">
        <f>IFERROR(__xludf.DUMMYFUNCTION("""COMPUTED_VALUE"""),9931.26)</f>
        <v>9931.26</v>
      </c>
      <c r="I765" s="5">
        <f>IFERROR(__xludf.DUMMYFUNCTION("""COMPUTED_VALUE"""),8767.03)</f>
        <v>8767.03</v>
      </c>
      <c r="J765" s="5">
        <f>IFERROR(__xludf.DUMMYFUNCTION("""COMPUTED_VALUE"""),8287.97)</f>
        <v>8287.97</v>
      </c>
      <c r="K765" s="5">
        <f>IFERROR(__xludf.DUMMYFUNCTION("""COMPUTED_VALUE"""),912.56)</f>
        <v>912.56</v>
      </c>
      <c r="L765" s="4">
        <f>IFERROR(__xludf.DUMMYFUNCTION("""COMPUTED_VALUE"""),16.0)</f>
        <v>16</v>
      </c>
      <c r="M765" s="4">
        <f>IFERROR(__xludf.DUMMYFUNCTION("""COMPUTED_VALUE"""),67.0)</f>
        <v>67</v>
      </c>
      <c r="N765" s="2" t="str">
        <f>IFERROR(__xludf.DUMMYFUNCTION("""COMPUTED_VALUE"""),"FALSO")</f>
        <v>FALSO</v>
      </c>
    </row>
    <row r="766">
      <c r="A766" s="2">
        <f>IFERROR(__xludf.DUMMYFUNCTION("""COMPUTED_VALUE"""),765.0)</f>
        <v>765</v>
      </c>
      <c r="B766" s="2" t="str">
        <f>IFERROR(__xludf.DUMMYFUNCTION("""COMPUTED_VALUE"""),"Derry Clarkson")</f>
        <v>Derry Clarkson</v>
      </c>
      <c r="C766" s="2" t="str">
        <f>IFERROR(__xludf.DUMMYFUNCTION("""COMPUTED_VALUE"""),"dclarksonl9@netscape.com")</f>
        <v>dclarksonl9@netscape.com</v>
      </c>
      <c r="D766" s="4">
        <f>IFERROR(__xludf.DUMMYFUNCTION("""COMPUTED_VALUE"""),2.0)</f>
        <v>2</v>
      </c>
      <c r="E766" s="4">
        <f>IFERROR(__xludf.DUMMYFUNCTION("""COMPUTED_VALUE"""),81.0)</f>
        <v>81</v>
      </c>
      <c r="F766" s="4">
        <f>IFERROR(__xludf.DUMMYFUNCTION("""COMPUTED_VALUE"""),2.0)</f>
        <v>2</v>
      </c>
      <c r="G766" s="4">
        <f>IFERROR(__xludf.DUMMYFUNCTION("""COMPUTED_VALUE"""),73.0)</f>
        <v>73</v>
      </c>
      <c r="H766" s="5">
        <f>IFERROR(__xludf.DUMMYFUNCTION("""COMPUTED_VALUE"""),2813.04)</f>
        <v>2813.04</v>
      </c>
      <c r="I766" s="5">
        <f>IFERROR(__xludf.DUMMYFUNCTION("""COMPUTED_VALUE"""),8729.57)</f>
        <v>8729.57</v>
      </c>
      <c r="J766" s="5">
        <f>IFERROR(__xludf.DUMMYFUNCTION("""COMPUTED_VALUE"""),6983.67)</f>
        <v>6983.67</v>
      </c>
      <c r="K766" s="5">
        <f>IFERROR(__xludf.DUMMYFUNCTION("""COMPUTED_VALUE"""),3587.95)</f>
        <v>3587.95</v>
      </c>
      <c r="L766" s="4">
        <f>IFERROR(__xludf.DUMMYFUNCTION("""COMPUTED_VALUE"""),5.0)</f>
        <v>5</v>
      </c>
      <c r="M766" s="4">
        <f>IFERROR(__xludf.DUMMYFUNCTION("""COMPUTED_VALUE"""),80.0)</f>
        <v>80</v>
      </c>
      <c r="N766" s="2" t="str">
        <f>IFERROR(__xludf.DUMMYFUNCTION("""COMPUTED_VALUE"""),"FALSO")</f>
        <v>FALSO</v>
      </c>
    </row>
    <row r="767">
      <c r="A767" s="2">
        <f>IFERROR(__xludf.DUMMYFUNCTION("""COMPUTED_VALUE"""),766.0)</f>
        <v>766</v>
      </c>
      <c r="B767" s="2" t="str">
        <f>IFERROR(__xludf.DUMMYFUNCTION("""COMPUTED_VALUE"""),"Saxon Stennings")</f>
        <v>Saxon Stennings</v>
      </c>
      <c r="C767" s="2" t="str">
        <f>IFERROR(__xludf.DUMMYFUNCTION("""COMPUTED_VALUE"""),"sstenningsla@geocities.com")</f>
        <v>sstenningsla@geocities.com</v>
      </c>
      <c r="D767" s="4">
        <f>IFERROR(__xludf.DUMMYFUNCTION("""COMPUTED_VALUE"""),29.0)</f>
        <v>29</v>
      </c>
      <c r="E767" s="4">
        <f>IFERROR(__xludf.DUMMYFUNCTION("""COMPUTED_VALUE"""),23.0)</f>
        <v>23</v>
      </c>
      <c r="F767" s="4">
        <f>IFERROR(__xludf.DUMMYFUNCTION("""COMPUTED_VALUE"""),5.0)</f>
        <v>5</v>
      </c>
      <c r="G767" s="4">
        <f>IFERROR(__xludf.DUMMYFUNCTION("""COMPUTED_VALUE"""),128.0)</f>
        <v>128</v>
      </c>
      <c r="H767" s="5">
        <f>IFERROR(__xludf.DUMMYFUNCTION("""COMPUTED_VALUE"""),2100.98)</f>
        <v>2100.98</v>
      </c>
      <c r="I767" s="5">
        <f>IFERROR(__xludf.DUMMYFUNCTION("""COMPUTED_VALUE"""),9418.09)</f>
        <v>9418.09</v>
      </c>
      <c r="J767" s="5">
        <f>IFERROR(__xludf.DUMMYFUNCTION("""COMPUTED_VALUE"""),9330.6)</f>
        <v>9330.6</v>
      </c>
      <c r="K767" s="5">
        <f>IFERROR(__xludf.DUMMYFUNCTION("""COMPUTED_VALUE"""),4778.59)</f>
        <v>4778.59</v>
      </c>
      <c r="L767" s="4">
        <f>IFERROR(__xludf.DUMMYFUNCTION("""COMPUTED_VALUE"""),9.0)</f>
        <v>9</v>
      </c>
      <c r="M767" s="4">
        <f>IFERROR(__xludf.DUMMYFUNCTION("""COMPUTED_VALUE"""),28.0)</f>
        <v>28</v>
      </c>
      <c r="N767" s="2" t="str">
        <f>IFERROR(__xludf.DUMMYFUNCTION("""COMPUTED_VALUE"""),"FALSO")</f>
        <v>FALSO</v>
      </c>
    </row>
    <row r="768">
      <c r="A768" s="2">
        <f>IFERROR(__xludf.DUMMYFUNCTION("""COMPUTED_VALUE"""),767.0)</f>
        <v>767</v>
      </c>
      <c r="B768" s="2" t="str">
        <f>IFERROR(__xludf.DUMMYFUNCTION("""COMPUTED_VALUE"""),"Yul Kleis")</f>
        <v>Yul Kleis</v>
      </c>
      <c r="C768" s="2" t="str">
        <f>IFERROR(__xludf.DUMMYFUNCTION("""COMPUTED_VALUE"""),"ykleislb@tumblr.com")</f>
        <v>ykleislb@tumblr.com</v>
      </c>
      <c r="D768" s="4">
        <f>IFERROR(__xludf.DUMMYFUNCTION("""COMPUTED_VALUE"""),120.0)</f>
        <v>120</v>
      </c>
      <c r="E768" s="4">
        <f>IFERROR(__xludf.DUMMYFUNCTION("""COMPUTED_VALUE"""),77.0)</f>
        <v>77</v>
      </c>
      <c r="F768" s="4">
        <f>IFERROR(__xludf.DUMMYFUNCTION("""COMPUTED_VALUE"""),10.0)</f>
        <v>10</v>
      </c>
      <c r="G768" s="4">
        <f>IFERROR(__xludf.DUMMYFUNCTION("""COMPUTED_VALUE"""),1059.0)</f>
        <v>1059</v>
      </c>
      <c r="H768" s="5">
        <f>IFERROR(__xludf.DUMMYFUNCTION("""COMPUTED_VALUE"""),6893.25)</f>
        <v>6893.25</v>
      </c>
      <c r="I768" s="5">
        <f>IFERROR(__xludf.DUMMYFUNCTION("""COMPUTED_VALUE"""),3565.13)</f>
        <v>3565.13</v>
      </c>
      <c r="J768" s="5">
        <f>IFERROR(__xludf.DUMMYFUNCTION("""COMPUTED_VALUE"""),4645.74)</f>
        <v>4645.74</v>
      </c>
      <c r="K768" s="5">
        <f>IFERROR(__xludf.DUMMYFUNCTION("""COMPUTED_VALUE"""),6429.42)</f>
        <v>6429.42</v>
      </c>
      <c r="L768" s="4">
        <f>IFERROR(__xludf.DUMMYFUNCTION("""COMPUTED_VALUE"""),13.0)</f>
        <v>13</v>
      </c>
      <c r="M768" s="4">
        <f>IFERROR(__xludf.DUMMYFUNCTION("""COMPUTED_VALUE"""),59.0)</f>
        <v>59</v>
      </c>
      <c r="N768" s="2" t="str">
        <f>IFERROR(__xludf.DUMMYFUNCTION("""COMPUTED_VALUE"""),"FALSO")</f>
        <v>FALSO</v>
      </c>
    </row>
    <row r="769">
      <c r="A769" s="2">
        <f>IFERROR(__xludf.DUMMYFUNCTION("""COMPUTED_VALUE"""),768.0)</f>
        <v>768</v>
      </c>
      <c r="B769" s="2" t="str">
        <f>IFERROR(__xludf.DUMMYFUNCTION("""COMPUTED_VALUE"""),"Marcelo Martinovic")</f>
        <v>Marcelo Martinovic</v>
      </c>
      <c r="C769" s="2" t="str">
        <f>IFERROR(__xludf.DUMMYFUNCTION("""COMPUTED_VALUE"""),"mmartinoviclc@godaddy.com")</f>
        <v>mmartinoviclc@godaddy.com</v>
      </c>
      <c r="D769" s="4">
        <f>IFERROR(__xludf.DUMMYFUNCTION("""COMPUTED_VALUE"""),41.0)</f>
        <v>41</v>
      </c>
      <c r="E769" s="4">
        <f>IFERROR(__xludf.DUMMYFUNCTION("""COMPUTED_VALUE"""),81.0)</f>
        <v>81</v>
      </c>
      <c r="F769" s="4">
        <f>IFERROR(__xludf.DUMMYFUNCTION("""COMPUTED_VALUE"""),2.0)</f>
        <v>2</v>
      </c>
      <c r="G769" s="4">
        <f>IFERROR(__xludf.DUMMYFUNCTION("""COMPUTED_VALUE"""),564.0)</f>
        <v>564</v>
      </c>
      <c r="H769" s="5">
        <f>IFERROR(__xludf.DUMMYFUNCTION("""COMPUTED_VALUE"""),1841.46)</f>
        <v>1841.46</v>
      </c>
      <c r="I769" s="5">
        <f>IFERROR(__xludf.DUMMYFUNCTION("""COMPUTED_VALUE"""),5763.43)</f>
        <v>5763.43</v>
      </c>
      <c r="J769" s="5">
        <f>IFERROR(__xludf.DUMMYFUNCTION("""COMPUTED_VALUE"""),2165.32)</f>
        <v>2165.32</v>
      </c>
      <c r="K769" s="5">
        <f>IFERROR(__xludf.DUMMYFUNCTION("""COMPUTED_VALUE"""),6944.16)</f>
        <v>6944.16</v>
      </c>
      <c r="L769" s="4">
        <f>IFERROR(__xludf.DUMMYFUNCTION("""COMPUTED_VALUE"""),13.0)</f>
        <v>13</v>
      </c>
      <c r="M769" s="4">
        <f>IFERROR(__xludf.DUMMYFUNCTION("""COMPUTED_VALUE"""),3.0)</f>
        <v>3</v>
      </c>
      <c r="N769" s="2" t="str">
        <f>IFERROR(__xludf.DUMMYFUNCTION("""COMPUTED_VALUE"""),"VERDADERO")</f>
        <v>VERDADERO</v>
      </c>
    </row>
    <row r="770">
      <c r="A770" s="2">
        <f>IFERROR(__xludf.DUMMYFUNCTION("""COMPUTED_VALUE"""),769.0)</f>
        <v>769</v>
      </c>
      <c r="B770" s="2" t="str">
        <f>IFERROR(__xludf.DUMMYFUNCTION("""COMPUTED_VALUE"""),"Aubert Torrijos")</f>
        <v>Aubert Torrijos</v>
      </c>
      <c r="C770" s="2" t="str">
        <f>IFERROR(__xludf.DUMMYFUNCTION("""COMPUTED_VALUE"""),"atorrijosld@sun.com")</f>
        <v>atorrijosld@sun.com</v>
      </c>
      <c r="D770" s="4">
        <f>IFERROR(__xludf.DUMMYFUNCTION("""COMPUTED_VALUE"""),62.0)</f>
        <v>62</v>
      </c>
      <c r="E770" s="4">
        <f>IFERROR(__xludf.DUMMYFUNCTION("""COMPUTED_VALUE"""),73.0)</f>
        <v>73</v>
      </c>
      <c r="F770" s="4">
        <f>IFERROR(__xludf.DUMMYFUNCTION("""COMPUTED_VALUE"""),8.0)</f>
        <v>8</v>
      </c>
      <c r="G770" s="4">
        <f>IFERROR(__xludf.DUMMYFUNCTION("""COMPUTED_VALUE"""),1008.0)</f>
        <v>1008</v>
      </c>
      <c r="H770" s="5">
        <f>IFERROR(__xludf.DUMMYFUNCTION("""COMPUTED_VALUE"""),1162.76)</f>
        <v>1162.76</v>
      </c>
      <c r="I770" s="5">
        <f>IFERROR(__xludf.DUMMYFUNCTION("""COMPUTED_VALUE"""),1017.08)</f>
        <v>1017.08</v>
      </c>
      <c r="J770" s="5">
        <f>IFERROR(__xludf.DUMMYFUNCTION("""COMPUTED_VALUE"""),2493.53)</f>
        <v>2493.53</v>
      </c>
      <c r="K770" s="5">
        <f>IFERROR(__xludf.DUMMYFUNCTION("""COMPUTED_VALUE"""),776.57)</f>
        <v>776.57</v>
      </c>
      <c r="L770" s="4">
        <f>IFERROR(__xludf.DUMMYFUNCTION("""COMPUTED_VALUE"""),12.0)</f>
        <v>12</v>
      </c>
      <c r="M770" s="4">
        <f>IFERROR(__xludf.DUMMYFUNCTION("""COMPUTED_VALUE"""),74.0)</f>
        <v>74</v>
      </c>
      <c r="N770" s="2" t="str">
        <f>IFERROR(__xludf.DUMMYFUNCTION("""COMPUTED_VALUE"""),"VERDADERO")</f>
        <v>VERDADERO</v>
      </c>
    </row>
    <row r="771">
      <c r="A771" s="2">
        <f>IFERROR(__xludf.DUMMYFUNCTION("""COMPUTED_VALUE"""),770.0)</f>
        <v>770</v>
      </c>
      <c r="B771" s="2" t="str">
        <f>IFERROR(__xludf.DUMMYFUNCTION("""COMPUTED_VALUE"""),"Mead Mithan")</f>
        <v>Mead Mithan</v>
      </c>
      <c r="C771" s="2" t="str">
        <f>IFERROR(__xludf.DUMMYFUNCTION("""COMPUTED_VALUE"""),"mmithanle@blogger.com")</f>
        <v>mmithanle@blogger.com</v>
      </c>
      <c r="D771" s="4">
        <f>IFERROR(__xludf.DUMMYFUNCTION("""COMPUTED_VALUE"""),137.0)</f>
        <v>137</v>
      </c>
      <c r="E771" s="4">
        <f>IFERROR(__xludf.DUMMYFUNCTION("""COMPUTED_VALUE"""),64.0)</f>
        <v>64</v>
      </c>
      <c r="F771" s="4">
        <f>IFERROR(__xludf.DUMMYFUNCTION("""COMPUTED_VALUE"""),4.0)</f>
        <v>4</v>
      </c>
      <c r="G771" s="4">
        <f>IFERROR(__xludf.DUMMYFUNCTION("""COMPUTED_VALUE"""),545.0)</f>
        <v>545</v>
      </c>
      <c r="H771" s="5">
        <f>IFERROR(__xludf.DUMMYFUNCTION("""COMPUTED_VALUE"""),9694.77)</f>
        <v>9694.77</v>
      </c>
      <c r="I771" s="5">
        <f>IFERROR(__xludf.DUMMYFUNCTION("""COMPUTED_VALUE"""),9061.91)</f>
        <v>9061.91</v>
      </c>
      <c r="J771" s="5">
        <f>IFERROR(__xludf.DUMMYFUNCTION("""COMPUTED_VALUE"""),6359.74)</f>
        <v>6359.74</v>
      </c>
      <c r="K771" s="5">
        <f>IFERROR(__xludf.DUMMYFUNCTION("""COMPUTED_VALUE"""),1017.12)</f>
        <v>1017.12</v>
      </c>
      <c r="L771" s="4">
        <f>IFERROR(__xludf.DUMMYFUNCTION("""COMPUTED_VALUE"""),3.0)</f>
        <v>3</v>
      </c>
      <c r="M771" s="4">
        <f>IFERROR(__xludf.DUMMYFUNCTION("""COMPUTED_VALUE"""),32.0)</f>
        <v>32</v>
      </c>
      <c r="N771" s="2" t="str">
        <f>IFERROR(__xludf.DUMMYFUNCTION("""COMPUTED_VALUE"""),"VERDADERO")</f>
        <v>VERDADERO</v>
      </c>
    </row>
    <row r="772">
      <c r="A772" s="2">
        <f>IFERROR(__xludf.DUMMYFUNCTION("""COMPUTED_VALUE"""),771.0)</f>
        <v>771</v>
      </c>
      <c r="B772" s="2" t="str">
        <f>IFERROR(__xludf.DUMMYFUNCTION("""COMPUTED_VALUE"""),"Gigi Jacson")</f>
        <v>Gigi Jacson</v>
      </c>
      <c r="C772" s="2" t="str">
        <f>IFERROR(__xludf.DUMMYFUNCTION("""COMPUTED_VALUE"""),"gjacsonlf@webmd.com")</f>
        <v>gjacsonlf@webmd.com</v>
      </c>
      <c r="D772" s="4">
        <f>IFERROR(__xludf.DUMMYFUNCTION("""COMPUTED_VALUE"""),89.0)</f>
        <v>89</v>
      </c>
      <c r="E772" s="4">
        <f>IFERROR(__xludf.DUMMYFUNCTION("""COMPUTED_VALUE"""),107.0)</f>
        <v>107</v>
      </c>
      <c r="F772" s="4">
        <f>IFERROR(__xludf.DUMMYFUNCTION("""COMPUTED_VALUE"""),5.0)</f>
        <v>5</v>
      </c>
      <c r="G772" s="4">
        <f>IFERROR(__xludf.DUMMYFUNCTION("""COMPUTED_VALUE"""),1065.0)</f>
        <v>1065</v>
      </c>
      <c r="H772" s="5">
        <f>IFERROR(__xludf.DUMMYFUNCTION("""COMPUTED_VALUE"""),2565.12)</f>
        <v>2565.12</v>
      </c>
      <c r="I772" s="5">
        <f>IFERROR(__xludf.DUMMYFUNCTION("""COMPUTED_VALUE"""),7307.35)</f>
        <v>7307.35</v>
      </c>
      <c r="J772" s="5">
        <f>IFERROR(__xludf.DUMMYFUNCTION("""COMPUTED_VALUE"""),4701.06)</f>
        <v>4701.06</v>
      </c>
      <c r="K772" s="5">
        <f>IFERROR(__xludf.DUMMYFUNCTION("""COMPUTED_VALUE"""),9325.57)</f>
        <v>9325.57</v>
      </c>
      <c r="L772" s="4">
        <f>IFERROR(__xludf.DUMMYFUNCTION("""COMPUTED_VALUE"""),15.0)</f>
        <v>15</v>
      </c>
      <c r="M772" s="4">
        <f>IFERROR(__xludf.DUMMYFUNCTION("""COMPUTED_VALUE"""),10.0)</f>
        <v>10</v>
      </c>
      <c r="N772" s="2" t="str">
        <f>IFERROR(__xludf.DUMMYFUNCTION("""COMPUTED_VALUE"""),"VERDADERO")</f>
        <v>VERDADERO</v>
      </c>
    </row>
    <row r="773">
      <c r="A773" s="2">
        <f>IFERROR(__xludf.DUMMYFUNCTION("""COMPUTED_VALUE"""),772.0)</f>
        <v>772</v>
      </c>
      <c r="B773" s="2" t="str">
        <f>IFERROR(__xludf.DUMMYFUNCTION("""COMPUTED_VALUE"""),"Davey Lowten")</f>
        <v>Davey Lowten</v>
      </c>
      <c r="C773" s="2" t="str">
        <f>IFERROR(__xludf.DUMMYFUNCTION("""COMPUTED_VALUE"""),"dlowtenlg@yelp.com")</f>
        <v>dlowtenlg@yelp.com</v>
      </c>
      <c r="D773" s="4">
        <f>IFERROR(__xludf.DUMMYFUNCTION("""COMPUTED_VALUE"""),17.0)</f>
        <v>17</v>
      </c>
      <c r="E773" s="4">
        <f>IFERROR(__xludf.DUMMYFUNCTION("""COMPUTED_VALUE"""),85.0)</f>
        <v>85</v>
      </c>
      <c r="F773" s="4">
        <f>IFERROR(__xludf.DUMMYFUNCTION("""COMPUTED_VALUE"""),3.0)</f>
        <v>3</v>
      </c>
      <c r="G773" s="4">
        <f>IFERROR(__xludf.DUMMYFUNCTION("""COMPUTED_VALUE"""),932.0)</f>
        <v>932</v>
      </c>
      <c r="H773" s="5">
        <f>IFERROR(__xludf.DUMMYFUNCTION("""COMPUTED_VALUE"""),4177.83)</f>
        <v>4177.83</v>
      </c>
      <c r="I773" s="5">
        <f>IFERROR(__xludf.DUMMYFUNCTION("""COMPUTED_VALUE"""),4405.8)</f>
        <v>4405.8</v>
      </c>
      <c r="J773" s="5">
        <f>IFERROR(__xludf.DUMMYFUNCTION("""COMPUTED_VALUE"""),5012.47)</f>
        <v>5012.47</v>
      </c>
      <c r="K773" s="5">
        <f>IFERROR(__xludf.DUMMYFUNCTION("""COMPUTED_VALUE"""),9524.36)</f>
        <v>9524.36</v>
      </c>
      <c r="L773" s="4">
        <f>IFERROR(__xludf.DUMMYFUNCTION("""COMPUTED_VALUE"""),11.0)</f>
        <v>11</v>
      </c>
      <c r="M773" s="4">
        <f>IFERROR(__xludf.DUMMYFUNCTION("""COMPUTED_VALUE"""),79.0)</f>
        <v>79</v>
      </c>
      <c r="N773" s="2" t="str">
        <f>IFERROR(__xludf.DUMMYFUNCTION("""COMPUTED_VALUE"""),"FALSO")</f>
        <v>FALSO</v>
      </c>
    </row>
    <row r="774">
      <c r="A774" s="2">
        <f>IFERROR(__xludf.DUMMYFUNCTION("""COMPUTED_VALUE"""),773.0)</f>
        <v>773</v>
      </c>
      <c r="B774" s="2" t="str">
        <f>IFERROR(__xludf.DUMMYFUNCTION("""COMPUTED_VALUE"""),"Ludovika Barnson")</f>
        <v>Ludovika Barnson</v>
      </c>
      <c r="C774" s="2" t="str">
        <f>IFERROR(__xludf.DUMMYFUNCTION("""COMPUTED_VALUE"""),"lbarnsonlh@alexa.com")</f>
        <v>lbarnsonlh@alexa.com</v>
      </c>
      <c r="D774" s="4">
        <f>IFERROR(__xludf.DUMMYFUNCTION("""COMPUTED_VALUE"""),5.0)</f>
        <v>5</v>
      </c>
      <c r="E774" s="4">
        <f>IFERROR(__xludf.DUMMYFUNCTION("""COMPUTED_VALUE"""),122.0)</f>
        <v>122</v>
      </c>
      <c r="F774" s="4">
        <f>IFERROR(__xludf.DUMMYFUNCTION("""COMPUTED_VALUE"""),5.0)</f>
        <v>5</v>
      </c>
      <c r="G774" s="4">
        <f>IFERROR(__xludf.DUMMYFUNCTION("""COMPUTED_VALUE"""),623.0)</f>
        <v>623</v>
      </c>
      <c r="H774" s="5">
        <f>IFERROR(__xludf.DUMMYFUNCTION("""COMPUTED_VALUE"""),6981.93)</f>
        <v>6981.93</v>
      </c>
      <c r="I774" s="5">
        <f>IFERROR(__xludf.DUMMYFUNCTION("""COMPUTED_VALUE"""),3285.98)</f>
        <v>3285.98</v>
      </c>
      <c r="J774" s="5">
        <f>IFERROR(__xludf.DUMMYFUNCTION("""COMPUTED_VALUE"""),7096.12)</f>
        <v>7096.12</v>
      </c>
      <c r="K774" s="5">
        <f>IFERROR(__xludf.DUMMYFUNCTION("""COMPUTED_VALUE"""),6331.55)</f>
        <v>6331.55</v>
      </c>
      <c r="L774" s="4">
        <f>IFERROR(__xludf.DUMMYFUNCTION("""COMPUTED_VALUE"""),6.0)</f>
        <v>6</v>
      </c>
      <c r="M774" s="4">
        <f>IFERROR(__xludf.DUMMYFUNCTION("""COMPUTED_VALUE"""),4.0)</f>
        <v>4</v>
      </c>
      <c r="N774" s="2" t="str">
        <f>IFERROR(__xludf.DUMMYFUNCTION("""COMPUTED_VALUE"""),"FALSO")</f>
        <v>FALSO</v>
      </c>
    </row>
    <row r="775">
      <c r="A775" s="2">
        <f>IFERROR(__xludf.DUMMYFUNCTION("""COMPUTED_VALUE"""),774.0)</f>
        <v>774</v>
      </c>
      <c r="B775" s="2" t="str">
        <f>IFERROR(__xludf.DUMMYFUNCTION("""COMPUTED_VALUE"""),"Ron Paulmann")</f>
        <v>Ron Paulmann</v>
      </c>
      <c r="C775" s="2" t="str">
        <f>IFERROR(__xludf.DUMMYFUNCTION("""COMPUTED_VALUE"""),"rpaulmannli@engadget.com")</f>
        <v>rpaulmannli@engadget.com</v>
      </c>
      <c r="D775" s="4">
        <f>IFERROR(__xludf.DUMMYFUNCTION("""COMPUTED_VALUE"""),137.0)</f>
        <v>137</v>
      </c>
      <c r="E775" s="4">
        <f>IFERROR(__xludf.DUMMYFUNCTION("""COMPUTED_VALUE"""),11.0)</f>
        <v>11</v>
      </c>
      <c r="F775" s="4">
        <f>IFERROR(__xludf.DUMMYFUNCTION("""COMPUTED_VALUE"""),13.0)</f>
        <v>13</v>
      </c>
      <c r="G775" s="4">
        <f>IFERROR(__xludf.DUMMYFUNCTION("""COMPUTED_VALUE"""),1569.0)</f>
        <v>1569</v>
      </c>
      <c r="H775" s="5">
        <f>IFERROR(__xludf.DUMMYFUNCTION("""COMPUTED_VALUE"""),6015.45)</f>
        <v>6015.45</v>
      </c>
      <c r="I775" s="5">
        <f>IFERROR(__xludf.DUMMYFUNCTION("""COMPUTED_VALUE"""),2131.44)</f>
        <v>2131.44</v>
      </c>
      <c r="J775" s="5">
        <f>IFERROR(__xludf.DUMMYFUNCTION("""COMPUTED_VALUE"""),7683.77)</f>
        <v>7683.77</v>
      </c>
      <c r="K775" s="5">
        <f>IFERROR(__xludf.DUMMYFUNCTION("""COMPUTED_VALUE"""),4738.13)</f>
        <v>4738.13</v>
      </c>
      <c r="L775" s="4">
        <f>IFERROR(__xludf.DUMMYFUNCTION("""COMPUTED_VALUE"""),5.0)</f>
        <v>5</v>
      </c>
      <c r="M775" s="4">
        <f>IFERROR(__xludf.DUMMYFUNCTION("""COMPUTED_VALUE"""),92.0)</f>
        <v>92</v>
      </c>
      <c r="N775" s="2" t="str">
        <f>IFERROR(__xludf.DUMMYFUNCTION("""COMPUTED_VALUE"""),"VERDADERO")</f>
        <v>VERDADERO</v>
      </c>
    </row>
    <row r="776">
      <c r="A776" s="2">
        <f>IFERROR(__xludf.DUMMYFUNCTION("""COMPUTED_VALUE"""),775.0)</f>
        <v>775</v>
      </c>
      <c r="B776" s="2" t="str">
        <f>IFERROR(__xludf.DUMMYFUNCTION("""COMPUTED_VALUE"""),"Daphna Rigge")</f>
        <v>Daphna Rigge</v>
      </c>
      <c r="C776" s="2" t="str">
        <f>IFERROR(__xludf.DUMMYFUNCTION("""COMPUTED_VALUE"""),"driggelj@home.pl")</f>
        <v>driggelj@home.pl</v>
      </c>
      <c r="D776" s="4">
        <f>IFERROR(__xludf.DUMMYFUNCTION("""COMPUTED_VALUE"""),65.0)</f>
        <v>65</v>
      </c>
      <c r="E776" s="4">
        <f>IFERROR(__xludf.DUMMYFUNCTION("""COMPUTED_VALUE"""),64.0)</f>
        <v>64</v>
      </c>
      <c r="F776" s="4">
        <f>IFERROR(__xludf.DUMMYFUNCTION("""COMPUTED_VALUE"""),4.0)</f>
        <v>4</v>
      </c>
      <c r="G776" s="4">
        <f>IFERROR(__xludf.DUMMYFUNCTION("""COMPUTED_VALUE"""),715.0)</f>
        <v>715</v>
      </c>
      <c r="H776" s="5">
        <f>IFERROR(__xludf.DUMMYFUNCTION("""COMPUTED_VALUE"""),636.99)</f>
        <v>636.99</v>
      </c>
      <c r="I776" s="5">
        <f>IFERROR(__xludf.DUMMYFUNCTION("""COMPUTED_VALUE"""),9709.45)</f>
        <v>9709.45</v>
      </c>
      <c r="J776" s="5">
        <f>IFERROR(__xludf.DUMMYFUNCTION("""COMPUTED_VALUE"""),9699.76)</f>
        <v>9699.76</v>
      </c>
      <c r="K776" s="5">
        <f>IFERROR(__xludf.DUMMYFUNCTION("""COMPUTED_VALUE"""),3093.07)</f>
        <v>3093.07</v>
      </c>
      <c r="L776" s="4">
        <f>IFERROR(__xludf.DUMMYFUNCTION("""COMPUTED_VALUE"""),4.0)</f>
        <v>4</v>
      </c>
      <c r="M776" s="4">
        <f>IFERROR(__xludf.DUMMYFUNCTION("""COMPUTED_VALUE"""),14.0)</f>
        <v>14</v>
      </c>
      <c r="N776" s="2" t="str">
        <f>IFERROR(__xludf.DUMMYFUNCTION("""COMPUTED_VALUE"""),"FALSO")</f>
        <v>FALSO</v>
      </c>
    </row>
    <row r="777">
      <c r="A777" s="2">
        <f>IFERROR(__xludf.DUMMYFUNCTION("""COMPUTED_VALUE"""),776.0)</f>
        <v>776</v>
      </c>
      <c r="B777" s="2" t="str">
        <f>IFERROR(__xludf.DUMMYFUNCTION("""COMPUTED_VALUE"""),"Karlee Wilcott")</f>
        <v>Karlee Wilcott</v>
      </c>
      <c r="C777" s="2" t="str">
        <f>IFERROR(__xludf.DUMMYFUNCTION("""COMPUTED_VALUE"""),"kwilcottlk@pen.io")</f>
        <v>kwilcottlk@pen.io</v>
      </c>
      <c r="D777" s="4">
        <f>IFERROR(__xludf.DUMMYFUNCTION("""COMPUTED_VALUE"""),29.0)</f>
        <v>29</v>
      </c>
      <c r="E777" s="4">
        <f>IFERROR(__xludf.DUMMYFUNCTION("""COMPUTED_VALUE"""),39.0)</f>
        <v>39</v>
      </c>
      <c r="F777" s="4">
        <f>IFERROR(__xludf.DUMMYFUNCTION("""COMPUTED_VALUE"""),11.0)</f>
        <v>11</v>
      </c>
      <c r="G777" s="4">
        <f>IFERROR(__xludf.DUMMYFUNCTION("""COMPUTED_VALUE"""),854.0)</f>
        <v>854</v>
      </c>
      <c r="H777" s="5">
        <f>IFERROR(__xludf.DUMMYFUNCTION("""COMPUTED_VALUE"""),4012.83)</f>
        <v>4012.83</v>
      </c>
      <c r="I777" s="5">
        <f>IFERROR(__xludf.DUMMYFUNCTION("""COMPUTED_VALUE"""),6517.52)</f>
        <v>6517.52</v>
      </c>
      <c r="J777" s="5">
        <f>IFERROR(__xludf.DUMMYFUNCTION("""COMPUTED_VALUE"""),2663.48)</f>
        <v>2663.48</v>
      </c>
      <c r="K777" s="5">
        <f>IFERROR(__xludf.DUMMYFUNCTION("""COMPUTED_VALUE"""),9163.1)</f>
        <v>9163.1</v>
      </c>
      <c r="L777" s="4">
        <f>IFERROR(__xludf.DUMMYFUNCTION("""COMPUTED_VALUE"""),8.0)</f>
        <v>8</v>
      </c>
      <c r="M777" s="4">
        <f>IFERROR(__xludf.DUMMYFUNCTION("""COMPUTED_VALUE"""),11.0)</f>
        <v>11</v>
      </c>
      <c r="N777" s="2" t="str">
        <f>IFERROR(__xludf.DUMMYFUNCTION("""COMPUTED_VALUE"""),"VERDADERO")</f>
        <v>VERDADERO</v>
      </c>
    </row>
    <row r="778">
      <c r="A778" s="2">
        <f>IFERROR(__xludf.DUMMYFUNCTION("""COMPUTED_VALUE"""),777.0)</f>
        <v>777</v>
      </c>
      <c r="B778" s="2" t="str">
        <f>IFERROR(__xludf.DUMMYFUNCTION("""COMPUTED_VALUE"""),"Hollis Skettles")</f>
        <v>Hollis Skettles</v>
      </c>
      <c r="C778" s="2" t="str">
        <f>IFERROR(__xludf.DUMMYFUNCTION("""COMPUTED_VALUE"""),"hskettlesll@de.vu")</f>
        <v>hskettlesll@de.vu</v>
      </c>
      <c r="D778" s="4">
        <f>IFERROR(__xludf.DUMMYFUNCTION("""COMPUTED_VALUE"""),122.0)</f>
        <v>122</v>
      </c>
      <c r="E778" s="4">
        <f>IFERROR(__xludf.DUMMYFUNCTION("""COMPUTED_VALUE"""),42.0)</f>
        <v>42</v>
      </c>
      <c r="F778" s="4">
        <f>IFERROR(__xludf.DUMMYFUNCTION("""COMPUTED_VALUE"""),11.0)</f>
        <v>11</v>
      </c>
      <c r="G778" s="4">
        <f>IFERROR(__xludf.DUMMYFUNCTION("""COMPUTED_VALUE"""),953.0)</f>
        <v>953</v>
      </c>
      <c r="H778" s="5">
        <f>IFERROR(__xludf.DUMMYFUNCTION("""COMPUTED_VALUE"""),5066.12)</f>
        <v>5066.12</v>
      </c>
      <c r="I778" s="5">
        <f>IFERROR(__xludf.DUMMYFUNCTION("""COMPUTED_VALUE"""),4022.43)</f>
        <v>4022.43</v>
      </c>
      <c r="J778" s="5">
        <f>IFERROR(__xludf.DUMMYFUNCTION("""COMPUTED_VALUE"""),58.63)</f>
        <v>58.63</v>
      </c>
      <c r="K778" s="5">
        <f>IFERROR(__xludf.DUMMYFUNCTION("""COMPUTED_VALUE"""),6961.02)</f>
        <v>6961.02</v>
      </c>
      <c r="L778" s="4">
        <f>IFERROR(__xludf.DUMMYFUNCTION("""COMPUTED_VALUE"""),10.0)</f>
        <v>10</v>
      </c>
      <c r="M778" s="4">
        <f>IFERROR(__xludf.DUMMYFUNCTION("""COMPUTED_VALUE"""),69.0)</f>
        <v>69</v>
      </c>
      <c r="N778" s="2" t="str">
        <f>IFERROR(__xludf.DUMMYFUNCTION("""COMPUTED_VALUE"""),"VERDADERO")</f>
        <v>VERDADERO</v>
      </c>
    </row>
    <row r="779">
      <c r="A779" s="2">
        <f>IFERROR(__xludf.DUMMYFUNCTION("""COMPUTED_VALUE"""),778.0)</f>
        <v>778</v>
      </c>
      <c r="B779" s="2" t="str">
        <f>IFERROR(__xludf.DUMMYFUNCTION("""COMPUTED_VALUE"""),"Mitchell Nears")</f>
        <v>Mitchell Nears</v>
      </c>
      <c r="C779" s="2" t="str">
        <f>IFERROR(__xludf.DUMMYFUNCTION("""COMPUTED_VALUE"""),"mnearslm@fema.gov")</f>
        <v>mnearslm@fema.gov</v>
      </c>
      <c r="D779" s="4">
        <f>IFERROR(__xludf.DUMMYFUNCTION("""COMPUTED_VALUE"""),153.0)</f>
        <v>153</v>
      </c>
      <c r="E779" s="4">
        <f>IFERROR(__xludf.DUMMYFUNCTION("""COMPUTED_VALUE"""),81.0)</f>
        <v>81</v>
      </c>
      <c r="F779" s="4">
        <f>IFERROR(__xludf.DUMMYFUNCTION("""COMPUTED_VALUE"""),2.0)</f>
        <v>2</v>
      </c>
      <c r="G779" s="4">
        <f>IFERROR(__xludf.DUMMYFUNCTION("""COMPUTED_VALUE"""),1181.0)</f>
        <v>1181</v>
      </c>
      <c r="H779" s="5">
        <f>IFERROR(__xludf.DUMMYFUNCTION("""COMPUTED_VALUE"""),1176.25)</f>
        <v>1176.25</v>
      </c>
      <c r="I779" s="5">
        <f>IFERROR(__xludf.DUMMYFUNCTION("""COMPUTED_VALUE"""),9694.33)</f>
        <v>9694.33</v>
      </c>
      <c r="J779" s="5">
        <f>IFERROR(__xludf.DUMMYFUNCTION("""COMPUTED_VALUE"""),9174.07)</f>
        <v>9174.07</v>
      </c>
      <c r="K779" s="5">
        <f>IFERROR(__xludf.DUMMYFUNCTION("""COMPUTED_VALUE"""),898.13)</f>
        <v>898.13</v>
      </c>
      <c r="L779" s="4">
        <f>IFERROR(__xludf.DUMMYFUNCTION("""COMPUTED_VALUE"""),16.0)</f>
        <v>16</v>
      </c>
      <c r="M779" s="4">
        <f>IFERROR(__xludf.DUMMYFUNCTION("""COMPUTED_VALUE"""),41.0)</f>
        <v>41</v>
      </c>
      <c r="N779" s="2" t="str">
        <f>IFERROR(__xludf.DUMMYFUNCTION("""COMPUTED_VALUE"""),"VERDADERO")</f>
        <v>VERDADERO</v>
      </c>
    </row>
    <row r="780">
      <c r="A780" s="2">
        <f>IFERROR(__xludf.DUMMYFUNCTION("""COMPUTED_VALUE"""),779.0)</f>
        <v>779</v>
      </c>
      <c r="B780" s="2" t="str">
        <f>IFERROR(__xludf.DUMMYFUNCTION("""COMPUTED_VALUE"""),"Anny Skylett")</f>
        <v>Anny Skylett</v>
      </c>
      <c r="C780" s="2" t="str">
        <f>IFERROR(__xludf.DUMMYFUNCTION("""COMPUTED_VALUE"""),"askylettln@answers.com")</f>
        <v>askylettln@answers.com</v>
      </c>
      <c r="D780" s="4">
        <f>IFERROR(__xludf.DUMMYFUNCTION("""COMPUTED_VALUE"""),122.0)</f>
        <v>122</v>
      </c>
      <c r="E780" s="4">
        <f>IFERROR(__xludf.DUMMYFUNCTION("""COMPUTED_VALUE"""),85.0)</f>
        <v>85</v>
      </c>
      <c r="F780" s="4">
        <f>IFERROR(__xludf.DUMMYFUNCTION("""COMPUTED_VALUE"""),3.0)</f>
        <v>3</v>
      </c>
      <c r="G780" s="4">
        <f>IFERROR(__xludf.DUMMYFUNCTION("""COMPUTED_VALUE"""),1019.0)</f>
        <v>1019</v>
      </c>
      <c r="H780" s="5">
        <f>IFERROR(__xludf.DUMMYFUNCTION("""COMPUTED_VALUE"""),294.87)</f>
        <v>294.87</v>
      </c>
      <c r="I780" s="5">
        <f>IFERROR(__xludf.DUMMYFUNCTION("""COMPUTED_VALUE"""),4401.94)</f>
        <v>4401.94</v>
      </c>
      <c r="J780" s="5">
        <f>IFERROR(__xludf.DUMMYFUNCTION("""COMPUTED_VALUE"""),6313.13)</f>
        <v>6313.13</v>
      </c>
      <c r="K780" s="5">
        <f>IFERROR(__xludf.DUMMYFUNCTION("""COMPUTED_VALUE"""),53.73)</f>
        <v>53.73</v>
      </c>
      <c r="L780" s="4">
        <f>IFERROR(__xludf.DUMMYFUNCTION("""COMPUTED_VALUE"""),1.0)</f>
        <v>1</v>
      </c>
      <c r="M780" s="4">
        <f>IFERROR(__xludf.DUMMYFUNCTION("""COMPUTED_VALUE"""),34.0)</f>
        <v>34</v>
      </c>
      <c r="N780" s="2" t="str">
        <f>IFERROR(__xludf.DUMMYFUNCTION("""COMPUTED_VALUE"""),"FALSO")</f>
        <v>FALSO</v>
      </c>
    </row>
    <row r="781">
      <c r="A781" s="2">
        <f>IFERROR(__xludf.DUMMYFUNCTION("""COMPUTED_VALUE"""),780.0)</f>
        <v>780</v>
      </c>
      <c r="B781" s="2" t="str">
        <f>IFERROR(__xludf.DUMMYFUNCTION("""COMPUTED_VALUE"""),"Gabbie Di Maggio")</f>
        <v>Gabbie Di Maggio</v>
      </c>
      <c r="C781" s="2" t="str">
        <f>IFERROR(__xludf.DUMMYFUNCTION("""COMPUTED_VALUE"""),"gdilo@hp.com")</f>
        <v>gdilo@hp.com</v>
      </c>
      <c r="D781" s="4">
        <f>IFERROR(__xludf.DUMMYFUNCTION("""COMPUTED_VALUE"""),29.0)</f>
        <v>29</v>
      </c>
      <c r="E781" s="4">
        <f>IFERROR(__xludf.DUMMYFUNCTION("""COMPUTED_VALUE"""),66.0)</f>
        <v>66</v>
      </c>
      <c r="F781" s="4">
        <f>IFERROR(__xludf.DUMMYFUNCTION("""COMPUTED_VALUE"""),6.0)</f>
        <v>6</v>
      </c>
      <c r="G781" s="4">
        <f>IFERROR(__xludf.DUMMYFUNCTION("""COMPUTED_VALUE"""),1250.0)</f>
        <v>1250</v>
      </c>
      <c r="H781" s="5">
        <f>IFERROR(__xludf.DUMMYFUNCTION("""COMPUTED_VALUE"""),2399.43)</f>
        <v>2399.43</v>
      </c>
      <c r="I781" s="5">
        <f>IFERROR(__xludf.DUMMYFUNCTION("""COMPUTED_VALUE"""),2297.5)</f>
        <v>2297.5</v>
      </c>
      <c r="J781" s="5">
        <f>IFERROR(__xludf.DUMMYFUNCTION("""COMPUTED_VALUE"""),9788.48)</f>
        <v>9788.48</v>
      </c>
      <c r="K781" s="5">
        <f>IFERROR(__xludf.DUMMYFUNCTION("""COMPUTED_VALUE"""),2807.46)</f>
        <v>2807.46</v>
      </c>
      <c r="L781" s="4">
        <f>IFERROR(__xludf.DUMMYFUNCTION("""COMPUTED_VALUE"""),19.0)</f>
        <v>19</v>
      </c>
      <c r="M781" s="4">
        <f>IFERROR(__xludf.DUMMYFUNCTION("""COMPUTED_VALUE"""),23.0)</f>
        <v>23</v>
      </c>
      <c r="N781" s="2" t="str">
        <f>IFERROR(__xludf.DUMMYFUNCTION("""COMPUTED_VALUE"""),"FALSO")</f>
        <v>FALSO</v>
      </c>
    </row>
    <row r="782">
      <c r="A782" s="2">
        <f>IFERROR(__xludf.DUMMYFUNCTION("""COMPUTED_VALUE"""),781.0)</f>
        <v>781</v>
      </c>
      <c r="B782" s="2" t="str">
        <f>IFERROR(__xludf.DUMMYFUNCTION("""COMPUTED_VALUE"""),"Stuart Doughty")</f>
        <v>Stuart Doughty</v>
      </c>
      <c r="C782" s="2" t="str">
        <f>IFERROR(__xludf.DUMMYFUNCTION("""COMPUTED_VALUE"""),"sdoughtylp@nature.com")</f>
        <v>sdoughtylp@nature.com</v>
      </c>
      <c r="D782" s="4">
        <f>IFERROR(__xludf.DUMMYFUNCTION("""COMPUTED_VALUE"""),130.0)</f>
        <v>130</v>
      </c>
      <c r="E782" s="4">
        <f>IFERROR(__xludf.DUMMYFUNCTION("""COMPUTED_VALUE"""),104.0)</f>
        <v>104</v>
      </c>
      <c r="F782" s="4">
        <f>IFERROR(__xludf.DUMMYFUNCTION("""COMPUTED_VALUE"""),11.0)</f>
        <v>11</v>
      </c>
      <c r="G782" s="4">
        <f>IFERROR(__xludf.DUMMYFUNCTION("""COMPUTED_VALUE"""),1309.0)</f>
        <v>1309</v>
      </c>
      <c r="H782" s="5">
        <f>IFERROR(__xludf.DUMMYFUNCTION("""COMPUTED_VALUE"""),2101.33)</f>
        <v>2101.33</v>
      </c>
      <c r="I782" s="5">
        <f>IFERROR(__xludf.DUMMYFUNCTION("""COMPUTED_VALUE"""),7375.95)</f>
        <v>7375.95</v>
      </c>
      <c r="J782" s="5">
        <f>IFERROR(__xludf.DUMMYFUNCTION("""COMPUTED_VALUE"""),8696.1)</f>
        <v>8696.1</v>
      </c>
      <c r="K782" s="5">
        <f>IFERROR(__xludf.DUMMYFUNCTION("""COMPUTED_VALUE"""),6115.47)</f>
        <v>6115.47</v>
      </c>
      <c r="L782" s="4">
        <f>IFERROR(__xludf.DUMMYFUNCTION("""COMPUTED_VALUE"""),18.0)</f>
        <v>18</v>
      </c>
      <c r="M782" s="4">
        <f>IFERROR(__xludf.DUMMYFUNCTION("""COMPUTED_VALUE"""),86.0)</f>
        <v>86</v>
      </c>
      <c r="N782" s="2" t="str">
        <f>IFERROR(__xludf.DUMMYFUNCTION("""COMPUTED_VALUE"""),"FALSO")</f>
        <v>FALSO</v>
      </c>
    </row>
    <row r="783">
      <c r="A783" s="2">
        <f>IFERROR(__xludf.DUMMYFUNCTION("""COMPUTED_VALUE"""),782.0)</f>
        <v>782</v>
      </c>
      <c r="B783" s="2" t="str">
        <f>IFERROR(__xludf.DUMMYFUNCTION("""COMPUTED_VALUE"""),"Shay Bover")</f>
        <v>Shay Bover</v>
      </c>
      <c r="C783" s="2" t="str">
        <f>IFERROR(__xludf.DUMMYFUNCTION("""COMPUTED_VALUE"""),"sboverlq@pagesperso-orange.fr")</f>
        <v>sboverlq@pagesperso-orange.fr</v>
      </c>
      <c r="D783" s="4">
        <f>IFERROR(__xludf.DUMMYFUNCTION("""COMPUTED_VALUE"""),120.0)</f>
        <v>120</v>
      </c>
      <c r="E783" s="4">
        <f>IFERROR(__xludf.DUMMYFUNCTION("""COMPUTED_VALUE"""),29.0)</f>
        <v>29</v>
      </c>
      <c r="F783" s="4">
        <f>IFERROR(__xludf.DUMMYFUNCTION("""COMPUTED_VALUE"""),11.0)</f>
        <v>11</v>
      </c>
      <c r="G783" s="4">
        <f>IFERROR(__xludf.DUMMYFUNCTION("""COMPUTED_VALUE"""),740.0)</f>
        <v>740</v>
      </c>
      <c r="H783" s="5">
        <f>IFERROR(__xludf.DUMMYFUNCTION("""COMPUTED_VALUE"""),8879.62)</f>
        <v>8879.62</v>
      </c>
      <c r="I783" s="5">
        <f>IFERROR(__xludf.DUMMYFUNCTION("""COMPUTED_VALUE"""),1921.57)</f>
        <v>1921.57</v>
      </c>
      <c r="J783" s="5">
        <f>IFERROR(__xludf.DUMMYFUNCTION("""COMPUTED_VALUE"""),2784.13)</f>
        <v>2784.13</v>
      </c>
      <c r="K783" s="5">
        <f>IFERROR(__xludf.DUMMYFUNCTION("""COMPUTED_VALUE"""),235.96)</f>
        <v>235.96</v>
      </c>
      <c r="L783" s="4">
        <f>IFERROR(__xludf.DUMMYFUNCTION("""COMPUTED_VALUE"""),13.0)</f>
        <v>13</v>
      </c>
      <c r="M783" s="4">
        <f>IFERROR(__xludf.DUMMYFUNCTION("""COMPUTED_VALUE"""),61.0)</f>
        <v>61</v>
      </c>
      <c r="N783" s="2" t="str">
        <f>IFERROR(__xludf.DUMMYFUNCTION("""COMPUTED_VALUE"""),"FALSO")</f>
        <v>FALSO</v>
      </c>
    </row>
    <row r="784">
      <c r="A784" s="2">
        <f>IFERROR(__xludf.DUMMYFUNCTION("""COMPUTED_VALUE"""),783.0)</f>
        <v>783</v>
      </c>
      <c r="B784" s="2" t="str">
        <f>IFERROR(__xludf.DUMMYFUNCTION("""COMPUTED_VALUE"""),"Jarid Risebarer")</f>
        <v>Jarid Risebarer</v>
      </c>
      <c r="C784" s="2" t="str">
        <f>IFERROR(__xludf.DUMMYFUNCTION("""COMPUTED_VALUE"""),"jrisebarerlr@businessinsider.com")</f>
        <v>jrisebarerlr@businessinsider.com</v>
      </c>
      <c r="D784" s="4">
        <f>IFERROR(__xludf.DUMMYFUNCTION("""COMPUTED_VALUE"""),29.0)</f>
        <v>29</v>
      </c>
      <c r="E784" s="4">
        <f>IFERROR(__xludf.DUMMYFUNCTION("""COMPUTED_VALUE"""),107.0)</f>
        <v>107</v>
      </c>
      <c r="F784" s="4">
        <f>IFERROR(__xludf.DUMMYFUNCTION("""COMPUTED_VALUE"""),5.0)</f>
        <v>5</v>
      </c>
      <c r="G784" s="4">
        <f>IFERROR(__xludf.DUMMYFUNCTION("""COMPUTED_VALUE"""),342.0)</f>
        <v>342</v>
      </c>
      <c r="H784" s="5">
        <f>IFERROR(__xludf.DUMMYFUNCTION("""COMPUTED_VALUE"""),7993.59)</f>
        <v>7993.59</v>
      </c>
      <c r="I784" s="5">
        <f>IFERROR(__xludf.DUMMYFUNCTION("""COMPUTED_VALUE"""),6873.59)</f>
        <v>6873.59</v>
      </c>
      <c r="J784" s="5">
        <f>IFERROR(__xludf.DUMMYFUNCTION("""COMPUTED_VALUE"""),2484.66)</f>
        <v>2484.66</v>
      </c>
      <c r="K784" s="5">
        <f>IFERROR(__xludf.DUMMYFUNCTION("""COMPUTED_VALUE"""),3291.47)</f>
        <v>3291.47</v>
      </c>
      <c r="L784" s="4">
        <f>IFERROR(__xludf.DUMMYFUNCTION("""COMPUTED_VALUE"""),4.0)</f>
        <v>4</v>
      </c>
      <c r="M784" s="4">
        <f>IFERROR(__xludf.DUMMYFUNCTION("""COMPUTED_VALUE"""),99.0)</f>
        <v>99</v>
      </c>
      <c r="N784" s="2" t="str">
        <f>IFERROR(__xludf.DUMMYFUNCTION("""COMPUTED_VALUE"""),"VERDADERO")</f>
        <v>VERDADERO</v>
      </c>
    </row>
    <row r="785">
      <c r="A785" s="2">
        <f>IFERROR(__xludf.DUMMYFUNCTION("""COMPUTED_VALUE"""),784.0)</f>
        <v>784</v>
      </c>
      <c r="B785" s="2" t="str">
        <f>IFERROR(__xludf.DUMMYFUNCTION("""COMPUTED_VALUE"""),"Breena Shakelade")</f>
        <v>Breena Shakelade</v>
      </c>
      <c r="C785" s="2" t="str">
        <f>IFERROR(__xludf.DUMMYFUNCTION("""COMPUTED_VALUE"""),"bshakeladels@360.cn")</f>
        <v>bshakeladels@360.cn</v>
      </c>
      <c r="D785" s="4">
        <f>IFERROR(__xludf.DUMMYFUNCTION("""COMPUTED_VALUE"""),17.0)</f>
        <v>17</v>
      </c>
      <c r="E785" s="4">
        <f>IFERROR(__xludf.DUMMYFUNCTION("""COMPUTED_VALUE"""),66.0)</f>
        <v>66</v>
      </c>
      <c r="F785" s="4">
        <f>IFERROR(__xludf.DUMMYFUNCTION("""COMPUTED_VALUE"""),6.0)</f>
        <v>6</v>
      </c>
      <c r="G785" s="4">
        <f>IFERROR(__xludf.DUMMYFUNCTION("""COMPUTED_VALUE"""),123.0)</f>
        <v>123</v>
      </c>
      <c r="H785" s="5">
        <f>IFERROR(__xludf.DUMMYFUNCTION("""COMPUTED_VALUE"""),6289.42)</f>
        <v>6289.42</v>
      </c>
      <c r="I785" s="5">
        <f>IFERROR(__xludf.DUMMYFUNCTION("""COMPUTED_VALUE"""),3241.43)</f>
        <v>3241.43</v>
      </c>
      <c r="J785" s="5">
        <f>IFERROR(__xludf.DUMMYFUNCTION("""COMPUTED_VALUE"""),5402.78)</f>
        <v>5402.78</v>
      </c>
      <c r="K785" s="5">
        <f>IFERROR(__xludf.DUMMYFUNCTION("""COMPUTED_VALUE"""),6901.66)</f>
        <v>6901.66</v>
      </c>
      <c r="L785" s="4">
        <f>IFERROR(__xludf.DUMMYFUNCTION("""COMPUTED_VALUE"""),6.0)</f>
        <v>6</v>
      </c>
      <c r="M785" s="4">
        <f>IFERROR(__xludf.DUMMYFUNCTION("""COMPUTED_VALUE"""),81.0)</f>
        <v>81</v>
      </c>
      <c r="N785" s="2" t="str">
        <f>IFERROR(__xludf.DUMMYFUNCTION("""COMPUTED_VALUE"""),"FALSO")</f>
        <v>FALSO</v>
      </c>
    </row>
    <row r="786">
      <c r="A786" s="2">
        <f>IFERROR(__xludf.DUMMYFUNCTION("""COMPUTED_VALUE"""),785.0)</f>
        <v>785</v>
      </c>
      <c r="B786" s="2" t="str">
        <f>IFERROR(__xludf.DUMMYFUNCTION("""COMPUTED_VALUE"""),"Isaak Brinson")</f>
        <v>Isaak Brinson</v>
      </c>
      <c r="C786" s="2" t="str">
        <f>IFERROR(__xludf.DUMMYFUNCTION("""COMPUTED_VALUE"""),"ibrinsonlt@naver.com")</f>
        <v>ibrinsonlt@naver.com</v>
      </c>
      <c r="D786" s="4">
        <f>IFERROR(__xludf.DUMMYFUNCTION("""COMPUTED_VALUE"""),104.0)</f>
        <v>104</v>
      </c>
      <c r="E786" s="4">
        <f>IFERROR(__xludf.DUMMYFUNCTION("""COMPUTED_VALUE"""),66.0)</f>
        <v>66</v>
      </c>
      <c r="F786" s="4">
        <f>IFERROR(__xludf.DUMMYFUNCTION("""COMPUTED_VALUE"""),6.0)</f>
        <v>6</v>
      </c>
      <c r="G786" s="4">
        <f>IFERROR(__xludf.DUMMYFUNCTION("""COMPUTED_VALUE"""),147.0)</f>
        <v>147</v>
      </c>
      <c r="H786" s="5">
        <f>IFERROR(__xludf.DUMMYFUNCTION("""COMPUTED_VALUE"""),4588.37)</f>
        <v>4588.37</v>
      </c>
      <c r="I786" s="5">
        <f>IFERROR(__xludf.DUMMYFUNCTION("""COMPUTED_VALUE"""),6446.05)</f>
        <v>6446.05</v>
      </c>
      <c r="J786" s="5">
        <f>IFERROR(__xludf.DUMMYFUNCTION("""COMPUTED_VALUE"""),227.24)</f>
        <v>227.24</v>
      </c>
      <c r="K786" s="5">
        <f>IFERROR(__xludf.DUMMYFUNCTION("""COMPUTED_VALUE"""),8426.58)</f>
        <v>8426.58</v>
      </c>
      <c r="L786" s="4">
        <f>IFERROR(__xludf.DUMMYFUNCTION("""COMPUTED_VALUE"""),9.0)</f>
        <v>9</v>
      </c>
      <c r="M786" s="4">
        <f>IFERROR(__xludf.DUMMYFUNCTION("""COMPUTED_VALUE"""),61.0)</f>
        <v>61</v>
      </c>
      <c r="N786" s="2" t="str">
        <f>IFERROR(__xludf.DUMMYFUNCTION("""COMPUTED_VALUE"""),"FALSO")</f>
        <v>FALSO</v>
      </c>
    </row>
    <row r="787">
      <c r="A787" s="2">
        <f>IFERROR(__xludf.DUMMYFUNCTION("""COMPUTED_VALUE"""),786.0)</f>
        <v>786</v>
      </c>
      <c r="B787" s="2" t="str">
        <f>IFERROR(__xludf.DUMMYFUNCTION("""COMPUTED_VALUE"""),"Lauren Pabst")</f>
        <v>Lauren Pabst</v>
      </c>
      <c r="C787" s="2" t="str">
        <f>IFERROR(__xludf.DUMMYFUNCTION("""COMPUTED_VALUE"""),"lpabstlu@oracle.com")</f>
        <v>lpabstlu@oracle.com</v>
      </c>
      <c r="D787" s="4">
        <f>IFERROR(__xludf.DUMMYFUNCTION("""COMPUTED_VALUE"""),120.0)</f>
        <v>120</v>
      </c>
      <c r="E787" s="4">
        <f>IFERROR(__xludf.DUMMYFUNCTION("""COMPUTED_VALUE"""),107.0)</f>
        <v>107</v>
      </c>
      <c r="F787" s="4">
        <f>IFERROR(__xludf.DUMMYFUNCTION("""COMPUTED_VALUE"""),5.0)</f>
        <v>5</v>
      </c>
      <c r="G787" s="4">
        <f>IFERROR(__xludf.DUMMYFUNCTION("""COMPUTED_VALUE"""),635.0)</f>
        <v>635</v>
      </c>
      <c r="H787" s="5">
        <f>IFERROR(__xludf.DUMMYFUNCTION("""COMPUTED_VALUE"""),5709.12)</f>
        <v>5709.12</v>
      </c>
      <c r="I787" s="5">
        <f>IFERROR(__xludf.DUMMYFUNCTION("""COMPUTED_VALUE"""),6451.49)</f>
        <v>6451.49</v>
      </c>
      <c r="J787" s="5">
        <f>IFERROR(__xludf.DUMMYFUNCTION("""COMPUTED_VALUE"""),5018.44)</f>
        <v>5018.44</v>
      </c>
      <c r="K787" s="5">
        <f>IFERROR(__xludf.DUMMYFUNCTION("""COMPUTED_VALUE"""),5209.7)</f>
        <v>5209.7</v>
      </c>
      <c r="L787" s="4">
        <f>IFERROR(__xludf.DUMMYFUNCTION("""COMPUTED_VALUE"""),5.0)</f>
        <v>5</v>
      </c>
      <c r="M787" s="4">
        <f>IFERROR(__xludf.DUMMYFUNCTION("""COMPUTED_VALUE"""),88.0)</f>
        <v>88</v>
      </c>
      <c r="N787" s="2" t="str">
        <f>IFERROR(__xludf.DUMMYFUNCTION("""COMPUTED_VALUE"""),"VERDADERO")</f>
        <v>VERDADERO</v>
      </c>
    </row>
    <row r="788">
      <c r="A788" s="2">
        <f>IFERROR(__xludf.DUMMYFUNCTION("""COMPUTED_VALUE"""),787.0)</f>
        <v>787</v>
      </c>
      <c r="B788" s="2" t="str">
        <f>IFERROR(__xludf.DUMMYFUNCTION("""COMPUTED_VALUE"""),"Jacklyn Biggam")</f>
        <v>Jacklyn Biggam</v>
      </c>
      <c r="C788" s="2" t="str">
        <f>IFERROR(__xludf.DUMMYFUNCTION("""COMPUTED_VALUE"""),"jbiggamlv@google.com.au")</f>
        <v>jbiggamlv@google.com.au</v>
      </c>
      <c r="D788" s="4">
        <f>IFERROR(__xludf.DUMMYFUNCTION("""COMPUTED_VALUE"""),30.0)</f>
        <v>30</v>
      </c>
      <c r="E788" s="4">
        <f>IFERROR(__xludf.DUMMYFUNCTION("""COMPUTED_VALUE"""),60.0)</f>
        <v>60</v>
      </c>
      <c r="F788" s="4">
        <f>IFERROR(__xludf.DUMMYFUNCTION("""COMPUTED_VALUE"""),3.0)</f>
        <v>3</v>
      </c>
      <c r="G788" s="4">
        <f>IFERROR(__xludf.DUMMYFUNCTION("""COMPUTED_VALUE"""),265.0)</f>
        <v>265</v>
      </c>
      <c r="H788" s="5">
        <f>IFERROR(__xludf.DUMMYFUNCTION("""COMPUTED_VALUE"""),2711.04)</f>
        <v>2711.04</v>
      </c>
      <c r="I788" s="5">
        <f>IFERROR(__xludf.DUMMYFUNCTION("""COMPUTED_VALUE"""),4853.43)</f>
        <v>4853.43</v>
      </c>
      <c r="J788" s="5">
        <f>IFERROR(__xludf.DUMMYFUNCTION("""COMPUTED_VALUE"""),5081.79)</f>
        <v>5081.79</v>
      </c>
      <c r="K788" s="5">
        <f>IFERROR(__xludf.DUMMYFUNCTION("""COMPUTED_VALUE"""),3594.73)</f>
        <v>3594.73</v>
      </c>
      <c r="L788" s="4">
        <f>IFERROR(__xludf.DUMMYFUNCTION("""COMPUTED_VALUE"""),18.0)</f>
        <v>18</v>
      </c>
      <c r="M788" s="4">
        <f>IFERROR(__xludf.DUMMYFUNCTION("""COMPUTED_VALUE"""),74.0)</f>
        <v>74</v>
      </c>
      <c r="N788" s="2" t="str">
        <f>IFERROR(__xludf.DUMMYFUNCTION("""COMPUTED_VALUE"""),"FALSO")</f>
        <v>FALSO</v>
      </c>
    </row>
    <row r="789">
      <c r="A789" s="2">
        <f>IFERROR(__xludf.DUMMYFUNCTION("""COMPUTED_VALUE"""),788.0)</f>
        <v>788</v>
      </c>
      <c r="B789" s="2" t="str">
        <f>IFERROR(__xludf.DUMMYFUNCTION("""COMPUTED_VALUE"""),"Burke Hackford")</f>
        <v>Burke Hackford</v>
      </c>
      <c r="C789" s="2" t="str">
        <f>IFERROR(__xludf.DUMMYFUNCTION("""COMPUTED_VALUE"""),"bhackfordlw@princeton.edu")</f>
        <v>bhackfordlw@princeton.edu</v>
      </c>
      <c r="D789" s="4">
        <f>IFERROR(__xludf.DUMMYFUNCTION("""COMPUTED_VALUE"""),124.0)</f>
        <v>124</v>
      </c>
      <c r="E789" s="4">
        <f>IFERROR(__xludf.DUMMYFUNCTION("""COMPUTED_VALUE"""),81.0)</f>
        <v>81</v>
      </c>
      <c r="F789" s="4">
        <f>IFERROR(__xludf.DUMMYFUNCTION("""COMPUTED_VALUE"""),2.0)</f>
        <v>2</v>
      </c>
      <c r="G789" s="4">
        <f>IFERROR(__xludf.DUMMYFUNCTION("""COMPUTED_VALUE"""),1300.0)</f>
        <v>1300</v>
      </c>
      <c r="H789" s="5">
        <f>IFERROR(__xludf.DUMMYFUNCTION("""COMPUTED_VALUE"""),4151.92)</f>
        <v>4151.92</v>
      </c>
      <c r="I789" s="5">
        <f>IFERROR(__xludf.DUMMYFUNCTION("""COMPUTED_VALUE"""),2752.86)</f>
        <v>2752.86</v>
      </c>
      <c r="J789" s="5">
        <f>IFERROR(__xludf.DUMMYFUNCTION("""COMPUTED_VALUE"""),5720.6)</f>
        <v>5720.6</v>
      </c>
      <c r="K789" s="5">
        <f>IFERROR(__xludf.DUMMYFUNCTION("""COMPUTED_VALUE"""),8978.96)</f>
        <v>8978.96</v>
      </c>
      <c r="L789" s="4">
        <f>IFERROR(__xludf.DUMMYFUNCTION("""COMPUTED_VALUE"""),17.0)</f>
        <v>17</v>
      </c>
      <c r="M789" s="4">
        <f>IFERROR(__xludf.DUMMYFUNCTION("""COMPUTED_VALUE"""),73.0)</f>
        <v>73</v>
      </c>
      <c r="N789" s="2" t="str">
        <f>IFERROR(__xludf.DUMMYFUNCTION("""COMPUTED_VALUE"""),"FALSO")</f>
        <v>FALSO</v>
      </c>
    </row>
    <row r="790">
      <c r="A790" s="2">
        <f>IFERROR(__xludf.DUMMYFUNCTION("""COMPUTED_VALUE"""),789.0)</f>
        <v>789</v>
      </c>
      <c r="B790" s="2" t="str">
        <f>IFERROR(__xludf.DUMMYFUNCTION("""COMPUTED_VALUE"""),"Bunny Kahan")</f>
        <v>Bunny Kahan</v>
      </c>
      <c r="C790" s="2" t="str">
        <f>IFERROR(__xludf.DUMMYFUNCTION("""COMPUTED_VALUE"""),"bkahanlx@ocn.ne.jp")</f>
        <v>bkahanlx@ocn.ne.jp</v>
      </c>
      <c r="D790" s="4">
        <f>IFERROR(__xludf.DUMMYFUNCTION("""COMPUTED_VALUE"""),73.0)</f>
        <v>73</v>
      </c>
      <c r="E790" s="4">
        <f>IFERROR(__xludf.DUMMYFUNCTION("""COMPUTED_VALUE"""),36.0)</f>
        <v>36</v>
      </c>
      <c r="F790" s="4">
        <f>IFERROR(__xludf.DUMMYFUNCTION("""COMPUTED_VALUE"""),5.0)</f>
        <v>5</v>
      </c>
      <c r="G790" s="4">
        <f>IFERROR(__xludf.DUMMYFUNCTION("""COMPUTED_VALUE"""),1265.0)</f>
        <v>1265</v>
      </c>
      <c r="H790" s="5">
        <f>IFERROR(__xludf.DUMMYFUNCTION("""COMPUTED_VALUE"""),3962.46)</f>
        <v>3962.46</v>
      </c>
      <c r="I790" s="5">
        <f>IFERROR(__xludf.DUMMYFUNCTION("""COMPUTED_VALUE"""),9950.17)</f>
        <v>9950.17</v>
      </c>
      <c r="J790" s="5">
        <f>IFERROR(__xludf.DUMMYFUNCTION("""COMPUTED_VALUE"""),9193.61)</f>
        <v>9193.61</v>
      </c>
      <c r="K790" s="5">
        <f>IFERROR(__xludf.DUMMYFUNCTION("""COMPUTED_VALUE"""),2369.01)</f>
        <v>2369.01</v>
      </c>
      <c r="L790" s="4">
        <f>IFERROR(__xludf.DUMMYFUNCTION("""COMPUTED_VALUE"""),10.0)</f>
        <v>10</v>
      </c>
      <c r="M790" s="4">
        <f>IFERROR(__xludf.DUMMYFUNCTION("""COMPUTED_VALUE"""),9.0)</f>
        <v>9</v>
      </c>
      <c r="N790" s="2" t="str">
        <f>IFERROR(__xludf.DUMMYFUNCTION("""COMPUTED_VALUE"""),"VERDADERO")</f>
        <v>VERDADERO</v>
      </c>
    </row>
    <row r="791">
      <c r="A791" s="2">
        <f>IFERROR(__xludf.DUMMYFUNCTION("""COMPUTED_VALUE"""),790.0)</f>
        <v>790</v>
      </c>
      <c r="B791" s="2" t="str">
        <f>IFERROR(__xludf.DUMMYFUNCTION("""COMPUTED_VALUE"""),"Jarvis Le Bosse")</f>
        <v>Jarvis Le Bosse</v>
      </c>
      <c r="C791" s="2" t="str">
        <f>IFERROR(__xludf.DUMMYFUNCTION("""COMPUTED_VALUE"""),"jlely@ucla.edu")</f>
        <v>jlely@ucla.edu</v>
      </c>
      <c r="D791" s="4">
        <f>IFERROR(__xludf.DUMMYFUNCTION("""COMPUTED_VALUE"""),65.0)</f>
        <v>65</v>
      </c>
      <c r="E791" s="4">
        <f>IFERROR(__xludf.DUMMYFUNCTION("""COMPUTED_VALUE"""),81.0)</f>
        <v>81</v>
      </c>
      <c r="F791" s="4">
        <f>IFERROR(__xludf.DUMMYFUNCTION("""COMPUTED_VALUE"""),2.0)</f>
        <v>2</v>
      </c>
      <c r="G791" s="4">
        <f>IFERROR(__xludf.DUMMYFUNCTION("""COMPUTED_VALUE"""),1175.0)</f>
        <v>1175</v>
      </c>
      <c r="H791" s="5">
        <f>IFERROR(__xludf.DUMMYFUNCTION("""COMPUTED_VALUE"""),6668.0)</f>
        <v>6668</v>
      </c>
      <c r="I791" s="5">
        <f>IFERROR(__xludf.DUMMYFUNCTION("""COMPUTED_VALUE"""),2258.1)</f>
        <v>2258.1</v>
      </c>
      <c r="J791" s="5">
        <f>IFERROR(__xludf.DUMMYFUNCTION("""COMPUTED_VALUE"""),601.34)</f>
        <v>601.34</v>
      </c>
      <c r="K791" s="5">
        <f>IFERROR(__xludf.DUMMYFUNCTION("""COMPUTED_VALUE"""),4726.28)</f>
        <v>4726.28</v>
      </c>
      <c r="L791" s="4">
        <f>IFERROR(__xludf.DUMMYFUNCTION("""COMPUTED_VALUE"""),14.0)</f>
        <v>14</v>
      </c>
      <c r="M791" s="4">
        <f>IFERROR(__xludf.DUMMYFUNCTION("""COMPUTED_VALUE"""),27.0)</f>
        <v>27</v>
      </c>
      <c r="N791" s="2" t="str">
        <f>IFERROR(__xludf.DUMMYFUNCTION("""COMPUTED_VALUE"""),"FALSO")</f>
        <v>FALSO</v>
      </c>
    </row>
    <row r="792">
      <c r="A792" s="2">
        <f>IFERROR(__xludf.DUMMYFUNCTION("""COMPUTED_VALUE"""),791.0)</f>
        <v>791</v>
      </c>
      <c r="B792" s="2" t="str">
        <f>IFERROR(__xludf.DUMMYFUNCTION("""COMPUTED_VALUE"""),"Dianne Gow")</f>
        <v>Dianne Gow</v>
      </c>
      <c r="C792" s="2" t="str">
        <f>IFERROR(__xludf.DUMMYFUNCTION("""COMPUTED_VALUE"""),"dgowlz@wordpress.com")</f>
        <v>dgowlz@wordpress.com</v>
      </c>
      <c r="D792" s="4">
        <f>IFERROR(__xludf.DUMMYFUNCTION("""COMPUTED_VALUE"""),122.0)</f>
        <v>122</v>
      </c>
      <c r="E792" s="4">
        <f>IFERROR(__xludf.DUMMYFUNCTION("""COMPUTED_VALUE"""),40.0)</f>
        <v>40</v>
      </c>
      <c r="F792" s="4">
        <f>IFERROR(__xludf.DUMMYFUNCTION("""COMPUTED_VALUE"""),3.0)</f>
        <v>3</v>
      </c>
      <c r="G792" s="4">
        <f>IFERROR(__xludf.DUMMYFUNCTION("""COMPUTED_VALUE"""),927.0)</f>
        <v>927</v>
      </c>
      <c r="H792" s="5">
        <f>IFERROR(__xludf.DUMMYFUNCTION("""COMPUTED_VALUE"""),4055.04)</f>
        <v>4055.04</v>
      </c>
      <c r="I792" s="5">
        <f>IFERROR(__xludf.DUMMYFUNCTION("""COMPUTED_VALUE"""),4266.61)</f>
        <v>4266.61</v>
      </c>
      <c r="J792" s="5">
        <f>IFERROR(__xludf.DUMMYFUNCTION("""COMPUTED_VALUE"""),5891.81)</f>
        <v>5891.81</v>
      </c>
      <c r="K792" s="5">
        <f>IFERROR(__xludf.DUMMYFUNCTION("""COMPUTED_VALUE"""),5487.08)</f>
        <v>5487.08</v>
      </c>
      <c r="L792" s="4">
        <f>IFERROR(__xludf.DUMMYFUNCTION("""COMPUTED_VALUE"""),2.0)</f>
        <v>2</v>
      </c>
      <c r="M792" s="4">
        <f>IFERROR(__xludf.DUMMYFUNCTION("""COMPUTED_VALUE"""),37.0)</f>
        <v>37</v>
      </c>
      <c r="N792" s="2" t="str">
        <f>IFERROR(__xludf.DUMMYFUNCTION("""COMPUTED_VALUE"""),"FALSO")</f>
        <v>FALSO</v>
      </c>
    </row>
    <row r="793">
      <c r="A793" s="2">
        <f>IFERROR(__xludf.DUMMYFUNCTION("""COMPUTED_VALUE"""),792.0)</f>
        <v>792</v>
      </c>
      <c r="B793" s="2" t="str">
        <f>IFERROR(__xludf.DUMMYFUNCTION("""COMPUTED_VALUE"""),"Sada Izaac")</f>
        <v>Sada Izaac</v>
      </c>
      <c r="C793" s="2" t="str">
        <f>IFERROR(__xludf.DUMMYFUNCTION("""COMPUTED_VALUE"""),"sizaacm0@pagesperso-orange.fr")</f>
        <v>sizaacm0@pagesperso-orange.fr</v>
      </c>
      <c r="D793" s="4">
        <f>IFERROR(__xludf.DUMMYFUNCTION("""COMPUTED_VALUE"""),123.0)</f>
        <v>123</v>
      </c>
      <c r="E793" s="4">
        <f>IFERROR(__xludf.DUMMYFUNCTION("""COMPUTED_VALUE"""),119.0)</f>
        <v>119</v>
      </c>
      <c r="F793" s="4">
        <f>IFERROR(__xludf.DUMMYFUNCTION("""COMPUTED_VALUE"""),9.0)</f>
        <v>9</v>
      </c>
      <c r="G793" s="4">
        <f>IFERROR(__xludf.DUMMYFUNCTION("""COMPUTED_VALUE"""),131.0)</f>
        <v>131</v>
      </c>
      <c r="H793" s="5">
        <f>IFERROR(__xludf.DUMMYFUNCTION("""COMPUTED_VALUE"""),255.68)</f>
        <v>255.68</v>
      </c>
      <c r="I793" s="5">
        <f>IFERROR(__xludf.DUMMYFUNCTION("""COMPUTED_VALUE"""),3847.03)</f>
        <v>3847.03</v>
      </c>
      <c r="J793" s="5">
        <f>IFERROR(__xludf.DUMMYFUNCTION("""COMPUTED_VALUE"""),4748.7)</f>
        <v>4748.7</v>
      </c>
      <c r="K793" s="5">
        <f>IFERROR(__xludf.DUMMYFUNCTION("""COMPUTED_VALUE"""),3860.89)</f>
        <v>3860.89</v>
      </c>
      <c r="L793" s="4">
        <f>IFERROR(__xludf.DUMMYFUNCTION("""COMPUTED_VALUE"""),16.0)</f>
        <v>16</v>
      </c>
      <c r="M793" s="4">
        <f>IFERROR(__xludf.DUMMYFUNCTION("""COMPUTED_VALUE"""),31.0)</f>
        <v>31</v>
      </c>
      <c r="N793" s="2" t="str">
        <f>IFERROR(__xludf.DUMMYFUNCTION("""COMPUTED_VALUE"""),"VERDADERO")</f>
        <v>VERDADERO</v>
      </c>
    </row>
    <row r="794">
      <c r="A794" s="2">
        <f>IFERROR(__xludf.DUMMYFUNCTION("""COMPUTED_VALUE"""),793.0)</f>
        <v>793</v>
      </c>
      <c r="B794" s="2" t="str">
        <f>IFERROR(__xludf.DUMMYFUNCTION("""COMPUTED_VALUE"""),"Michell Christall")</f>
        <v>Michell Christall</v>
      </c>
      <c r="C794" s="2" t="str">
        <f>IFERROR(__xludf.DUMMYFUNCTION("""COMPUTED_VALUE"""),"mchristallm1@ocn.ne.jp")</f>
        <v>mchristallm1@ocn.ne.jp</v>
      </c>
      <c r="D794" s="4">
        <f>IFERROR(__xludf.DUMMYFUNCTION("""COMPUTED_VALUE"""),29.0)</f>
        <v>29</v>
      </c>
      <c r="E794" s="4">
        <f>IFERROR(__xludf.DUMMYFUNCTION("""COMPUTED_VALUE"""),42.0)</f>
        <v>42</v>
      </c>
      <c r="F794" s="4">
        <f>IFERROR(__xludf.DUMMYFUNCTION("""COMPUTED_VALUE"""),13.0)</f>
        <v>13</v>
      </c>
      <c r="G794" s="4">
        <f>IFERROR(__xludf.DUMMYFUNCTION("""COMPUTED_VALUE"""),1227.0)</f>
        <v>1227</v>
      </c>
      <c r="H794" s="5">
        <f>IFERROR(__xludf.DUMMYFUNCTION("""COMPUTED_VALUE"""),3819.41)</f>
        <v>3819.41</v>
      </c>
      <c r="I794" s="5">
        <f>IFERROR(__xludf.DUMMYFUNCTION("""COMPUTED_VALUE"""),6370.98)</f>
        <v>6370.98</v>
      </c>
      <c r="J794" s="5">
        <f>IFERROR(__xludf.DUMMYFUNCTION("""COMPUTED_VALUE"""),4972.59)</f>
        <v>4972.59</v>
      </c>
      <c r="K794" s="5">
        <f>IFERROR(__xludf.DUMMYFUNCTION("""COMPUTED_VALUE"""),4740.82)</f>
        <v>4740.82</v>
      </c>
      <c r="L794" s="4">
        <f>IFERROR(__xludf.DUMMYFUNCTION("""COMPUTED_VALUE"""),17.0)</f>
        <v>17</v>
      </c>
      <c r="M794" s="4">
        <f>IFERROR(__xludf.DUMMYFUNCTION("""COMPUTED_VALUE"""),27.0)</f>
        <v>27</v>
      </c>
      <c r="N794" s="2" t="str">
        <f>IFERROR(__xludf.DUMMYFUNCTION("""COMPUTED_VALUE"""),"FALSO")</f>
        <v>FALSO</v>
      </c>
    </row>
    <row r="795">
      <c r="A795" s="2">
        <f>IFERROR(__xludf.DUMMYFUNCTION("""COMPUTED_VALUE"""),794.0)</f>
        <v>794</v>
      </c>
      <c r="B795" s="2" t="str">
        <f>IFERROR(__xludf.DUMMYFUNCTION("""COMPUTED_VALUE"""),"Cilka Nussen")</f>
        <v>Cilka Nussen</v>
      </c>
      <c r="C795" s="2" t="str">
        <f>IFERROR(__xludf.DUMMYFUNCTION("""COMPUTED_VALUE"""),"cnussenm2@bluehost.com")</f>
        <v>cnussenm2@bluehost.com</v>
      </c>
      <c r="D795" s="4">
        <f>IFERROR(__xludf.DUMMYFUNCTION("""COMPUTED_VALUE"""),46.0)</f>
        <v>46</v>
      </c>
      <c r="E795" s="4">
        <f>IFERROR(__xludf.DUMMYFUNCTION("""COMPUTED_VALUE"""),45.0)</f>
        <v>45</v>
      </c>
      <c r="F795" s="4">
        <f>IFERROR(__xludf.DUMMYFUNCTION("""COMPUTED_VALUE"""),9.0)</f>
        <v>9</v>
      </c>
      <c r="G795" s="4">
        <f>IFERROR(__xludf.DUMMYFUNCTION("""COMPUTED_VALUE"""),1325.0)</f>
        <v>1325</v>
      </c>
      <c r="H795" s="5">
        <f>IFERROR(__xludf.DUMMYFUNCTION("""COMPUTED_VALUE"""),6115.43)</f>
        <v>6115.43</v>
      </c>
      <c r="I795" s="5">
        <f>IFERROR(__xludf.DUMMYFUNCTION("""COMPUTED_VALUE"""),3880.1)</f>
        <v>3880.1</v>
      </c>
      <c r="J795" s="5">
        <f>IFERROR(__xludf.DUMMYFUNCTION("""COMPUTED_VALUE"""),1300.55)</f>
        <v>1300.55</v>
      </c>
      <c r="K795" s="5">
        <f>IFERROR(__xludf.DUMMYFUNCTION("""COMPUTED_VALUE"""),9357.0)</f>
        <v>9357</v>
      </c>
      <c r="L795" s="4">
        <f>IFERROR(__xludf.DUMMYFUNCTION("""COMPUTED_VALUE"""),19.0)</f>
        <v>19</v>
      </c>
      <c r="M795" s="4">
        <f>IFERROR(__xludf.DUMMYFUNCTION("""COMPUTED_VALUE"""),83.0)</f>
        <v>83</v>
      </c>
      <c r="N795" s="2" t="str">
        <f>IFERROR(__xludf.DUMMYFUNCTION("""COMPUTED_VALUE"""),"VERDADERO")</f>
        <v>VERDADERO</v>
      </c>
    </row>
    <row r="796">
      <c r="A796" s="2">
        <f>IFERROR(__xludf.DUMMYFUNCTION("""COMPUTED_VALUE"""),795.0)</f>
        <v>795</v>
      </c>
      <c r="B796" s="2" t="str">
        <f>IFERROR(__xludf.DUMMYFUNCTION("""COMPUTED_VALUE"""),"Betta Stubbe")</f>
        <v>Betta Stubbe</v>
      </c>
      <c r="C796" s="2" t="str">
        <f>IFERROR(__xludf.DUMMYFUNCTION("""COMPUTED_VALUE"""),"bstubbem3@infoseek.co.jp")</f>
        <v>bstubbem3@infoseek.co.jp</v>
      </c>
      <c r="D796" s="4">
        <f>IFERROR(__xludf.DUMMYFUNCTION("""COMPUTED_VALUE"""),143.0)</f>
        <v>143</v>
      </c>
      <c r="E796" s="4">
        <f>IFERROR(__xludf.DUMMYFUNCTION("""COMPUTED_VALUE"""),64.0)</f>
        <v>64</v>
      </c>
      <c r="F796" s="4">
        <f>IFERROR(__xludf.DUMMYFUNCTION("""COMPUTED_VALUE"""),4.0)</f>
        <v>4</v>
      </c>
      <c r="G796" s="4">
        <f>IFERROR(__xludf.DUMMYFUNCTION("""COMPUTED_VALUE"""),1056.0)</f>
        <v>1056</v>
      </c>
      <c r="H796" s="5">
        <f>IFERROR(__xludf.DUMMYFUNCTION("""COMPUTED_VALUE"""),8730.82)</f>
        <v>8730.82</v>
      </c>
      <c r="I796" s="5">
        <f>IFERROR(__xludf.DUMMYFUNCTION("""COMPUTED_VALUE"""),5158.61)</f>
        <v>5158.61</v>
      </c>
      <c r="J796" s="5">
        <f>IFERROR(__xludf.DUMMYFUNCTION("""COMPUTED_VALUE"""),670.06)</f>
        <v>670.06</v>
      </c>
      <c r="K796" s="5">
        <f>IFERROR(__xludf.DUMMYFUNCTION("""COMPUTED_VALUE"""),2787.01)</f>
        <v>2787.01</v>
      </c>
      <c r="L796" s="4">
        <f>IFERROR(__xludf.DUMMYFUNCTION("""COMPUTED_VALUE"""),7.0)</f>
        <v>7</v>
      </c>
      <c r="M796" s="4">
        <f>IFERROR(__xludf.DUMMYFUNCTION("""COMPUTED_VALUE"""),97.0)</f>
        <v>97</v>
      </c>
      <c r="N796" s="2" t="str">
        <f>IFERROR(__xludf.DUMMYFUNCTION("""COMPUTED_VALUE"""),"FALSO")</f>
        <v>FALSO</v>
      </c>
    </row>
    <row r="797">
      <c r="A797" s="2">
        <f>IFERROR(__xludf.DUMMYFUNCTION("""COMPUTED_VALUE"""),796.0)</f>
        <v>796</v>
      </c>
      <c r="B797" s="2" t="str">
        <f>IFERROR(__xludf.DUMMYFUNCTION("""COMPUTED_VALUE"""),"Austine Hillyatt")</f>
        <v>Austine Hillyatt</v>
      </c>
      <c r="C797" s="2" t="str">
        <f>IFERROR(__xludf.DUMMYFUNCTION("""COMPUTED_VALUE"""),"ahillyattm4@delicious.com")</f>
        <v>ahillyattm4@delicious.com</v>
      </c>
      <c r="D797" s="4">
        <f>IFERROR(__xludf.DUMMYFUNCTION("""COMPUTED_VALUE"""),7.0)</f>
        <v>7</v>
      </c>
      <c r="E797" s="4">
        <f>IFERROR(__xludf.DUMMYFUNCTION("""COMPUTED_VALUE"""),81.0)</f>
        <v>81</v>
      </c>
      <c r="F797" s="4">
        <f>IFERROR(__xludf.DUMMYFUNCTION("""COMPUTED_VALUE"""),2.0)</f>
        <v>2</v>
      </c>
      <c r="G797" s="4">
        <f>IFERROR(__xludf.DUMMYFUNCTION("""COMPUTED_VALUE"""),1503.0)</f>
        <v>1503</v>
      </c>
      <c r="H797" s="5">
        <f>IFERROR(__xludf.DUMMYFUNCTION("""COMPUTED_VALUE"""),8021.46)</f>
        <v>8021.46</v>
      </c>
      <c r="I797" s="5">
        <f>IFERROR(__xludf.DUMMYFUNCTION("""COMPUTED_VALUE"""),6229.09)</f>
        <v>6229.09</v>
      </c>
      <c r="J797" s="5">
        <f>IFERROR(__xludf.DUMMYFUNCTION("""COMPUTED_VALUE"""),7466.15)</f>
        <v>7466.15</v>
      </c>
      <c r="K797" s="5">
        <f>IFERROR(__xludf.DUMMYFUNCTION("""COMPUTED_VALUE"""),8475.62)</f>
        <v>8475.62</v>
      </c>
      <c r="L797" s="4">
        <f>IFERROR(__xludf.DUMMYFUNCTION("""COMPUTED_VALUE"""),11.0)</f>
        <v>11</v>
      </c>
      <c r="M797" s="4">
        <f>IFERROR(__xludf.DUMMYFUNCTION("""COMPUTED_VALUE"""),18.0)</f>
        <v>18</v>
      </c>
      <c r="N797" s="2" t="str">
        <f>IFERROR(__xludf.DUMMYFUNCTION("""COMPUTED_VALUE"""),"VERDADERO")</f>
        <v>VERDADERO</v>
      </c>
    </row>
    <row r="798">
      <c r="A798" s="2">
        <f>IFERROR(__xludf.DUMMYFUNCTION("""COMPUTED_VALUE"""),797.0)</f>
        <v>797</v>
      </c>
      <c r="B798" s="2" t="str">
        <f>IFERROR(__xludf.DUMMYFUNCTION("""COMPUTED_VALUE"""),"Gradeigh Pither")</f>
        <v>Gradeigh Pither</v>
      </c>
      <c r="C798" s="2" t="str">
        <f>IFERROR(__xludf.DUMMYFUNCTION("""COMPUTED_VALUE"""),"gpitherm5@bloomberg.com")</f>
        <v>gpitherm5@bloomberg.com</v>
      </c>
      <c r="D798" s="4">
        <f>IFERROR(__xludf.DUMMYFUNCTION("""COMPUTED_VALUE"""),17.0)</f>
        <v>17</v>
      </c>
      <c r="E798" s="4">
        <f>IFERROR(__xludf.DUMMYFUNCTION("""COMPUTED_VALUE"""),85.0)</f>
        <v>85</v>
      </c>
      <c r="F798" s="4">
        <f>IFERROR(__xludf.DUMMYFUNCTION("""COMPUTED_VALUE"""),3.0)</f>
        <v>3</v>
      </c>
      <c r="G798" s="4">
        <f>IFERROR(__xludf.DUMMYFUNCTION("""COMPUTED_VALUE"""),1245.0)</f>
        <v>1245</v>
      </c>
      <c r="H798" s="5">
        <f>IFERROR(__xludf.DUMMYFUNCTION("""COMPUTED_VALUE"""),6518.08)</f>
        <v>6518.08</v>
      </c>
      <c r="I798" s="5">
        <f>IFERROR(__xludf.DUMMYFUNCTION("""COMPUTED_VALUE"""),5120.65)</f>
        <v>5120.65</v>
      </c>
      <c r="J798" s="5">
        <f>IFERROR(__xludf.DUMMYFUNCTION("""COMPUTED_VALUE"""),5716.97)</f>
        <v>5716.97</v>
      </c>
      <c r="K798" s="5">
        <f>IFERROR(__xludf.DUMMYFUNCTION("""COMPUTED_VALUE"""),947.03)</f>
        <v>947.03</v>
      </c>
      <c r="L798" s="4">
        <f>IFERROR(__xludf.DUMMYFUNCTION("""COMPUTED_VALUE"""),15.0)</f>
        <v>15</v>
      </c>
      <c r="M798" s="4">
        <f>IFERROR(__xludf.DUMMYFUNCTION("""COMPUTED_VALUE"""),74.0)</f>
        <v>74</v>
      </c>
      <c r="N798" s="2" t="str">
        <f>IFERROR(__xludf.DUMMYFUNCTION("""COMPUTED_VALUE"""),"FALSO")</f>
        <v>FALSO</v>
      </c>
    </row>
    <row r="799">
      <c r="A799" s="2">
        <f>IFERROR(__xludf.DUMMYFUNCTION("""COMPUTED_VALUE"""),798.0)</f>
        <v>798</v>
      </c>
      <c r="B799" s="2" t="str">
        <f>IFERROR(__xludf.DUMMYFUNCTION("""COMPUTED_VALUE"""),"Sallie Rawsthorn")</f>
        <v>Sallie Rawsthorn</v>
      </c>
      <c r="C799" s="2" t="str">
        <f>IFERROR(__xludf.DUMMYFUNCTION("""COMPUTED_VALUE"""),"srawsthornm6@nyu.edu")</f>
        <v>srawsthornm6@nyu.edu</v>
      </c>
      <c r="D799" s="4">
        <f>IFERROR(__xludf.DUMMYFUNCTION("""COMPUTED_VALUE"""),65.0)</f>
        <v>65</v>
      </c>
      <c r="E799" s="4">
        <f>IFERROR(__xludf.DUMMYFUNCTION("""COMPUTED_VALUE"""),66.0)</f>
        <v>66</v>
      </c>
      <c r="F799" s="4">
        <f>IFERROR(__xludf.DUMMYFUNCTION("""COMPUTED_VALUE"""),6.0)</f>
        <v>6</v>
      </c>
      <c r="G799" s="4">
        <f>IFERROR(__xludf.DUMMYFUNCTION("""COMPUTED_VALUE"""),1136.0)</f>
        <v>1136</v>
      </c>
      <c r="H799" s="5">
        <f>IFERROR(__xludf.DUMMYFUNCTION("""COMPUTED_VALUE"""),7356.19)</f>
        <v>7356.19</v>
      </c>
      <c r="I799" s="5">
        <f>IFERROR(__xludf.DUMMYFUNCTION("""COMPUTED_VALUE"""),5933.16)</f>
        <v>5933.16</v>
      </c>
      <c r="J799" s="5">
        <f>IFERROR(__xludf.DUMMYFUNCTION("""COMPUTED_VALUE"""),7247.15)</f>
        <v>7247.15</v>
      </c>
      <c r="K799" s="5">
        <f>IFERROR(__xludf.DUMMYFUNCTION("""COMPUTED_VALUE"""),5472.98)</f>
        <v>5472.98</v>
      </c>
      <c r="L799" s="4">
        <f>IFERROR(__xludf.DUMMYFUNCTION("""COMPUTED_VALUE"""),1.0)</f>
        <v>1</v>
      </c>
      <c r="M799" s="4">
        <f>IFERROR(__xludf.DUMMYFUNCTION("""COMPUTED_VALUE"""),30.0)</f>
        <v>30</v>
      </c>
      <c r="N799" s="2" t="str">
        <f>IFERROR(__xludf.DUMMYFUNCTION("""COMPUTED_VALUE"""),"FALSO")</f>
        <v>FALSO</v>
      </c>
    </row>
    <row r="800">
      <c r="A800" s="2">
        <f>IFERROR(__xludf.DUMMYFUNCTION("""COMPUTED_VALUE"""),799.0)</f>
        <v>799</v>
      </c>
      <c r="B800" s="2" t="str">
        <f>IFERROR(__xludf.DUMMYFUNCTION("""COMPUTED_VALUE"""),"Katrina Rowberry")</f>
        <v>Katrina Rowberry</v>
      </c>
      <c r="C800" s="2" t="str">
        <f>IFERROR(__xludf.DUMMYFUNCTION("""COMPUTED_VALUE"""),"krowberrym7@jugem.jp")</f>
        <v>krowberrym7@jugem.jp</v>
      </c>
      <c r="D800" s="4">
        <f>IFERROR(__xludf.DUMMYFUNCTION("""COMPUTED_VALUE"""),124.0)</f>
        <v>124</v>
      </c>
      <c r="E800" s="4">
        <f>IFERROR(__xludf.DUMMYFUNCTION("""COMPUTED_VALUE"""),81.0)</f>
        <v>81</v>
      </c>
      <c r="F800" s="4">
        <f>IFERROR(__xludf.DUMMYFUNCTION("""COMPUTED_VALUE"""),2.0)</f>
        <v>2</v>
      </c>
      <c r="G800" s="4">
        <f>IFERROR(__xludf.DUMMYFUNCTION("""COMPUTED_VALUE"""),1441.0)</f>
        <v>1441</v>
      </c>
      <c r="H800" s="5">
        <f>IFERROR(__xludf.DUMMYFUNCTION("""COMPUTED_VALUE"""),2999.59)</f>
        <v>2999.59</v>
      </c>
      <c r="I800" s="5">
        <f>IFERROR(__xludf.DUMMYFUNCTION("""COMPUTED_VALUE"""),324.81)</f>
        <v>324.81</v>
      </c>
      <c r="J800" s="5">
        <f>IFERROR(__xludf.DUMMYFUNCTION("""COMPUTED_VALUE"""),8251.5)</f>
        <v>8251.5</v>
      </c>
      <c r="K800" s="5">
        <f>IFERROR(__xludf.DUMMYFUNCTION("""COMPUTED_VALUE"""),9031.85)</f>
        <v>9031.85</v>
      </c>
      <c r="L800" s="4">
        <f>IFERROR(__xludf.DUMMYFUNCTION("""COMPUTED_VALUE"""),16.0)</f>
        <v>16</v>
      </c>
      <c r="M800" s="4">
        <f>IFERROR(__xludf.DUMMYFUNCTION("""COMPUTED_VALUE"""),67.0)</f>
        <v>67</v>
      </c>
      <c r="N800" s="2" t="str">
        <f>IFERROR(__xludf.DUMMYFUNCTION("""COMPUTED_VALUE"""),"VERDADERO")</f>
        <v>VERDADERO</v>
      </c>
    </row>
    <row r="801">
      <c r="A801" s="2">
        <f>IFERROR(__xludf.DUMMYFUNCTION("""COMPUTED_VALUE"""),800.0)</f>
        <v>800</v>
      </c>
      <c r="B801" s="2" t="str">
        <f>IFERROR(__xludf.DUMMYFUNCTION("""COMPUTED_VALUE"""),"Skippy Kerbler")</f>
        <v>Skippy Kerbler</v>
      </c>
      <c r="C801" s="2" t="str">
        <f>IFERROR(__xludf.DUMMYFUNCTION("""COMPUTED_VALUE"""),"skerblerm8@chicagotribune.com")</f>
        <v>skerblerm8@chicagotribune.com</v>
      </c>
      <c r="D801" s="4">
        <f>IFERROR(__xludf.DUMMYFUNCTION("""COMPUTED_VALUE"""),122.0)</f>
        <v>122</v>
      </c>
      <c r="E801" s="4">
        <f>IFERROR(__xludf.DUMMYFUNCTION("""COMPUTED_VALUE"""),81.0)</f>
        <v>81</v>
      </c>
      <c r="F801" s="4">
        <f>IFERROR(__xludf.DUMMYFUNCTION("""COMPUTED_VALUE"""),2.0)</f>
        <v>2</v>
      </c>
      <c r="G801" s="4">
        <f>IFERROR(__xludf.DUMMYFUNCTION("""COMPUTED_VALUE"""),833.0)</f>
        <v>833</v>
      </c>
      <c r="H801" s="5">
        <f>IFERROR(__xludf.DUMMYFUNCTION("""COMPUTED_VALUE"""),2862.45)</f>
        <v>2862.45</v>
      </c>
      <c r="I801" s="5">
        <f>IFERROR(__xludf.DUMMYFUNCTION("""COMPUTED_VALUE"""),7620.46)</f>
        <v>7620.46</v>
      </c>
      <c r="J801" s="5">
        <f>IFERROR(__xludf.DUMMYFUNCTION("""COMPUTED_VALUE"""),3006.86)</f>
        <v>3006.86</v>
      </c>
      <c r="K801" s="5">
        <f>IFERROR(__xludf.DUMMYFUNCTION("""COMPUTED_VALUE"""),2079.87)</f>
        <v>2079.87</v>
      </c>
      <c r="L801" s="4">
        <f>IFERROR(__xludf.DUMMYFUNCTION("""COMPUTED_VALUE"""),19.0)</f>
        <v>19</v>
      </c>
      <c r="M801" s="4">
        <f>IFERROR(__xludf.DUMMYFUNCTION("""COMPUTED_VALUE"""),62.0)</f>
        <v>62</v>
      </c>
      <c r="N801" s="2" t="str">
        <f>IFERROR(__xludf.DUMMYFUNCTION("""COMPUTED_VALUE"""),"VERDADERO")</f>
        <v>VERDADERO</v>
      </c>
    </row>
    <row r="802">
      <c r="A802" s="2">
        <f>IFERROR(__xludf.DUMMYFUNCTION("""COMPUTED_VALUE"""),801.0)</f>
        <v>801</v>
      </c>
      <c r="B802" s="2" t="str">
        <f>IFERROR(__xludf.DUMMYFUNCTION("""COMPUTED_VALUE"""),"Darcey Dowse")</f>
        <v>Darcey Dowse</v>
      </c>
      <c r="C802" s="2" t="str">
        <f>IFERROR(__xludf.DUMMYFUNCTION("""COMPUTED_VALUE"""),"ddowsem9@newyorker.com")</f>
        <v>ddowsem9@newyorker.com</v>
      </c>
      <c r="D802" s="4">
        <f>IFERROR(__xludf.DUMMYFUNCTION("""COMPUTED_VALUE"""),122.0)</f>
        <v>122</v>
      </c>
      <c r="E802" s="4">
        <f>IFERROR(__xludf.DUMMYFUNCTION("""COMPUTED_VALUE"""),87.0)</f>
        <v>87</v>
      </c>
      <c r="F802" s="4">
        <f>IFERROR(__xludf.DUMMYFUNCTION("""COMPUTED_VALUE"""),1.0)</f>
        <v>1</v>
      </c>
      <c r="G802" s="4">
        <f>IFERROR(__xludf.DUMMYFUNCTION("""COMPUTED_VALUE"""),1021.0)</f>
        <v>1021</v>
      </c>
      <c r="H802" s="5">
        <f>IFERROR(__xludf.DUMMYFUNCTION("""COMPUTED_VALUE"""),4353.87)</f>
        <v>4353.87</v>
      </c>
      <c r="I802" s="5">
        <f>IFERROR(__xludf.DUMMYFUNCTION("""COMPUTED_VALUE"""),8526.48)</f>
        <v>8526.48</v>
      </c>
      <c r="J802" s="5">
        <f>IFERROR(__xludf.DUMMYFUNCTION("""COMPUTED_VALUE"""),5332.85)</f>
        <v>5332.85</v>
      </c>
      <c r="K802" s="5">
        <f>IFERROR(__xludf.DUMMYFUNCTION("""COMPUTED_VALUE"""),4848.72)</f>
        <v>4848.72</v>
      </c>
      <c r="L802" s="4">
        <f>IFERROR(__xludf.DUMMYFUNCTION("""COMPUTED_VALUE"""),1.0)</f>
        <v>1</v>
      </c>
      <c r="M802" s="4">
        <f>IFERROR(__xludf.DUMMYFUNCTION("""COMPUTED_VALUE"""),42.0)</f>
        <v>42</v>
      </c>
      <c r="N802" s="2" t="str">
        <f>IFERROR(__xludf.DUMMYFUNCTION("""COMPUTED_VALUE"""),"FALSO")</f>
        <v>FALSO</v>
      </c>
    </row>
    <row r="803">
      <c r="A803" s="2">
        <f>IFERROR(__xludf.DUMMYFUNCTION("""COMPUTED_VALUE"""),802.0)</f>
        <v>802</v>
      </c>
      <c r="B803" s="2" t="str">
        <f>IFERROR(__xludf.DUMMYFUNCTION("""COMPUTED_VALUE"""),"Eleen Waleworke")</f>
        <v>Eleen Waleworke</v>
      </c>
      <c r="C803" s="2" t="str">
        <f>IFERROR(__xludf.DUMMYFUNCTION("""COMPUTED_VALUE"""),"ewaleworkema@hc360.com")</f>
        <v>ewaleworkema@hc360.com</v>
      </c>
      <c r="D803" s="4">
        <f>IFERROR(__xludf.DUMMYFUNCTION("""COMPUTED_VALUE"""),65.0)</f>
        <v>65</v>
      </c>
      <c r="E803" s="4">
        <f>IFERROR(__xludf.DUMMYFUNCTION("""COMPUTED_VALUE"""),81.0)</f>
        <v>81</v>
      </c>
      <c r="F803" s="4">
        <f>IFERROR(__xludf.DUMMYFUNCTION("""COMPUTED_VALUE"""),2.0)</f>
        <v>2</v>
      </c>
      <c r="G803" s="4">
        <f>IFERROR(__xludf.DUMMYFUNCTION("""COMPUTED_VALUE"""),1118.0)</f>
        <v>1118</v>
      </c>
      <c r="H803" s="5">
        <f>IFERROR(__xludf.DUMMYFUNCTION("""COMPUTED_VALUE"""),2551.01)</f>
        <v>2551.01</v>
      </c>
      <c r="I803" s="5">
        <f>IFERROR(__xludf.DUMMYFUNCTION("""COMPUTED_VALUE"""),3955.55)</f>
        <v>3955.55</v>
      </c>
      <c r="J803" s="5">
        <f>IFERROR(__xludf.DUMMYFUNCTION("""COMPUTED_VALUE"""),3348.87)</f>
        <v>3348.87</v>
      </c>
      <c r="K803" s="5">
        <f>IFERROR(__xludf.DUMMYFUNCTION("""COMPUTED_VALUE"""),7103.48)</f>
        <v>7103.48</v>
      </c>
      <c r="L803" s="4">
        <f>IFERROR(__xludf.DUMMYFUNCTION("""COMPUTED_VALUE"""),16.0)</f>
        <v>16</v>
      </c>
      <c r="M803" s="4">
        <f>IFERROR(__xludf.DUMMYFUNCTION("""COMPUTED_VALUE"""),42.0)</f>
        <v>42</v>
      </c>
      <c r="N803" s="2" t="str">
        <f>IFERROR(__xludf.DUMMYFUNCTION("""COMPUTED_VALUE"""),"VERDADERO")</f>
        <v>VERDADERO</v>
      </c>
    </row>
    <row r="804">
      <c r="A804" s="2">
        <f>IFERROR(__xludf.DUMMYFUNCTION("""COMPUTED_VALUE"""),803.0)</f>
        <v>803</v>
      </c>
      <c r="B804" s="2" t="str">
        <f>IFERROR(__xludf.DUMMYFUNCTION("""COMPUTED_VALUE"""),"Carmelina Hampson")</f>
        <v>Carmelina Hampson</v>
      </c>
      <c r="C804" s="2" t="str">
        <f>IFERROR(__xludf.DUMMYFUNCTION("""COMPUTED_VALUE"""),"champsonmb@engadget.com")</f>
        <v>champsonmb@engadget.com</v>
      </c>
      <c r="D804" s="4">
        <f>IFERROR(__xludf.DUMMYFUNCTION("""COMPUTED_VALUE"""),160.0)</f>
        <v>160</v>
      </c>
      <c r="E804" s="4">
        <f>IFERROR(__xludf.DUMMYFUNCTION("""COMPUTED_VALUE"""),65.0)</f>
        <v>65</v>
      </c>
      <c r="F804" s="4">
        <f>IFERROR(__xludf.DUMMYFUNCTION("""COMPUTED_VALUE"""),9.0)</f>
        <v>9</v>
      </c>
      <c r="G804" s="4">
        <f>IFERROR(__xludf.DUMMYFUNCTION("""COMPUTED_VALUE"""),836.0)</f>
        <v>836</v>
      </c>
      <c r="H804" s="5">
        <f>IFERROR(__xludf.DUMMYFUNCTION("""COMPUTED_VALUE"""),8120.17)</f>
        <v>8120.17</v>
      </c>
      <c r="I804" s="5">
        <f>IFERROR(__xludf.DUMMYFUNCTION("""COMPUTED_VALUE"""),5433.35)</f>
        <v>5433.35</v>
      </c>
      <c r="J804" s="5">
        <f>IFERROR(__xludf.DUMMYFUNCTION("""COMPUTED_VALUE"""),4294.38)</f>
        <v>4294.38</v>
      </c>
      <c r="K804" s="5">
        <f>IFERROR(__xludf.DUMMYFUNCTION("""COMPUTED_VALUE"""),3650.28)</f>
        <v>3650.28</v>
      </c>
      <c r="L804" s="4">
        <f>IFERROR(__xludf.DUMMYFUNCTION("""COMPUTED_VALUE"""),11.0)</f>
        <v>11</v>
      </c>
      <c r="M804" s="4">
        <f>IFERROR(__xludf.DUMMYFUNCTION("""COMPUTED_VALUE"""),73.0)</f>
        <v>73</v>
      </c>
      <c r="N804" s="2" t="str">
        <f>IFERROR(__xludf.DUMMYFUNCTION("""COMPUTED_VALUE"""),"VERDADERO")</f>
        <v>VERDADERO</v>
      </c>
    </row>
    <row r="805">
      <c r="A805" s="2">
        <f>IFERROR(__xludf.DUMMYFUNCTION("""COMPUTED_VALUE"""),804.0)</f>
        <v>804</v>
      </c>
      <c r="B805" s="2" t="str">
        <f>IFERROR(__xludf.DUMMYFUNCTION("""COMPUTED_VALUE"""),"Deloris Brigden")</f>
        <v>Deloris Brigden</v>
      </c>
      <c r="C805" s="2" t="str">
        <f>IFERROR(__xludf.DUMMYFUNCTION("""COMPUTED_VALUE"""),"dbrigdenmc@home.pl")</f>
        <v>dbrigdenmc@home.pl</v>
      </c>
      <c r="D805" s="4">
        <f>IFERROR(__xludf.DUMMYFUNCTION("""COMPUTED_VALUE"""),124.0)</f>
        <v>124</v>
      </c>
      <c r="E805" s="4">
        <f>IFERROR(__xludf.DUMMYFUNCTION("""COMPUTED_VALUE"""),4.0)</f>
        <v>4</v>
      </c>
      <c r="F805" s="4">
        <f>IFERROR(__xludf.DUMMYFUNCTION("""COMPUTED_VALUE"""),9.0)</f>
        <v>9</v>
      </c>
      <c r="G805" s="4">
        <f>IFERROR(__xludf.DUMMYFUNCTION("""COMPUTED_VALUE"""),413.0)</f>
        <v>413</v>
      </c>
      <c r="H805" s="5">
        <f>IFERROR(__xludf.DUMMYFUNCTION("""COMPUTED_VALUE"""),1145.63)</f>
        <v>1145.63</v>
      </c>
      <c r="I805" s="5">
        <f>IFERROR(__xludf.DUMMYFUNCTION("""COMPUTED_VALUE"""),8676.61)</f>
        <v>8676.61</v>
      </c>
      <c r="J805" s="5">
        <f>IFERROR(__xludf.DUMMYFUNCTION("""COMPUTED_VALUE"""),8000.67)</f>
        <v>8000.67</v>
      </c>
      <c r="K805" s="5">
        <f>IFERROR(__xludf.DUMMYFUNCTION("""COMPUTED_VALUE"""),9256.65)</f>
        <v>9256.65</v>
      </c>
      <c r="L805" s="4">
        <f>IFERROR(__xludf.DUMMYFUNCTION("""COMPUTED_VALUE"""),20.0)</f>
        <v>20</v>
      </c>
      <c r="M805" s="4">
        <f>IFERROR(__xludf.DUMMYFUNCTION("""COMPUTED_VALUE"""),9.0)</f>
        <v>9</v>
      </c>
      <c r="N805" s="2" t="str">
        <f>IFERROR(__xludf.DUMMYFUNCTION("""COMPUTED_VALUE"""),"VERDADERO")</f>
        <v>VERDADERO</v>
      </c>
    </row>
    <row r="806">
      <c r="A806" s="2">
        <f>IFERROR(__xludf.DUMMYFUNCTION("""COMPUTED_VALUE"""),805.0)</f>
        <v>805</v>
      </c>
      <c r="B806" s="2" t="str">
        <f>IFERROR(__xludf.DUMMYFUNCTION("""COMPUTED_VALUE"""),"Verina Ferreira")</f>
        <v>Verina Ferreira</v>
      </c>
      <c r="C806" s="2" t="str">
        <f>IFERROR(__xludf.DUMMYFUNCTION("""COMPUTED_VALUE"""),"vferreiramd@google.cn")</f>
        <v>vferreiramd@google.cn</v>
      </c>
      <c r="D806" s="4">
        <f>IFERROR(__xludf.DUMMYFUNCTION("""COMPUTED_VALUE"""),126.0)</f>
        <v>126</v>
      </c>
      <c r="E806" s="4">
        <f>IFERROR(__xludf.DUMMYFUNCTION("""COMPUTED_VALUE"""),58.0)</f>
        <v>58</v>
      </c>
      <c r="F806" s="4">
        <f>IFERROR(__xludf.DUMMYFUNCTION("""COMPUTED_VALUE"""),8.0)</f>
        <v>8</v>
      </c>
      <c r="G806" s="4">
        <f>IFERROR(__xludf.DUMMYFUNCTION("""COMPUTED_VALUE"""),498.0)</f>
        <v>498</v>
      </c>
      <c r="H806" s="5">
        <f>IFERROR(__xludf.DUMMYFUNCTION("""COMPUTED_VALUE"""),4011.19)</f>
        <v>4011.19</v>
      </c>
      <c r="I806" s="5">
        <f>IFERROR(__xludf.DUMMYFUNCTION("""COMPUTED_VALUE"""),3881.02)</f>
        <v>3881.02</v>
      </c>
      <c r="J806" s="5">
        <f>IFERROR(__xludf.DUMMYFUNCTION("""COMPUTED_VALUE"""),219.18)</f>
        <v>219.18</v>
      </c>
      <c r="K806" s="5">
        <f>IFERROR(__xludf.DUMMYFUNCTION("""COMPUTED_VALUE"""),4267.37)</f>
        <v>4267.37</v>
      </c>
      <c r="L806" s="4">
        <f>IFERROR(__xludf.DUMMYFUNCTION("""COMPUTED_VALUE"""),15.0)</f>
        <v>15</v>
      </c>
      <c r="M806" s="4">
        <f>IFERROR(__xludf.DUMMYFUNCTION("""COMPUTED_VALUE"""),11.0)</f>
        <v>11</v>
      </c>
      <c r="N806" s="2" t="str">
        <f>IFERROR(__xludf.DUMMYFUNCTION("""COMPUTED_VALUE"""),"VERDADERO")</f>
        <v>VERDADERO</v>
      </c>
    </row>
    <row r="807">
      <c r="A807" s="2">
        <f>IFERROR(__xludf.DUMMYFUNCTION("""COMPUTED_VALUE"""),806.0)</f>
        <v>806</v>
      </c>
      <c r="B807" s="2" t="str">
        <f>IFERROR(__xludf.DUMMYFUNCTION("""COMPUTED_VALUE"""),"Mollee Mum")</f>
        <v>Mollee Mum</v>
      </c>
      <c r="C807" s="2" t="str">
        <f>IFERROR(__xludf.DUMMYFUNCTION("""COMPUTED_VALUE"""),"mmumme@w3.org")</f>
        <v>mmumme@w3.org</v>
      </c>
      <c r="D807" s="4">
        <f>IFERROR(__xludf.DUMMYFUNCTION("""COMPUTED_VALUE"""),60.0)</f>
        <v>60</v>
      </c>
      <c r="E807" s="4">
        <f>IFERROR(__xludf.DUMMYFUNCTION("""COMPUTED_VALUE"""),8.0)</f>
        <v>8</v>
      </c>
      <c r="F807" s="4">
        <f>IFERROR(__xludf.DUMMYFUNCTION("""COMPUTED_VALUE"""),8.0)</f>
        <v>8</v>
      </c>
      <c r="G807" s="4">
        <f>IFERROR(__xludf.DUMMYFUNCTION("""COMPUTED_VALUE"""),150.0)</f>
        <v>150</v>
      </c>
      <c r="H807" s="5">
        <f>IFERROR(__xludf.DUMMYFUNCTION("""COMPUTED_VALUE"""),514.41)</f>
        <v>514.41</v>
      </c>
      <c r="I807" s="5">
        <f>IFERROR(__xludf.DUMMYFUNCTION("""COMPUTED_VALUE"""),1306.5)</f>
        <v>1306.5</v>
      </c>
      <c r="J807" s="5">
        <f>IFERROR(__xludf.DUMMYFUNCTION("""COMPUTED_VALUE"""),5005.92)</f>
        <v>5005.92</v>
      </c>
      <c r="K807" s="5">
        <f>IFERROR(__xludf.DUMMYFUNCTION("""COMPUTED_VALUE"""),8384.96)</f>
        <v>8384.96</v>
      </c>
      <c r="L807" s="4">
        <f>IFERROR(__xludf.DUMMYFUNCTION("""COMPUTED_VALUE"""),6.0)</f>
        <v>6</v>
      </c>
      <c r="M807" s="4">
        <f>IFERROR(__xludf.DUMMYFUNCTION("""COMPUTED_VALUE"""),95.0)</f>
        <v>95</v>
      </c>
      <c r="N807" s="2" t="str">
        <f>IFERROR(__xludf.DUMMYFUNCTION("""COMPUTED_VALUE"""),"VERDADERO")</f>
        <v>VERDADERO</v>
      </c>
    </row>
    <row r="808">
      <c r="A808" s="2">
        <f>IFERROR(__xludf.DUMMYFUNCTION("""COMPUTED_VALUE"""),807.0)</f>
        <v>807</v>
      </c>
      <c r="B808" s="2" t="str">
        <f>IFERROR(__xludf.DUMMYFUNCTION("""COMPUTED_VALUE"""),"Dion Chetwin")</f>
        <v>Dion Chetwin</v>
      </c>
      <c r="C808" s="2" t="str">
        <f>IFERROR(__xludf.DUMMYFUNCTION("""COMPUTED_VALUE"""),"dchetwinmf@dagondesign.com")</f>
        <v>dchetwinmf@dagondesign.com</v>
      </c>
      <c r="D808" s="4">
        <f>IFERROR(__xludf.DUMMYFUNCTION("""COMPUTED_VALUE"""),65.0)</f>
        <v>65</v>
      </c>
      <c r="E808" s="4">
        <f>IFERROR(__xludf.DUMMYFUNCTION("""COMPUTED_VALUE"""),81.0)</f>
        <v>81</v>
      </c>
      <c r="F808" s="4">
        <f>IFERROR(__xludf.DUMMYFUNCTION("""COMPUTED_VALUE"""),2.0)</f>
        <v>2</v>
      </c>
      <c r="G808" s="4">
        <f>IFERROR(__xludf.DUMMYFUNCTION("""COMPUTED_VALUE"""),792.0)</f>
        <v>792</v>
      </c>
      <c r="H808" s="5">
        <f>IFERROR(__xludf.DUMMYFUNCTION("""COMPUTED_VALUE"""),2912.86)</f>
        <v>2912.86</v>
      </c>
      <c r="I808" s="5">
        <f>IFERROR(__xludf.DUMMYFUNCTION("""COMPUTED_VALUE"""),4464.18)</f>
        <v>4464.18</v>
      </c>
      <c r="J808" s="5">
        <f>IFERROR(__xludf.DUMMYFUNCTION("""COMPUTED_VALUE"""),5560.95)</f>
        <v>5560.95</v>
      </c>
      <c r="K808" s="5">
        <f>IFERROR(__xludf.DUMMYFUNCTION("""COMPUTED_VALUE"""),9935.02)</f>
        <v>9935.02</v>
      </c>
      <c r="L808" s="4">
        <f>IFERROR(__xludf.DUMMYFUNCTION("""COMPUTED_VALUE"""),20.0)</f>
        <v>20</v>
      </c>
      <c r="M808" s="4">
        <f>IFERROR(__xludf.DUMMYFUNCTION("""COMPUTED_VALUE"""),60.0)</f>
        <v>60</v>
      </c>
      <c r="N808" s="2" t="str">
        <f>IFERROR(__xludf.DUMMYFUNCTION("""COMPUTED_VALUE"""),"FALSO")</f>
        <v>FALSO</v>
      </c>
    </row>
    <row r="809">
      <c r="A809" s="2">
        <f>IFERROR(__xludf.DUMMYFUNCTION("""COMPUTED_VALUE"""),808.0)</f>
        <v>808</v>
      </c>
      <c r="B809" s="2" t="str">
        <f>IFERROR(__xludf.DUMMYFUNCTION("""COMPUTED_VALUE"""),"Brigg Cowans")</f>
        <v>Brigg Cowans</v>
      </c>
      <c r="C809" s="2" t="str">
        <f>IFERROR(__xludf.DUMMYFUNCTION("""COMPUTED_VALUE"""),"bcowansmg@columbia.edu")</f>
        <v>bcowansmg@columbia.edu</v>
      </c>
      <c r="D809" s="4">
        <f>IFERROR(__xludf.DUMMYFUNCTION("""COMPUTED_VALUE"""),37.0)</f>
        <v>37</v>
      </c>
      <c r="E809" s="4">
        <f>IFERROR(__xludf.DUMMYFUNCTION("""COMPUTED_VALUE"""),81.0)</f>
        <v>81</v>
      </c>
      <c r="F809" s="4">
        <f>IFERROR(__xludf.DUMMYFUNCTION("""COMPUTED_VALUE"""),2.0)</f>
        <v>2</v>
      </c>
      <c r="G809" s="4">
        <f>IFERROR(__xludf.DUMMYFUNCTION("""COMPUTED_VALUE"""),220.0)</f>
        <v>220</v>
      </c>
      <c r="H809" s="5">
        <f>IFERROR(__xludf.DUMMYFUNCTION("""COMPUTED_VALUE"""),9772.55)</f>
        <v>9772.55</v>
      </c>
      <c r="I809" s="5">
        <f>IFERROR(__xludf.DUMMYFUNCTION("""COMPUTED_VALUE"""),8515.56)</f>
        <v>8515.56</v>
      </c>
      <c r="J809" s="5">
        <f>IFERROR(__xludf.DUMMYFUNCTION("""COMPUTED_VALUE"""),6464.38)</f>
        <v>6464.38</v>
      </c>
      <c r="K809" s="5">
        <f>IFERROR(__xludf.DUMMYFUNCTION("""COMPUTED_VALUE"""),6197.66)</f>
        <v>6197.66</v>
      </c>
      <c r="L809" s="4">
        <f>IFERROR(__xludf.DUMMYFUNCTION("""COMPUTED_VALUE"""),8.0)</f>
        <v>8</v>
      </c>
      <c r="M809" s="4">
        <f>IFERROR(__xludf.DUMMYFUNCTION("""COMPUTED_VALUE"""),12.0)</f>
        <v>12</v>
      </c>
      <c r="N809" s="2" t="str">
        <f>IFERROR(__xludf.DUMMYFUNCTION("""COMPUTED_VALUE"""),"FALSO")</f>
        <v>FALSO</v>
      </c>
    </row>
    <row r="810">
      <c r="A810" s="2">
        <f>IFERROR(__xludf.DUMMYFUNCTION("""COMPUTED_VALUE"""),809.0)</f>
        <v>809</v>
      </c>
      <c r="B810" s="2" t="str">
        <f>IFERROR(__xludf.DUMMYFUNCTION("""COMPUTED_VALUE"""),"Jeanne Vezey")</f>
        <v>Jeanne Vezey</v>
      </c>
      <c r="C810" s="2" t="str">
        <f>IFERROR(__xludf.DUMMYFUNCTION("""COMPUTED_VALUE"""),"jvezeymh@canalblog.com")</f>
        <v>jvezeymh@canalblog.com</v>
      </c>
      <c r="D810" s="4">
        <f>IFERROR(__xludf.DUMMYFUNCTION("""COMPUTED_VALUE"""),54.0)</f>
        <v>54</v>
      </c>
      <c r="E810" s="4">
        <f>IFERROR(__xludf.DUMMYFUNCTION("""COMPUTED_VALUE"""),25.0)</f>
        <v>25</v>
      </c>
      <c r="F810" s="4">
        <f>IFERROR(__xludf.DUMMYFUNCTION("""COMPUTED_VALUE"""),4.0)</f>
        <v>4</v>
      </c>
      <c r="G810" s="4">
        <f>IFERROR(__xludf.DUMMYFUNCTION("""COMPUTED_VALUE"""),1564.0)</f>
        <v>1564</v>
      </c>
      <c r="H810" s="5">
        <f>IFERROR(__xludf.DUMMYFUNCTION("""COMPUTED_VALUE"""),5694.22)</f>
        <v>5694.22</v>
      </c>
      <c r="I810" s="5">
        <f>IFERROR(__xludf.DUMMYFUNCTION("""COMPUTED_VALUE"""),6948.16)</f>
        <v>6948.16</v>
      </c>
      <c r="J810" s="5">
        <f>IFERROR(__xludf.DUMMYFUNCTION("""COMPUTED_VALUE"""),3731.07)</f>
        <v>3731.07</v>
      </c>
      <c r="K810" s="5">
        <f>IFERROR(__xludf.DUMMYFUNCTION("""COMPUTED_VALUE"""),3629.01)</f>
        <v>3629.01</v>
      </c>
      <c r="L810" s="4">
        <f>IFERROR(__xludf.DUMMYFUNCTION("""COMPUTED_VALUE"""),18.0)</f>
        <v>18</v>
      </c>
      <c r="M810" s="4">
        <f>IFERROR(__xludf.DUMMYFUNCTION("""COMPUTED_VALUE"""),86.0)</f>
        <v>86</v>
      </c>
      <c r="N810" s="2" t="str">
        <f>IFERROR(__xludf.DUMMYFUNCTION("""COMPUTED_VALUE"""),"FALSO")</f>
        <v>FALSO</v>
      </c>
    </row>
    <row r="811">
      <c r="A811" s="2">
        <f>IFERROR(__xludf.DUMMYFUNCTION("""COMPUTED_VALUE"""),810.0)</f>
        <v>810</v>
      </c>
      <c r="B811" s="2" t="str">
        <f>IFERROR(__xludf.DUMMYFUNCTION("""COMPUTED_VALUE"""),"Gun Beatey")</f>
        <v>Gun Beatey</v>
      </c>
      <c r="C811" s="2" t="str">
        <f>IFERROR(__xludf.DUMMYFUNCTION("""COMPUTED_VALUE"""),"gbeateymi@gravatar.com")</f>
        <v>gbeateymi@gravatar.com</v>
      </c>
      <c r="D811" s="4">
        <f>IFERROR(__xludf.DUMMYFUNCTION("""COMPUTED_VALUE"""),65.0)</f>
        <v>65</v>
      </c>
      <c r="E811" s="4">
        <f>IFERROR(__xludf.DUMMYFUNCTION("""COMPUTED_VALUE"""),40.0)</f>
        <v>40</v>
      </c>
      <c r="F811" s="4">
        <f>IFERROR(__xludf.DUMMYFUNCTION("""COMPUTED_VALUE"""),1.0)</f>
        <v>1</v>
      </c>
      <c r="G811" s="4">
        <f>IFERROR(__xludf.DUMMYFUNCTION("""COMPUTED_VALUE"""),1372.0)</f>
        <v>1372</v>
      </c>
      <c r="H811" s="5">
        <f>IFERROR(__xludf.DUMMYFUNCTION("""COMPUTED_VALUE"""),4183.78)</f>
        <v>4183.78</v>
      </c>
      <c r="I811" s="5">
        <f>IFERROR(__xludf.DUMMYFUNCTION("""COMPUTED_VALUE"""),3027.63)</f>
        <v>3027.63</v>
      </c>
      <c r="J811" s="5">
        <f>IFERROR(__xludf.DUMMYFUNCTION("""COMPUTED_VALUE"""),7389.7)</f>
        <v>7389.7</v>
      </c>
      <c r="K811" s="5">
        <f>IFERROR(__xludf.DUMMYFUNCTION("""COMPUTED_VALUE"""),5948.69)</f>
        <v>5948.69</v>
      </c>
      <c r="L811" s="4">
        <f>IFERROR(__xludf.DUMMYFUNCTION("""COMPUTED_VALUE"""),3.0)</f>
        <v>3</v>
      </c>
      <c r="M811" s="4">
        <f>IFERROR(__xludf.DUMMYFUNCTION("""COMPUTED_VALUE"""),62.0)</f>
        <v>62</v>
      </c>
      <c r="N811" s="2" t="str">
        <f>IFERROR(__xludf.DUMMYFUNCTION("""COMPUTED_VALUE"""),"FALSO")</f>
        <v>FALSO</v>
      </c>
    </row>
    <row r="812">
      <c r="A812" s="2">
        <f>IFERROR(__xludf.DUMMYFUNCTION("""COMPUTED_VALUE"""),811.0)</f>
        <v>811</v>
      </c>
      <c r="B812" s="2" t="str">
        <f>IFERROR(__xludf.DUMMYFUNCTION("""COMPUTED_VALUE"""),"Olwen Fearenside")</f>
        <v>Olwen Fearenside</v>
      </c>
      <c r="C812" s="2" t="str">
        <f>IFERROR(__xludf.DUMMYFUNCTION("""COMPUTED_VALUE"""),"ofearensidemj@ycombinator.com")</f>
        <v>ofearensidemj@ycombinator.com</v>
      </c>
      <c r="D812" s="4">
        <f>IFERROR(__xludf.DUMMYFUNCTION("""COMPUTED_VALUE"""),35.0)</f>
        <v>35</v>
      </c>
      <c r="E812" s="4">
        <f>IFERROR(__xludf.DUMMYFUNCTION("""COMPUTED_VALUE"""),81.0)</f>
        <v>81</v>
      </c>
      <c r="F812" s="4">
        <f>IFERROR(__xludf.DUMMYFUNCTION("""COMPUTED_VALUE"""),2.0)</f>
        <v>2</v>
      </c>
      <c r="G812" s="4">
        <f>IFERROR(__xludf.DUMMYFUNCTION("""COMPUTED_VALUE"""),44.0)</f>
        <v>44</v>
      </c>
      <c r="H812" s="5">
        <f>IFERROR(__xludf.DUMMYFUNCTION("""COMPUTED_VALUE"""),5362.71)</f>
        <v>5362.71</v>
      </c>
      <c r="I812" s="5">
        <f>IFERROR(__xludf.DUMMYFUNCTION("""COMPUTED_VALUE"""),5495.18)</f>
        <v>5495.18</v>
      </c>
      <c r="J812" s="5">
        <f>IFERROR(__xludf.DUMMYFUNCTION("""COMPUTED_VALUE"""),1403.16)</f>
        <v>1403.16</v>
      </c>
      <c r="K812" s="5">
        <f>IFERROR(__xludf.DUMMYFUNCTION("""COMPUTED_VALUE"""),7505.98)</f>
        <v>7505.98</v>
      </c>
      <c r="L812" s="4">
        <f>IFERROR(__xludf.DUMMYFUNCTION("""COMPUTED_VALUE"""),18.0)</f>
        <v>18</v>
      </c>
      <c r="M812" s="4">
        <f>IFERROR(__xludf.DUMMYFUNCTION("""COMPUTED_VALUE"""),14.0)</f>
        <v>14</v>
      </c>
      <c r="N812" s="2" t="str">
        <f>IFERROR(__xludf.DUMMYFUNCTION("""COMPUTED_VALUE"""),"VERDADERO")</f>
        <v>VERDADERO</v>
      </c>
    </row>
    <row r="813">
      <c r="A813" s="2">
        <f>IFERROR(__xludf.DUMMYFUNCTION("""COMPUTED_VALUE"""),812.0)</f>
        <v>812</v>
      </c>
      <c r="B813" s="2" t="str">
        <f>IFERROR(__xludf.DUMMYFUNCTION("""COMPUTED_VALUE"""),"Astra Stebbings")</f>
        <v>Astra Stebbings</v>
      </c>
      <c r="C813" s="2" t="str">
        <f>IFERROR(__xludf.DUMMYFUNCTION("""COMPUTED_VALUE"""),"astebbingsmk@dell.com")</f>
        <v>astebbingsmk@dell.com</v>
      </c>
      <c r="D813" s="4">
        <f>IFERROR(__xludf.DUMMYFUNCTION("""COMPUTED_VALUE"""),68.0)</f>
        <v>68</v>
      </c>
      <c r="E813" s="4">
        <f>IFERROR(__xludf.DUMMYFUNCTION("""COMPUTED_VALUE"""),25.0)</f>
        <v>25</v>
      </c>
      <c r="F813" s="4">
        <f>IFERROR(__xludf.DUMMYFUNCTION("""COMPUTED_VALUE"""),4.0)</f>
        <v>4</v>
      </c>
      <c r="G813" s="4">
        <f>IFERROR(__xludf.DUMMYFUNCTION("""COMPUTED_VALUE"""),674.0)</f>
        <v>674</v>
      </c>
      <c r="H813" s="5">
        <f>IFERROR(__xludf.DUMMYFUNCTION("""COMPUTED_VALUE"""),8179.7)</f>
        <v>8179.7</v>
      </c>
      <c r="I813" s="5">
        <f>IFERROR(__xludf.DUMMYFUNCTION("""COMPUTED_VALUE"""),5002.05)</f>
        <v>5002.05</v>
      </c>
      <c r="J813" s="5">
        <f>IFERROR(__xludf.DUMMYFUNCTION("""COMPUTED_VALUE"""),2089.89)</f>
        <v>2089.89</v>
      </c>
      <c r="K813" s="5">
        <f>IFERROR(__xludf.DUMMYFUNCTION("""COMPUTED_VALUE"""),5600.93)</f>
        <v>5600.93</v>
      </c>
      <c r="L813" s="4">
        <f>IFERROR(__xludf.DUMMYFUNCTION("""COMPUTED_VALUE"""),7.0)</f>
        <v>7</v>
      </c>
      <c r="M813" s="4">
        <f>IFERROR(__xludf.DUMMYFUNCTION("""COMPUTED_VALUE"""),11.0)</f>
        <v>11</v>
      </c>
      <c r="N813" s="2" t="str">
        <f>IFERROR(__xludf.DUMMYFUNCTION("""COMPUTED_VALUE"""),"VERDADERO")</f>
        <v>VERDADERO</v>
      </c>
    </row>
    <row r="814">
      <c r="A814" s="2">
        <f>IFERROR(__xludf.DUMMYFUNCTION("""COMPUTED_VALUE"""),813.0)</f>
        <v>813</v>
      </c>
      <c r="B814" s="2" t="str">
        <f>IFERROR(__xludf.DUMMYFUNCTION("""COMPUTED_VALUE"""),"Sashenka Limpkin")</f>
        <v>Sashenka Limpkin</v>
      </c>
      <c r="C814" s="2" t="str">
        <f>IFERROR(__xludf.DUMMYFUNCTION("""COMPUTED_VALUE"""),"slimpkinml@cdbaby.com")</f>
        <v>slimpkinml@cdbaby.com</v>
      </c>
      <c r="D814" s="4">
        <f>IFERROR(__xludf.DUMMYFUNCTION("""COMPUTED_VALUE"""),157.0)</f>
        <v>157</v>
      </c>
      <c r="E814" s="4">
        <f>IFERROR(__xludf.DUMMYFUNCTION("""COMPUTED_VALUE"""),100.0)</f>
        <v>100</v>
      </c>
      <c r="F814" s="4">
        <f>IFERROR(__xludf.DUMMYFUNCTION("""COMPUTED_VALUE"""),9.0)</f>
        <v>9</v>
      </c>
      <c r="G814" s="4">
        <f>IFERROR(__xludf.DUMMYFUNCTION("""COMPUTED_VALUE"""),724.0)</f>
        <v>724</v>
      </c>
      <c r="H814" s="5">
        <f>IFERROR(__xludf.DUMMYFUNCTION("""COMPUTED_VALUE"""),7167.81)</f>
        <v>7167.81</v>
      </c>
      <c r="I814" s="5">
        <f>IFERROR(__xludf.DUMMYFUNCTION("""COMPUTED_VALUE"""),6331.34)</f>
        <v>6331.34</v>
      </c>
      <c r="J814" s="5">
        <f>IFERROR(__xludf.DUMMYFUNCTION("""COMPUTED_VALUE"""),9206.35)</f>
        <v>9206.35</v>
      </c>
      <c r="K814" s="5">
        <f>IFERROR(__xludf.DUMMYFUNCTION("""COMPUTED_VALUE"""),53.74)</f>
        <v>53.74</v>
      </c>
      <c r="L814" s="4">
        <f>IFERROR(__xludf.DUMMYFUNCTION("""COMPUTED_VALUE"""),4.0)</f>
        <v>4</v>
      </c>
      <c r="M814" s="4">
        <f>IFERROR(__xludf.DUMMYFUNCTION("""COMPUTED_VALUE"""),2.0)</f>
        <v>2</v>
      </c>
      <c r="N814" s="2" t="str">
        <f>IFERROR(__xludf.DUMMYFUNCTION("""COMPUTED_VALUE"""),"FALSO")</f>
        <v>FALSO</v>
      </c>
    </row>
    <row r="815">
      <c r="A815" s="2">
        <f>IFERROR(__xludf.DUMMYFUNCTION("""COMPUTED_VALUE"""),814.0)</f>
        <v>814</v>
      </c>
      <c r="B815" s="2" t="str">
        <f>IFERROR(__xludf.DUMMYFUNCTION("""COMPUTED_VALUE"""),"Mae Wintle")</f>
        <v>Mae Wintle</v>
      </c>
      <c r="C815" s="2" t="str">
        <f>IFERROR(__xludf.DUMMYFUNCTION("""COMPUTED_VALUE"""),"mwintlemm@narod.ru")</f>
        <v>mwintlemm@narod.ru</v>
      </c>
      <c r="D815" s="4">
        <f>IFERROR(__xludf.DUMMYFUNCTION("""COMPUTED_VALUE"""),17.0)</f>
        <v>17</v>
      </c>
      <c r="E815" s="4">
        <f>IFERROR(__xludf.DUMMYFUNCTION("""COMPUTED_VALUE"""),40.0)</f>
        <v>40</v>
      </c>
      <c r="F815" s="4">
        <f>IFERROR(__xludf.DUMMYFUNCTION("""COMPUTED_VALUE"""),1.0)</f>
        <v>1</v>
      </c>
      <c r="G815" s="4">
        <f>IFERROR(__xludf.DUMMYFUNCTION("""COMPUTED_VALUE"""),1299.0)</f>
        <v>1299</v>
      </c>
      <c r="H815" s="5">
        <f>IFERROR(__xludf.DUMMYFUNCTION("""COMPUTED_VALUE"""),7565.6)</f>
        <v>7565.6</v>
      </c>
      <c r="I815" s="5">
        <f>IFERROR(__xludf.DUMMYFUNCTION("""COMPUTED_VALUE"""),5569.12)</f>
        <v>5569.12</v>
      </c>
      <c r="J815" s="5">
        <f>IFERROR(__xludf.DUMMYFUNCTION("""COMPUTED_VALUE"""),6784.8)</f>
        <v>6784.8</v>
      </c>
      <c r="K815" s="5">
        <f>IFERROR(__xludf.DUMMYFUNCTION("""COMPUTED_VALUE"""),8199.19)</f>
        <v>8199.19</v>
      </c>
      <c r="L815" s="4">
        <f>IFERROR(__xludf.DUMMYFUNCTION("""COMPUTED_VALUE"""),20.0)</f>
        <v>20</v>
      </c>
      <c r="M815" s="4">
        <f>IFERROR(__xludf.DUMMYFUNCTION("""COMPUTED_VALUE"""),82.0)</f>
        <v>82</v>
      </c>
      <c r="N815" s="2" t="str">
        <f>IFERROR(__xludf.DUMMYFUNCTION("""COMPUTED_VALUE"""),"FALSO")</f>
        <v>FALSO</v>
      </c>
    </row>
    <row r="816">
      <c r="A816" s="2">
        <f>IFERROR(__xludf.DUMMYFUNCTION("""COMPUTED_VALUE"""),815.0)</f>
        <v>815</v>
      </c>
      <c r="B816" s="2" t="str">
        <f>IFERROR(__xludf.DUMMYFUNCTION("""COMPUTED_VALUE"""),"Maye Fulloway")</f>
        <v>Maye Fulloway</v>
      </c>
      <c r="C816" s="2" t="str">
        <f>IFERROR(__xludf.DUMMYFUNCTION("""COMPUTED_VALUE"""),"mfullowaymn@storify.com")</f>
        <v>mfullowaymn@storify.com</v>
      </c>
      <c r="D816" s="4">
        <f>IFERROR(__xludf.DUMMYFUNCTION("""COMPUTED_VALUE"""),134.0)</f>
        <v>134</v>
      </c>
      <c r="E816" s="4">
        <f>IFERROR(__xludf.DUMMYFUNCTION("""COMPUTED_VALUE"""),102.0)</f>
        <v>102</v>
      </c>
      <c r="F816" s="4">
        <f>IFERROR(__xludf.DUMMYFUNCTION("""COMPUTED_VALUE"""),4.0)</f>
        <v>4</v>
      </c>
      <c r="G816" s="4">
        <f>IFERROR(__xludf.DUMMYFUNCTION("""COMPUTED_VALUE"""),1466.0)</f>
        <v>1466</v>
      </c>
      <c r="H816" s="5">
        <f>IFERROR(__xludf.DUMMYFUNCTION("""COMPUTED_VALUE"""),3288.99)</f>
        <v>3288.99</v>
      </c>
      <c r="I816" s="5">
        <f>IFERROR(__xludf.DUMMYFUNCTION("""COMPUTED_VALUE"""),3848.93)</f>
        <v>3848.93</v>
      </c>
      <c r="J816" s="5">
        <f>IFERROR(__xludf.DUMMYFUNCTION("""COMPUTED_VALUE"""),8610.65)</f>
        <v>8610.65</v>
      </c>
      <c r="K816" s="5">
        <f>IFERROR(__xludf.DUMMYFUNCTION("""COMPUTED_VALUE"""),9780.96)</f>
        <v>9780.96</v>
      </c>
      <c r="L816" s="4">
        <f>IFERROR(__xludf.DUMMYFUNCTION("""COMPUTED_VALUE"""),5.0)</f>
        <v>5</v>
      </c>
      <c r="M816" s="4">
        <f>IFERROR(__xludf.DUMMYFUNCTION("""COMPUTED_VALUE"""),37.0)</f>
        <v>37</v>
      </c>
      <c r="N816" s="2" t="str">
        <f>IFERROR(__xludf.DUMMYFUNCTION("""COMPUTED_VALUE"""),"FALSO")</f>
        <v>FALSO</v>
      </c>
    </row>
    <row r="817">
      <c r="A817" s="2">
        <f>IFERROR(__xludf.DUMMYFUNCTION("""COMPUTED_VALUE"""),816.0)</f>
        <v>816</v>
      </c>
      <c r="B817" s="2" t="str">
        <f>IFERROR(__xludf.DUMMYFUNCTION("""COMPUTED_VALUE"""),"Blake Abeles")</f>
        <v>Blake Abeles</v>
      </c>
      <c r="C817" s="2" t="str">
        <f>IFERROR(__xludf.DUMMYFUNCTION("""COMPUTED_VALUE"""),"babelesmo@rediff.com")</f>
        <v>babelesmo@rediff.com</v>
      </c>
      <c r="D817" s="4">
        <f>IFERROR(__xludf.DUMMYFUNCTION("""COMPUTED_VALUE"""),120.0)</f>
        <v>120</v>
      </c>
      <c r="E817" s="4">
        <f>IFERROR(__xludf.DUMMYFUNCTION("""COMPUTED_VALUE"""),18.0)</f>
        <v>18</v>
      </c>
      <c r="F817" s="4">
        <f>IFERROR(__xludf.DUMMYFUNCTION("""COMPUTED_VALUE"""),8.0)</f>
        <v>8</v>
      </c>
      <c r="G817" s="4">
        <f>IFERROR(__xludf.DUMMYFUNCTION("""COMPUTED_VALUE"""),1458.0)</f>
        <v>1458</v>
      </c>
      <c r="H817" s="5">
        <f>IFERROR(__xludf.DUMMYFUNCTION("""COMPUTED_VALUE"""),9637.8)</f>
        <v>9637.8</v>
      </c>
      <c r="I817" s="5">
        <f>IFERROR(__xludf.DUMMYFUNCTION("""COMPUTED_VALUE"""),453.69)</f>
        <v>453.69</v>
      </c>
      <c r="J817" s="5">
        <f>IFERROR(__xludf.DUMMYFUNCTION("""COMPUTED_VALUE"""),9909.97)</f>
        <v>9909.97</v>
      </c>
      <c r="K817" s="5">
        <f>IFERROR(__xludf.DUMMYFUNCTION("""COMPUTED_VALUE"""),466.96)</f>
        <v>466.96</v>
      </c>
      <c r="L817" s="4">
        <f>IFERROR(__xludf.DUMMYFUNCTION("""COMPUTED_VALUE"""),13.0)</f>
        <v>13</v>
      </c>
      <c r="M817" s="4">
        <f>IFERROR(__xludf.DUMMYFUNCTION("""COMPUTED_VALUE"""),2.0)</f>
        <v>2</v>
      </c>
      <c r="N817" s="2" t="str">
        <f>IFERROR(__xludf.DUMMYFUNCTION("""COMPUTED_VALUE"""),"VERDADERO")</f>
        <v>VERDADERO</v>
      </c>
    </row>
    <row r="818">
      <c r="A818" s="2">
        <f>IFERROR(__xludf.DUMMYFUNCTION("""COMPUTED_VALUE"""),817.0)</f>
        <v>817</v>
      </c>
      <c r="B818" s="2" t="str">
        <f>IFERROR(__xludf.DUMMYFUNCTION("""COMPUTED_VALUE"""),"Nona Halworth")</f>
        <v>Nona Halworth</v>
      </c>
      <c r="C818" s="2" t="str">
        <f>IFERROR(__xludf.DUMMYFUNCTION("""COMPUTED_VALUE"""),"nhalworthmp@amazon.com")</f>
        <v>nhalworthmp@amazon.com</v>
      </c>
      <c r="D818" s="4">
        <f>IFERROR(__xludf.DUMMYFUNCTION("""COMPUTED_VALUE"""),130.0)</f>
        <v>130</v>
      </c>
      <c r="E818" s="4">
        <f>IFERROR(__xludf.DUMMYFUNCTION("""COMPUTED_VALUE"""),8.0)</f>
        <v>8</v>
      </c>
      <c r="F818" s="4">
        <f>IFERROR(__xludf.DUMMYFUNCTION("""COMPUTED_VALUE"""),8.0)</f>
        <v>8</v>
      </c>
      <c r="G818" s="4">
        <f>IFERROR(__xludf.DUMMYFUNCTION("""COMPUTED_VALUE"""),1312.0)</f>
        <v>1312</v>
      </c>
      <c r="H818" s="5">
        <f>IFERROR(__xludf.DUMMYFUNCTION("""COMPUTED_VALUE"""),5334.57)</f>
        <v>5334.57</v>
      </c>
      <c r="I818" s="5">
        <f>IFERROR(__xludf.DUMMYFUNCTION("""COMPUTED_VALUE"""),6419.33)</f>
        <v>6419.33</v>
      </c>
      <c r="J818" s="5">
        <f>IFERROR(__xludf.DUMMYFUNCTION("""COMPUTED_VALUE"""),7557.38)</f>
        <v>7557.38</v>
      </c>
      <c r="K818" s="5">
        <f>IFERROR(__xludf.DUMMYFUNCTION("""COMPUTED_VALUE"""),836.22)</f>
        <v>836.22</v>
      </c>
      <c r="L818" s="4">
        <f>IFERROR(__xludf.DUMMYFUNCTION("""COMPUTED_VALUE"""),14.0)</f>
        <v>14</v>
      </c>
      <c r="M818" s="4">
        <f>IFERROR(__xludf.DUMMYFUNCTION("""COMPUTED_VALUE"""),26.0)</f>
        <v>26</v>
      </c>
      <c r="N818" s="2" t="str">
        <f>IFERROR(__xludf.DUMMYFUNCTION("""COMPUTED_VALUE"""),"FALSO")</f>
        <v>FALSO</v>
      </c>
    </row>
    <row r="819">
      <c r="A819" s="2">
        <f>IFERROR(__xludf.DUMMYFUNCTION("""COMPUTED_VALUE"""),818.0)</f>
        <v>818</v>
      </c>
      <c r="B819" s="2" t="str">
        <f>IFERROR(__xludf.DUMMYFUNCTION("""COMPUTED_VALUE"""),"Stern Sheron")</f>
        <v>Stern Sheron</v>
      </c>
      <c r="C819" s="2" t="str">
        <f>IFERROR(__xludf.DUMMYFUNCTION("""COMPUTED_VALUE"""),"ssheronmq@eepurl.com")</f>
        <v>ssheronmq@eepurl.com</v>
      </c>
      <c r="D819" s="4">
        <f>IFERROR(__xludf.DUMMYFUNCTION("""COMPUTED_VALUE"""),122.0)</f>
        <v>122</v>
      </c>
      <c r="E819" s="4">
        <f>IFERROR(__xludf.DUMMYFUNCTION("""COMPUTED_VALUE"""),102.0)</f>
        <v>102</v>
      </c>
      <c r="F819" s="4">
        <f>IFERROR(__xludf.DUMMYFUNCTION("""COMPUTED_VALUE"""),4.0)</f>
        <v>4</v>
      </c>
      <c r="G819" s="4">
        <f>IFERROR(__xludf.DUMMYFUNCTION("""COMPUTED_VALUE"""),975.0)</f>
        <v>975</v>
      </c>
      <c r="H819" s="5">
        <f>IFERROR(__xludf.DUMMYFUNCTION("""COMPUTED_VALUE"""),6711.49)</f>
        <v>6711.49</v>
      </c>
      <c r="I819" s="5">
        <f>IFERROR(__xludf.DUMMYFUNCTION("""COMPUTED_VALUE"""),3166.75)</f>
        <v>3166.75</v>
      </c>
      <c r="J819" s="5">
        <f>IFERROR(__xludf.DUMMYFUNCTION("""COMPUTED_VALUE"""),1635.93)</f>
        <v>1635.93</v>
      </c>
      <c r="K819" s="5">
        <f>IFERROR(__xludf.DUMMYFUNCTION("""COMPUTED_VALUE"""),6265.74)</f>
        <v>6265.74</v>
      </c>
      <c r="L819" s="4">
        <f>IFERROR(__xludf.DUMMYFUNCTION("""COMPUTED_VALUE"""),9.0)</f>
        <v>9</v>
      </c>
      <c r="M819" s="4">
        <f>IFERROR(__xludf.DUMMYFUNCTION("""COMPUTED_VALUE"""),95.0)</f>
        <v>95</v>
      </c>
      <c r="N819" s="2" t="str">
        <f>IFERROR(__xludf.DUMMYFUNCTION("""COMPUTED_VALUE"""),"VERDADERO")</f>
        <v>VERDADERO</v>
      </c>
    </row>
    <row r="820">
      <c r="A820" s="2">
        <f>IFERROR(__xludf.DUMMYFUNCTION("""COMPUTED_VALUE"""),819.0)</f>
        <v>819</v>
      </c>
      <c r="B820" s="2" t="str">
        <f>IFERROR(__xludf.DUMMYFUNCTION("""COMPUTED_VALUE"""),"Katrinka Lothlorien")</f>
        <v>Katrinka Lothlorien</v>
      </c>
      <c r="C820" s="2" t="str">
        <f>IFERROR(__xludf.DUMMYFUNCTION("""COMPUTED_VALUE"""),"klothlorienmr@photobucket.com")</f>
        <v>klothlorienmr@photobucket.com</v>
      </c>
      <c r="D820" s="4">
        <f>IFERROR(__xludf.DUMMYFUNCTION("""COMPUTED_VALUE"""),35.0)</f>
        <v>35</v>
      </c>
      <c r="E820" s="4">
        <f>IFERROR(__xludf.DUMMYFUNCTION("""COMPUTED_VALUE"""),8.0)</f>
        <v>8</v>
      </c>
      <c r="F820" s="4">
        <f>IFERROR(__xludf.DUMMYFUNCTION("""COMPUTED_VALUE"""),8.0)</f>
        <v>8</v>
      </c>
      <c r="G820" s="4">
        <f>IFERROR(__xludf.DUMMYFUNCTION("""COMPUTED_VALUE"""),435.0)</f>
        <v>435</v>
      </c>
      <c r="H820" s="5">
        <f>IFERROR(__xludf.DUMMYFUNCTION("""COMPUTED_VALUE"""),9034.43)</f>
        <v>9034.43</v>
      </c>
      <c r="I820" s="5">
        <f>IFERROR(__xludf.DUMMYFUNCTION("""COMPUTED_VALUE"""),7363.81)</f>
        <v>7363.81</v>
      </c>
      <c r="J820" s="5">
        <f>IFERROR(__xludf.DUMMYFUNCTION("""COMPUTED_VALUE"""),7483.01)</f>
        <v>7483.01</v>
      </c>
      <c r="K820" s="5">
        <f>IFERROR(__xludf.DUMMYFUNCTION("""COMPUTED_VALUE"""),6005.32)</f>
        <v>6005.32</v>
      </c>
      <c r="L820" s="4">
        <f>IFERROR(__xludf.DUMMYFUNCTION("""COMPUTED_VALUE"""),18.0)</f>
        <v>18</v>
      </c>
      <c r="M820" s="4">
        <f>IFERROR(__xludf.DUMMYFUNCTION("""COMPUTED_VALUE"""),4.0)</f>
        <v>4</v>
      </c>
      <c r="N820" s="2" t="str">
        <f>IFERROR(__xludf.DUMMYFUNCTION("""COMPUTED_VALUE"""),"VERDADERO")</f>
        <v>VERDADERO</v>
      </c>
    </row>
    <row r="821">
      <c r="A821" s="2">
        <f>IFERROR(__xludf.DUMMYFUNCTION("""COMPUTED_VALUE"""),820.0)</f>
        <v>820</v>
      </c>
      <c r="B821" s="2" t="str">
        <f>IFERROR(__xludf.DUMMYFUNCTION("""COMPUTED_VALUE"""),"Papagena Colebrook")</f>
        <v>Papagena Colebrook</v>
      </c>
      <c r="C821" s="2" t="str">
        <f>IFERROR(__xludf.DUMMYFUNCTION("""COMPUTED_VALUE"""),"pcolebrookms@wikispaces.com")</f>
        <v>pcolebrookms@wikispaces.com</v>
      </c>
      <c r="D821" s="4">
        <f>IFERROR(__xludf.DUMMYFUNCTION("""COMPUTED_VALUE"""),65.0)</f>
        <v>65</v>
      </c>
      <c r="E821" s="4">
        <f>IFERROR(__xludf.DUMMYFUNCTION("""COMPUTED_VALUE"""),90.0)</f>
        <v>90</v>
      </c>
      <c r="F821" s="4">
        <f>IFERROR(__xludf.DUMMYFUNCTION("""COMPUTED_VALUE"""),5.0)</f>
        <v>5</v>
      </c>
      <c r="G821" s="4">
        <f>IFERROR(__xludf.DUMMYFUNCTION("""COMPUTED_VALUE"""),664.0)</f>
        <v>664</v>
      </c>
      <c r="H821" s="5">
        <f>IFERROR(__xludf.DUMMYFUNCTION("""COMPUTED_VALUE"""),423.98)</f>
        <v>423.98</v>
      </c>
      <c r="I821" s="5">
        <f>IFERROR(__xludf.DUMMYFUNCTION("""COMPUTED_VALUE"""),1782.91)</f>
        <v>1782.91</v>
      </c>
      <c r="J821" s="5">
        <f>IFERROR(__xludf.DUMMYFUNCTION("""COMPUTED_VALUE"""),1054.6)</f>
        <v>1054.6</v>
      </c>
      <c r="K821" s="5">
        <f>IFERROR(__xludf.DUMMYFUNCTION("""COMPUTED_VALUE"""),2621.56)</f>
        <v>2621.56</v>
      </c>
      <c r="L821" s="4">
        <f>IFERROR(__xludf.DUMMYFUNCTION("""COMPUTED_VALUE"""),8.0)</f>
        <v>8</v>
      </c>
      <c r="M821" s="4">
        <f>IFERROR(__xludf.DUMMYFUNCTION("""COMPUTED_VALUE"""),42.0)</f>
        <v>42</v>
      </c>
      <c r="N821" s="2" t="str">
        <f>IFERROR(__xludf.DUMMYFUNCTION("""COMPUTED_VALUE"""),"VERDADERO")</f>
        <v>VERDADERO</v>
      </c>
    </row>
    <row r="822">
      <c r="A822" s="2">
        <f>IFERROR(__xludf.DUMMYFUNCTION("""COMPUTED_VALUE"""),821.0)</f>
        <v>821</v>
      </c>
      <c r="B822" s="2" t="str">
        <f>IFERROR(__xludf.DUMMYFUNCTION("""COMPUTED_VALUE"""),"Josefina Crim")</f>
        <v>Josefina Crim</v>
      </c>
      <c r="C822" s="2" t="str">
        <f>IFERROR(__xludf.DUMMYFUNCTION("""COMPUTED_VALUE"""),"jcrimmt@mlb.com")</f>
        <v>jcrimmt@mlb.com</v>
      </c>
      <c r="D822" s="4">
        <f>IFERROR(__xludf.DUMMYFUNCTION("""COMPUTED_VALUE"""),29.0)</f>
        <v>29</v>
      </c>
      <c r="E822" s="4">
        <f>IFERROR(__xludf.DUMMYFUNCTION("""COMPUTED_VALUE"""),58.0)</f>
        <v>58</v>
      </c>
      <c r="F822" s="4">
        <f>IFERROR(__xludf.DUMMYFUNCTION("""COMPUTED_VALUE"""),12.0)</f>
        <v>12</v>
      </c>
      <c r="G822" s="4">
        <f>IFERROR(__xludf.DUMMYFUNCTION("""COMPUTED_VALUE"""),1026.0)</f>
        <v>1026</v>
      </c>
      <c r="H822" s="5">
        <f>IFERROR(__xludf.DUMMYFUNCTION("""COMPUTED_VALUE"""),5104.69)</f>
        <v>5104.69</v>
      </c>
      <c r="I822" s="5">
        <f>IFERROR(__xludf.DUMMYFUNCTION("""COMPUTED_VALUE"""),1431.58)</f>
        <v>1431.58</v>
      </c>
      <c r="J822" s="5">
        <f>IFERROR(__xludf.DUMMYFUNCTION("""COMPUTED_VALUE"""),1540.07)</f>
        <v>1540.07</v>
      </c>
      <c r="K822" s="5">
        <f>IFERROR(__xludf.DUMMYFUNCTION("""COMPUTED_VALUE"""),1443.09)</f>
        <v>1443.09</v>
      </c>
      <c r="L822" s="4">
        <f>IFERROR(__xludf.DUMMYFUNCTION("""COMPUTED_VALUE"""),2.0)</f>
        <v>2</v>
      </c>
      <c r="M822" s="4">
        <f>IFERROR(__xludf.DUMMYFUNCTION("""COMPUTED_VALUE"""),34.0)</f>
        <v>34</v>
      </c>
      <c r="N822" s="2" t="str">
        <f>IFERROR(__xludf.DUMMYFUNCTION("""COMPUTED_VALUE"""),"VERDADERO")</f>
        <v>VERDADERO</v>
      </c>
    </row>
    <row r="823">
      <c r="A823" s="2">
        <f>IFERROR(__xludf.DUMMYFUNCTION("""COMPUTED_VALUE"""),822.0)</f>
        <v>822</v>
      </c>
      <c r="B823" s="2" t="str">
        <f>IFERROR(__xludf.DUMMYFUNCTION("""COMPUTED_VALUE"""),"Pail Shefton")</f>
        <v>Pail Shefton</v>
      </c>
      <c r="C823" s="2" t="str">
        <f>IFERROR(__xludf.DUMMYFUNCTION("""COMPUTED_VALUE"""),"psheftonmu@xinhuanet.com")</f>
        <v>psheftonmu@xinhuanet.com</v>
      </c>
      <c r="D823" s="4">
        <f>IFERROR(__xludf.DUMMYFUNCTION("""COMPUTED_VALUE"""),120.0)</f>
        <v>120</v>
      </c>
      <c r="E823" s="4">
        <f>IFERROR(__xludf.DUMMYFUNCTION("""COMPUTED_VALUE"""),100.0)</f>
        <v>100</v>
      </c>
      <c r="F823" s="4">
        <f>IFERROR(__xludf.DUMMYFUNCTION("""COMPUTED_VALUE"""),9.0)</f>
        <v>9</v>
      </c>
      <c r="G823" s="4">
        <f>IFERROR(__xludf.DUMMYFUNCTION("""COMPUTED_VALUE"""),1002.0)</f>
        <v>1002</v>
      </c>
      <c r="H823" s="5">
        <f>IFERROR(__xludf.DUMMYFUNCTION("""COMPUTED_VALUE"""),8440.19)</f>
        <v>8440.19</v>
      </c>
      <c r="I823" s="5">
        <f>IFERROR(__xludf.DUMMYFUNCTION("""COMPUTED_VALUE"""),4797.97)</f>
        <v>4797.97</v>
      </c>
      <c r="J823" s="5">
        <f>IFERROR(__xludf.DUMMYFUNCTION("""COMPUTED_VALUE"""),3387.54)</f>
        <v>3387.54</v>
      </c>
      <c r="K823" s="5">
        <f>IFERROR(__xludf.DUMMYFUNCTION("""COMPUTED_VALUE"""),9036.27)</f>
        <v>9036.27</v>
      </c>
      <c r="L823" s="4">
        <f>IFERROR(__xludf.DUMMYFUNCTION("""COMPUTED_VALUE"""),5.0)</f>
        <v>5</v>
      </c>
      <c r="M823" s="4">
        <f>IFERROR(__xludf.DUMMYFUNCTION("""COMPUTED_VALUE"""),99.0)</f>
        <v>99</v>
      </c>
      <c r="N823" s="2" t="str">
        <f>IFERROR(__xludf.DUMMYFUNCTION("""COMPUTED_VALUE"""),"FALSO")</f>
        <v>FALSO</v>
      </c>
    </row>
    <row r="824">
      <c r="A824" s="2">
        <f>IFERROR(__xludf.DUMMYFUNCTION("""COMPUTED_VALUE"""),823.0)</f>
        <v>823</v>
      </c>
      <c r="B824" s="2" t="str">
        <f>IFERROR(__xludf.DUMMYFUNCTION("""COMPUTED_VALUE"""),"Cacilia Townby")</f>
        <v>Cacilia Townby</v>
      </c>
      <c r="C824" s="2" t="str">
        <f>IFERROR(__xludf.DUMMYFUNCTION("""COMPUTED_VALUE"""),"ctownbymv@php.net")</f>
        <v>ctownbymv@php.net</v>
      </c>
      <c r="D824" s="4">
        <f>IFERROR(__xludf.DUMMYFUNCTION("""COMPUTED_VALUE"""),29.0)</f>
        <v>29</v>
      </c>
      <c r="E824" s="4">
        <f>IFERROR(__xludf.DUMMYFUNCTION("""COMPUTED_VALUE"""),61.0)</f>
        <v>61</v>
      </c>
      <c r="F824" s="4">
        <f>IFERROR(__xludf.DUMMYFUNCTION("""COMPUTED_VALUE"""),4.0)</f>
        <v>4</v>
      </c>
      <c r="G824" s="4">
        <f>IFERROR(__xludf.DUMMYFUNCTION("""COMPUTED_VALUE"""),1326.0)</f>
        <v>1326</v>
      </c>
      <c r="H824" s="5">
        <f>IFERROR(__xludf.DUMMYFUNCTION("""COMPUTED_VALUE"""),3468.72)</f>
        <v>3468.72</v>
      </c>
      <c r="I824" s="5">
        <f>IFERROR(__xludf.DUMMYFUNCTION("""COMPUTED_VALUE"""),6765.13)</f>
        <v>6765.13</v>
      </c>
      <c r="J824" s="5">
        <f>IFERROR(__xludf.DUMMYFUNCTION("""COMPUTED_VALUE"""),3901.75)</f>
        <v>3901.75</v>
      </c>
      <c r="K824" s="5">
        <f>IFERROR(__xludf.DUMMYFUNCTION("""COMPUTED_VALUE"""),9606.41)</f>
        <v>9606.41</v>
      </c>
      <c r="L824" s="4">
        <f>IFERROR(__xludf.DUMMYFUNCTION("""COMPUTED_VALUE"""),8.0)</f>
        <v>8</v>
      </c>
      <c r="M824" s="4">
        <f>IFERROR(__xludf.DUMMYFUNCTION("""COMPUTED_VALUE"""),5.0)</f>
        <v>5</v>
      </c>
      <c r="N824" s="2" t="str">
        <f>IFERROR(__xludf.DUMMYFUNCTION("""COMPUTED_VALUE"""),"FALSO")</f>
        <v>FALSO</v>
      </c>
    </row>
    <row r="825">
      <c r="A825" s="2">
        <f>IFERROR(__xludf.DUMMYFUNCTION("""COMPUTED_VALUE"""),824.0)</f>
        <v>824</v>
      </c>
      <c r="B825" s="2" t="str">
        <f>IFERROR(__xludf.DUMMYFUNCTION("""COMPUTED_VALUE"""),"Forrester Pepler")</f>
        <v>Forrester Pepler</v>
      </c>
      <c r="C825" s="2" t="str">
        <f>IFERROR(__xludf.DUMMYFUNCTION("""COMPUTED_VALUE"""),"fpeplermw@surveymonkey.com")</f>
        <v>fpeplermw@surveymonkey.com</v>
      </c>
      <c r="D825" s="4">
        <f>IFERROR(__xludf.DUMMYFUNCTION("""COMPUTED_VALUE"""),28.0)</f>
        <v>28</v>
      </c>
      <c r="E825" s="4">
        <f>IFERROR(__xludf.DUMMYFUNCTION("""COMPUTED_VALUE"""),81.0)</f>
        <v>81</v>
      </c>
      <c r="F825" s="4">
        <f>IFERROR(__xludf.DUMMYFUNCTION("""COMPUTED_VALUE"""),2.0)</f>
        <v>2</v>
      </c>
      <c r="G825" s="4">
        <f>IFERROR(__xludf.DUMMYFUNCTION("""COMPUTED_VALUE"""),136.0)</f>
        <v>136</v>
      </c>
      <c r="H825" s="5">
        <f>IFERROR(__xludf.DUMMYFUNCTION("""COMPUTED_VALUE"""),4894.84)</f>
        <v>4894.84</v>
      </c>
      <c r="I825" s="5">
        <f>IFERROR(__xludf.DUMMYFUNCTION("""COMPUTED_VALUE"""),7542.01)</f>
        <v>7542.01</v>
      </c>
      <c r="J825" s="5">
        <f>IFERROR(__xludf.DUMMYFUNCTION("""COMPUTED_VALUE"""),9882.76)</f>
        <v>9882.76</v>
      </c>
      <c r="K825" s="5">
        <f>IFERROR(__xludf.DUMMYFUNCTION("""COMPUTED_VALUE"""),1524.46)</f>
        <v>1524.46</v>
      </c>
      <c r="L825" s="4">
        <f>IFERROR(__xludf.DUMMYFUNCTION("""COMPUTED_VALUE"""),7.0)</f>
        <v>7</v>
      </c>
      <c r="M825" s="4">
        <f>IFERROR(__xludf.DUMMYFUNCTION("""COMPUTED_VALUE"""),30.0)</f>
        <v>30</v>
      </c>
      <c r="N825" s="2" t="str">
        <f>IFERROR(__xludf.DUMMYFUNCTION("""COMPUTED_VALUE"""),"VERDADERO")</f>
        <v>VERDADERO</v>
      </c>
    </row>
    <row r="826">
      <c r="A826" s="2">
        <f>IFERROR(__xludf.DUMMYFUNCTION("""COMPUTED_VALUE"""),825.0)</f>
        <v>825</v>
      </c>
      <c r="B826" s="2" t="str">
        <f>IFERROR(__xludf.DUMMYFUNCTION("""COMPUTED_VALUE"""),"Roman Yorath")</f>
        <v>Roman Yorath</v>
      </c>
      <c r="C826" s="2" t="str">
        <f>IFERROR(__xludf.DUMMYFUNCTION("""COMPUTED_VALUE"""),"ryorathmx@earthlink.net")</f>
        <v>ryorathmx@earthlink.net</v>
      </c>
      <c r="D826" s="4">
        <f>IFERROR(__xludf.DUMMYFUNCTION("""COMPUTED_VALUE"""),99.0)</f>
        <v>99</v>
      </c>
      <c r="E826" s="4">
        <f>IFERROR(__xludf.DUMMYFUNCTION("""COMPUTED_VALUE"""),62.0)</f>
        <v>62</v>
      </c>
      <c r="F826" s="4">
        <f>IFERROR(__xludf.DUMMYFUNCTION("""COMPUTED_VALUE"""),4.0)</f>
        <v>4</v>
      </c>
      <c r="G826" s="4">
        <f>IFERROR(__xludf.DUMMYFUNCTION("""COMPUTED_VALUE"""),118.0)</f>
        <v>118</v>
      </c>
      <c r="H826" s="5">
        <f>IFERROR(__xludf.DUMMYFUNCTION("""COMPUTED_VALUE"""),9261.33)</f>
        <v>9261.33</v>
      </c>
      <c r="I826" s="5">
        <f>IFERROR(__xludf.DUMMYFUNCTION("""COMPUTED_VALUE"""),2780.66)</f>
        <v>2780.66</v>
      </c>
      <c r="J826" s="5">
        <f>IFERROR(__xludf.DUMMYFUNCTION("""COMPUTED_VALUE"""),731.63)</f>
        <v>731.63</v>
      </c>
      <c r="K826" s="5">
        <f>IFERROR(__xludf.DUMMYFUNCTION("""COMPUTED_VALUE"""),6360.76)</f>
        <v>6360.76</v>
      </c>
      <c r="L826" s="4">
        <f>IFERROR(__xludf.DUMMYFUNCTION("""COMPUTED_VALUE"""),4.0)</f>
        <v>4</v>
      </c>
      <c r="M826" s="4">
        <f>IFERROR(__xludf.DUMMYFUNCTION("""COMPUTED_VALUE"""),83.0)</f>
        <v>83</v>
      </c>
      <c r="N826" s="2" t="str">
        <f>IFERROR(__xludf.DUMMYFUNCTION("""COMPUTED_VALUE"""),"FALSO")</f>
        <v>FALSO</v>
      </c>
    </row>
    <row r="827">
      <c r="A827" s="2">
        <f>IFERROR(__xludf.DUMMYFUNCTION("""COMPUTED_VALUE"""),826.0)</f>
        <v>826</v>
      </c>
      <c r="B827" s="2" t="str">
        <f>IFERROR(__xludf.DUMMYFUNCTION("""COMPUTED_VALUE"""),"Joellyn Purkins")</f>
        <v>Joellyn Purkins</v>
      </c>
      <c r="C827" s="2" t="str">
        <f>IFERROR(__xludf.DUMMYFUNCTION("""COMPUTED_VALUE"""),"jpurkinsmy@bandcamp.com")</f>
        <v>jpurkinsmy@bandcamp.com</v>
      </c>
      <c r="D827" s="4">
        <f>IFERROR(__xludf.DUMMYFUNCTION("""COMPUTED_VALUE"""),29.0)</f>
        <v>29</v>
      </c>
      <c r="E827" s="4">
        <f>IFERROR(__xludf.DUMMYFUNCTION("""COMPUTED_VALUE"""),99.0)</f>
        <v>99</v>
      </c>
      <c r="F827" s="4">
        <f>IFERROR(__xludf.DUMMYFUNCTION("""COMPUTED_VALUE"""),1.0)</f>
        <v>1</v>
      </c>
      <c r="G827" s="4">
        <f>IFERROR(__xludf.DUMMYFUNCTION("""COMPUTED_VALUE"""),1472.0)</f>
        <v>1472</v>
      </c>
      <c r="H827" s="5">
        <f>IFERROR(__xludf.DUMMYFUNCTION("""COMPUTED_VALUE"""),7446.69)</f>
        <v>7446.69</v>
      </c>
      <c r="I827" s="5">
        <f>IFERROR(__xludf.DUMMYFUNCTION("""COMPUTED_VALUE"""),8148.28)</f>
        <v>8148.28</v>
      </c>
      <c r="J827" s="5">
        <f>IFERROR(__xludf.DUMMYFUNCTION("""COMPUTED_VALUE"""),2078.19)</f>
        <v>2078.19</v>
      </c>
      <c r="K827" s="5">
        <f>IFERROR(__xludf.DUMMYFUNCTION("""COMPUTED_VALUE"""),5596.89)</f>
        <v>5596.89</v>
      </c>
      <c r="L827" s="4">
        <f>IFERROR(__xludf.DUMMYFUNCTION("""COMPUTED_VALUE"""),2.0)</f>
        <v>2</v>
      </c>
      <c r="M827" s="4">
        <f>IFERROR(__xludf.DUMMYFUNCTION("""COMPUTED_VALUE"""),54.0)</f>
        <v>54</v>
      </c>
      <c r="N827" s="2" t="str">
        <f>IFERROR(__xludf.DUMMYFUNCTION("""COMPUTED_VALUE"""),"FALSO")</f>
        <v>FALSO</v>
      </c>
    </row>
    <row r="828">
      <c r="A828" s="2">
        <f>IFERROR(__xludf.DUMMYFUNCTION("""COMPUTED_VALUE"""),827.0)</f>
        <v>827</v>
      </c>
      <c r="B828" s="2" t="str">
        <f>IFERROR(__xludf.DUMMYFUNCTION("""COMPUTED_VALUE"""),"Jae Chisholm")</f>
        <v>Jae Chisholm</v>
      </c>
      <c r="C828" s="2" t="str">
        <f>IFERROR(__xludf.DUMMYFUNCTION("""COMPUTED_VALUE"""),"jchisholmmz@irs.gov")</f>
        <v>jchisholmmz@irs.gov</v>
      </c>
      <c r="D828" s="4">
        <f>IFERROR(__xludf.DUMMYFUNCTION("""COMPUTED_VALUE"""),121.0)</f>
        <v>121</v>
      </c>
      <c r="E828" s="4">
        <f>IFERROR(__xludf.DUMMYFUNCTION("""COMPUTED_VALUE"""),107.0)</f>
        <v>107</v>
      </c>
      <c r="F828" s="4">
        <f>IFERROR(__xludf.DUMMYFUNCTION("""COMPUTED_VALUE"""),5.0)</f>
        <v>5</v>
      </c>
      <c r="G828" s="4">
        <f>IFERROR(__xludf.DUMMYFUNCTION("""COMPUTED_VALUE"""),106.0)</f>
        <v>106</v>
      </c>
      <c r="H828" s="5">
        <f>IFERROR(__xludf.DUMMYFUNCTION("""COMPUTED_VALUE"""),9219.05)</f>
        <v>9219.05</v>
      </c>
      <c r="I828" s="5">
        <f>IFERROR(__xludf.DUMMYFUNCTION("""COMPUTED_VALUE"""),9702.39)</f>
        <v>9702.39</v>
      </c>
      <c r="J828" s="5">
        <f>IFERROR(__xludf.DUMMYFUNCTION("""COMPUTED_VALUE"""),1072.29)</f>
        <v>1072.29</v>
      </c>
      <c r="K828" s="5">
        <f>IFERROR(__xludf.DUMMYFUNCTION("""COMPUTED_VALUE"""),6390.79)</f>
        <v>6390.79</v>
      </c>
      <c r="L828" s="4">
        <f>IFERROR(__xludf.DUMMYFUNCTION("""COMPUTED_VALUE"""),13.0)</f>
        <v>13</v>
      </c>
      <c r="M828" s="4">
        <f>IFERROR(__xludf.DUMMYFUNCTION("""COMPUTED_VALUE"""),42.0)</f>
        <v>42</v>
      </c>
      <c r="N828" s="2" t="str">
        <f>IFERROR(__xludf.DUMMYFUNCTION("""COMPUTED_VALUE"""),"VERDADERO")</f>
        <v>VERDADERO</v>
      </c>
    </row>
    <row r="829">
      <c r="A829" s="2">
        <f>IFERROR(__xludf.DUMMYFUNCTION("""COMPUTED_VALUE"""),828.0)</f>
        <v>828</v>
      </c>
      <c r="B829" s="2" t="str">
        <f>IFERROR(__xludf.DUMMYFUNCTION("""COMPUTED_VALUE"""),"Wrennie Edgeller")</f>
        <v>Wrennie Edgeller</v>
      </c>
      <c r="C829" s="2" t="str">
        <f>IFERROR(__xludf.DUMMYFUNCTION("""COMPUTED_VALUE"""),"wedgellern0@blogger.com")</f>
        <v>wedgellern0@blogger.com</v>
      </c>
      <c r="D829" s="4">
        <f>IFERROR(__xludf.DUMMYFUNCTION("""COMPUTED_VALUE"""),49.0)</f>
        <v>49</v>
      </c>
      <c r="E829" s="4">
        <f>IFERROR(__xludf.DUMMYFUNCTION("""COMPUTED_VALUE"""),111.0)</f>
        <v>111</v>
      </c>
      <c r="F829" s="4">
        <f>IFERROR(__xludf.DUMMYFUNCTION("""COMPUTED_VALUE"""),4.0)</f>
        <v>4</v>
      </c>
      <c r="G829" s="4">
        <f>IFERROR(__xludf.DUMMYFUNCTION("""COMPUTED_VALUE"""),820.0)</f>
        <v>820</v>
      </c>
      <c r="H829" s="5">
        <f>IFERROR(__xludf.DUMMYFUNCTION("""COMPUTED_VALUE"""),650.49)</f>
        <v>650.49</v>
      </c>
      <c r="I829" s="5">
        <f>IFERROR(__xludf.DUMMYFUNCTION("""COMPUTED_VALUE"""),9493.28)</f>
        <v>9493.28</v>
      </c>
      <c r="J829" s="5">
        <f>IFERROR(__xludf.DUMMYFUNCTION("""COMPUTED_VALUE"""),9702.23)</f>
        <v>9702.23</v>
      </c>
      <c r="K829" s="5">
        <f>IFERROR(__xludf.DUMMYFUNCTION("""COMPUTED_VALUE"""),3407.69)</f>
        <v>3407.69</v>
      </c>
      <c r="L829" s="4">
        <f>IFERROR(__xludf.DUMMYFUNCTION("""COMPUTED_VALUE"""),9.0)</f>
        <v>9</v>
      </c>
      <c r="M829" s="4">
        <f>IFERROR(__xludf.DUMMYFUNCTION("""COMPUTED_VALUE"""),43.0)</f>
        <v>43</v>
      </c>
      <c r="N829" s="2" t="str">
        <f>IFERROR(__xludf.DUMMYFUNCTION("""COMPUTED_VALUE"""),"FALSO")</f>
        <v>FALSO</v>
      </c>
    </row>
    <row r="830">
      <c r="A830" s="2">
        <f>IFERROR(__xludf.DUMMYFUNCTION("""COMPUTED_VALUE"""),829.0)</f>
        <v>829</v>
      </c>
      <c r="B830" s="2" t="str">
        <f>IFERROR(__xludf.DUMMYFUNCTION("""COMPUTED_VALUE"""),"Ennis Filpi")</f>
        <v>Ennis Filpi</v>
      </c>
      <c r="C830" s="2" t="str">
        <f>IFERROR(__xludf.DUMMYFUNCTION("""COMPUTED_VALUE"""),"efilpin1@japanpost.jp")</f>
        <v>efilpin1@japanpost.jp</v>
      </c>
      <c r="D830" s="4">
        <f>IFERROR(__xludf.DUMMYFUNCTION("""COMPUTED_VALUE"""),34.0)</f>
        <v>34</v>
      </c>
      <c r="E830" s="4">
        <f>IFERROR(__xludf.DUMMYFUNCTION("""COMPUTED_VALUE"""),73.0)</f>
        <v>73</v>
      </c>
      <c r="F830" s="4">
        <f>IFERROR(__xludf.DUMMYFUNCTION("""COMPUTED_VALUE"""),10.0)</f>
        <v>10</v>
      </c>
      <c r="G830" s="4">
        <f>IFERROR(__xludf.DUMMYFUNCTION("""COMPUTED_VALUE"""),85.0)</f>
        <v>85</v>
      </c>
      <c r="H830" s="5">
        <f>IFERROR(__xludf.DUMMYFUNCTION("""COMPUTED_VALUE"""),7646.08)</f>
        <v>7646.08</v>
      </c>
      <c r="I830" s="5">
        <f>IFERROR(__xludf.DUMMYFUNCTION("""COMPUTED_VALUE"""),3306.49)</f>
        <v>3306.49</v>
      </c>
      <c r="J830" s="5">
        <f>IFERROR(__xludf.DUMMYFUNCTION("""COMPUTED_VALUE"""),9125.41)</f>
        <v>9125.41</v>
      </c>
      <c r="K830" s="5">
        <f>IFERROR(__xludf.DUMMYFUNCTION("""COMPUTED_VALUE"""),3632.08)</f>
        <v>3632.08</v>
      </c>
      <c r="L830" s="4">
        <f>IFERROR(__xludf.DUMMYFUNCTION("""COMPUTED_VALUE"""),9.0)</f>
        <v>9</v>
      </c>
      <c r="M830" s="4">
        <f>IFERROR(__xludf.DUMMYFUNCTION("""COMPUTED_VALUE"""),31.0)</f>
        <v>31</v>
      </c>
      <c r="N830" s="2" t="str">
        <f>IFERROR(__xludf.DUMMYFUNCTION("""COMPUTED_VALUE"""),"VERDADERO")</f>
        <v>VERDADERO</v>
      </c>
    </row>
    <row r="831">
      <c r="A831" s="2">
        <f>IFERROR(__xludf.DUMMYFUNCTION("""COMPUTED_VALUE"""),830.0)</f>
        <v>830</v>
      </c>
      <c r="B831" s="2" t="str">
        <f>IFERROR(__xludf.DUMMYFUNCTION("""COMPUTED_VALUE"""),"Jody Whorf")</f>
        <v>Jody Whorf</v>
      </c>
      <c r="C831" s="2" t="str">
        <f>IFERROR(__xludf.DUMMYFUNCTION("""COMPUTED_VALUE"""),"jwhorfn2@imdb.com")</f>
        <v>jwhorfn2@imdb.com</v>
      </c>
      <c r="D831" s="4">
        <f>IFERROR(__xludf.DUMMYFUNCTION("""COMPUTED_VALUE"""),29.0)</f>
        <v>29</v>
      </c>
      <c r="E831" s="4">
        <f>IFERROR(__xludf.DUMMYFUNCTION("""COMPUTED_VALUE"""),64.0)</f>
        <v>64</v>
      </c>
      <c r="F831" s="4">
        <f>IFERROR(__xludf.DUMMYFUNCTION("""COMPUTED_VALUE"""),4.0)</f>
        <v>4</v>
      </c>
      <c r="G831" s="4">
        <f>IFERROR(__xludf.DUMMYFUNCTION("""COMPUTED_VALUE"""),560.0)</f>
        <v>560</v>
      </c>
      <c r="H831" s="5">
        <f>IFERROR(__xludf.DUMMYFUNCTION("""COMPUTED_VALUE"""),2394.66)</f>
        <v>2394.66</v>
      </c>
      <c r="I831" s="5">
        <f>IFERROR(__xludf.DUMMYFUNCTION("""COMPUTED_VALUE"""),4693.32)</f>
        <v>4693.32</v>
      </c>
      <c r="J831" s="5">
        <f>IFERROR(__xludf.DUMMYFUNCTION("""COMPUTED_VALUE"""),3538.64)</f>
        <v>3538.64</v>
      </c>
      <c r="K831" s="5">
        <f>IFERROR(__xludf.DUMMYFUNCTION("""COMPUTED_VALUE"""),6008.79)</f>
        <v>6008.79</v>
      </c>
      <c r="L831" s="4">
        <f>IFERROR(__xludf.DUMMYFUNCTION("""COMPUTED_VALUE"""),16.0)</f>
        <v>16</v>
      </c>
      <c r="M831" s="4">
        <f>IFERROR(__xludf.DUMMYFUNCTION("""COMPUTED_VALUE"""),1.0)</f>
        <v>1</v>
      </c>
      <c r="N831" s="2" t="str">
        <f>IFERROR(__xludf.DUMMYFUNCTION("""COMPUTED_VALUE"""),"VERDADERO")</f>
        <v>VERDADERO</v>
      </c>
    </row>
    <row r="832">
      <c r="A832" s="2">
        <f>IFERROR(__xludf.DUMMYFUNCTION("""COMPUTED_VALUE"""),831.0)</f>
        <v>831</v>
      </c>
      <c r="B832" s="2" t="str">
        <f>IFERROR(__xludf.DUMMYFUNCTION("""COMPUTED_VALUE"""),"Meggie Fury")</f>
        <v>Meggie Fury</v>
      </c>
      <c r="C832" s="2" t="str">
        <f>IFERROR(__xludf.DUMMYFUNCTION("""COMPUTED_VALUE"""),"mfuryn3@npr.org")</f>
        <v>mfuryn3@npr.org</v>
      </c>
      <c r="D832" s="4">
        <f>IFERROR(__xludf.DUMMYFUNCTION("""COMPUTED_VALUE"""),42.0)</f>
        <v>42</v>
      </c>
      <c r="E832" s="4">
        <f>IFERROR(__xludf.DUMMYFUNCTION("""COMPUTED_VALUE"""),81.0)</f>
        <v>81</v>
      </c>
      <c r="F832" s="4">
        <f>IFERROR(__xludf.DUMMYFUNCTION("""COMPUTED_VALUE"""),2.0)</f>
        <v>2</v>
      </c>
      <c r="G832" s="4">
        <f>IFERROR(__xludf.DUMMYFUNCTION("""COMPUTED_VALUE"""),1423.0)</f>
        <v>1423</v>
      </c>
      <c r="H832" s="5">
        <f>IFERROR(__xludf.DUMMYFUNCTION("""COMPUTED_VALUE"""),6478.41)</f>
        <v>6478.41</v>
      </c>
      <c r="I832" s="5">
        <f>IFERROR(__xludf.DUMMYFUNCTION("""COMPUTED_VALUE"""),6198.88)</f>
        <v>6198.88</v>
      </c>
      <c r="J832" s="5">
        <f>IFERROR(__xludf.DUMMYFUNCTION("""COMPUTED_VALUE"""),3595.67)</f>
        <v>3595.67</v>
      </c>
      <c r="K832" s="5">
        <f>IFERROR(__xludf.DUMMYFUNCTION("""COMPUTED_VALUE"""),2916.49)</f>
        <v>2916.49</v>
      </c>
      <c r="L832" s="4">
        <f>IFERROR(__xludf.DUMMYFUNCTION("""COMPUTED_VALUE"""),7.0)</f>
        <v>7</v>
      </c>
      <c r="M832" s="4">
        <f>IFERROR(__xludf.DUMMYFUNCTION("""COMPUTED_VALUE"""),39.0)</f>
        <v>39</v>
      </c>
      <c r="N832" s="2" t="str">
        <f>IFERROR(__xludf.DUMMYFUNCTION("""COMPUTED_VALUE"""),"FALSO")</f>
        <v>FALSO</v>
      </c>
    </row>
    <row r="833">
      <c r="A833" s="2">
        <f>IFERROR(__xludf.DUMMYFUNCTION("""COMPUTED_VALUE"""),832.0)</f>
        <v>832</v>
      </c>
      <c r="B833" s="2" t="str">
        <f>IFERROR(__xludf.DUMMYFUNCTION("""COMPUTED_VALUE"""),"Rosaleen Dunkerk")</f>
        <v>Rosaleen Dunkerk</v>
      </c>
      <c r="C833" s="2" t="str">
        <f>IFERROR(__xludf.DUMMYFUNCTION("""COMPUTED_VALUE"""),"rdunkerkn4@furl.net")</f>
        <v>rdunkerkn4@furl.net</v>
      </c>
      <c r="D833" s="4">
        <f>IFERROR(__xludf.DUMMYFUNCTION("""COMPUTED_VALUE"""),37.0)</f>
        <v>37</v>
      </c>
      <c r="E833" s="4">
        <f>IFERROR(__xludf.DUMMYFUNCTION("""COMPUTED_VALUE"""),81.0)</f>
        <v>81</v>
      </c>
      <c r="F833" s="4">
        <f>IFERROR(__xludf.DUMMYFUNCTION("""COMPUTED_VALUE"""),2.0)</f>
        <v>2</v>
      </c>
      <c r="G833" s="4">
        <f>IFERROR(__xludf.DUMMYFUNCTION("""COMPUTED_VALUE"""),589.0)</f>
        <v>589</v>
      </c>
      <c r="H833" s="5">
        <f>IFERROR(__xludf.DUMMYFUNCTION("""COMPUTED_VALUE"""),3595.16)</f>
        <v>3595.16</v>
      </c>
      <c r="I833" s="5">
        <f>IFERROR(__xludf.DUMMYFUNCTION("""COMPUTED_VALUE"""),399.19)</f>
        <v>399.19</v>
      </c>
      <c r="J833" s="5">
        <f>IFERROR(__xludf.DUMMYFUNCTION("""COMPUTED_VALUE"""),2994.28)</f>
        <v>2994.28</v>
      </c>
      <c r="K833" s="5">
        <f>IFERROR(__xludf.DUMMYFUNCTION("""COMPUTED_VALUE"""),7626.26)</f>
        <v>7626.26</v>
      </c>
      <c r="L833" s="4">
        <f>IFERROR(__xludf.DUMMYFUNCTION("""COMPUTED_VALUE"""),10.0)</f>
        <v>10</v>
      </c>
      <c r="M833" s="4">
        <f>IFERROR(__xludf.DUMMYFUNCTION("""COMPUTED_VALUE"""),98.0)</f>
        <v>98</v>
      </c>
      <c r="N833" s="2" t="str">
        <f>IFERROR(__xludf.DUMMYFUNCTION("""COMPUTED_VALUE"""),"FALSO")</f>
        <v>FALSO</v>
      </c>
    </row>
    <row r="834">
      <c r="A834" s="2">
        <f>IFERROR(__xludf.DUMMYFUNCTION("""COMPUTED_VALUE"""),833.0)</f>
        <v>833</v>
      </c>
      <c r="B834" s="2" t="str">
        <f>IFERROR(__xludf.DUMMYFUNCTION("""COMPUTED_VALUE"""),"Genni Shawley")</f>
        <v>Genni Shawley</v>
      </c>
      <c r="C834" s="2" t="str">
        <f>IFERROR(__xludf.DUMMYFUNCTION("""COMPUTED_VALUE"""),"gshawleyn5@wisc.edu")</f>
        <v>gshawleyn5@wisc.edu</v>
      </c>
      <c r="D834" s="4">
        <f>IFERROR(__xludf.DUMMYFUNCTION("""COMPUTED_VALUE"""),153.0)</f>
        <v>153</v>
      </c>
      <c r="E834" s="4">
        <f>IFERROR(__xludf.DUMMYFUNCTION("""COMPUTED_VALUE"""),81.0)</f>
        <v>81</v>
      </c>
      <c r="F834" s="4">
        <f>IFERROR(__xludf.DUMMYFUNCTION("""COMPUTED_VALUE"""),2.0)</f>
        <v>2</v>
      </c>
      <c r="G834" s="4">
        <f>IFERROR(__xludf.DUMMYFUNCTION("""COMPUTED_VALUE"""),788.0)</f>
        <v>788</v>
      </c>
      <c r="H834" s="5">
        <f>IFERROR(__xludf.DUMMYFUNCTION("""COMPUTED_VALUE"""),8431.4)</f>
        <v>8431.4</v>
      </c>
      <c r="I834" s="5">
        <f>IFERROR(__xludf.DUMMYFUNCTION("""COMPUTED_VALUE"""),2876.24)</f>
        <v>2876.24</v>
      </c>
      <c r="J834" s="5">
        <f>IFERROR(__xludf.DUMMYFUNCTION("""COMPUTED_VALUE"""),8150.84)</f>
        <v>8150.84</v>
      </c>
      <c r="K834" s="5">
        <f>IFERROR(__xludf.DUMMYFUNCTION("""COMPUTED_VALUE"""),7655.53)</f>
        <v>7655.53</v>
      </c>
      <c r="L834" s="4">
        <f>IFERROR(__xludf.DUMMYFUNCTION("""COMPUTED_VALUE"""),19.0)</f>
        <v>19</v>
      </c>
      <c r="M834" s="4">
        <f>IFERROR(__xludf.DUMMYFUNCTION("""COMPUTED_VALUE"""),47.0)</f>
        <v>47</v>
      </c>
      <c r="N834" s="2" t="str">
        <f>IFERROR(__xludf.DUMMYFUNCTION("""COMPUTED_VALUE"""),"FALSO")</f>
        <v>FALSO</v>
      </c>
    </row>
    <row r="835">
      <c r="A835" s="2">
        <f>IFERROR(__xludf.DUMMYFUNCTION("""COMPUTED_VALUE"""),834.0)</f>
        <v>834</v>
      </c>
      <c r="B835" s="2" t="str">
        <f>IFERROR(__xludf.DUMMYFUNCTION("""COMPUTED_VALUE"""),"Jaye Giovannacci")</f>
        <v>Jaye Giovannacci</v>
      </c>
      <c r="C835" s="2" t="str">
        <f>IFERROR(__xludf.DUMMYFUNCTION("""COMPUTED_VALUE"""),"jgiovannaccin6@123-reg.co.uk")</f>
        <v>jgiovannaccin6@123-reg.co.uk</v>
      </c>
      <c r="D835" s="4">
        <f>IFERROR(__xludf.DUMMYFUNCTION("""COMPUTED_VALUE"""),105.0)</f>
        <v>105</v>
      </c>
      <c r="E835" s="4">
        <f>IFERROR(__xludf.DUMMYFUNCTION("""COMPUTED_VALUE"""),64.0)</f>
        <v>64</v>
      </c>
      <c r="F835" s="4">
        <f>IFERROR(__xludf.DUMMYFUNCTION("""COMPUTED_VALUE"""),4.0)</f>
        <v>4</v>
      </c>
      <c r="G835" s="4">
        <f>IFERROR(__xludf.DUMMYFUNCTION("""COMPUTED_VALUE"""),269.0)</f>
        <v>269</v>
      </c>
      <c r="H835" s="5">
        <f>IFERROR(__xludf.DUMMYFUNCTION("""COMPUTED_VALUE"""),56.01)</f>
        <v>56.01</v>
      </c>
      <c r="I835" s="5">
        <f>IFERROR(__xludf.DUMMYFUNCTION("""COMPUTED_VALUE"""),5233.91)</f>
        <v>5233.91</v>
      </c>
      <c r="J835" s="5">
        <f>IFERROR(__xludf.DUMMYFUNCTION("""COMPUTED_VALUE"""),7230.19)</f>
        <v>7230.19</v>
      </c>
      <c r="K835" s="5">
        <f>IFERROR(__xludf.DUMMYFUNCTION("""COMPUTED_VALUE"""),5894.44)</f>
        <v>5894.44</v>
      </c>
      <c r="L835" s="4">
        <f>IFERROR(__xludf.DUMMYFUNCTION("""COMPUTED_VALUE"""),10.0)</f>
        <v>10</v>
      </c>
      <c r="M835" s="4">
        <f>IFERROR(__xludf.DUMMYFUNCTION("""COMPUTED_VALUE"""),62.0)</f>
        <v>62</v>
      </c>
      <c r="N835" s="2" t="str">
        <f>IFERROR(__xludf.DUMMYFUNCTION("""COMPUTED_VALUE"""),"FALSO")</f>
        <v>FALSO</v>
      </c>
    </row>
    <row r="836">
      <c r="A836" s="2">
        <f>IFERROR(__xludf.DUMMYFUNCTION("""COMPUTED_VALUE"""),835.0)</f>
        <v>835</v>
      </c>
      <c r="B836" s="2" t="str">
        <f>IFERROR(__xludf.DUMMYFUNCTION("""COMPUTED_VALUE"""),"Fancie Treherne")</f>
        <v>Fancie Treherne</v>
      </c>
      <c r="C836" s="2" t="str">
        <f>IFERROR(__xludf.DUMMYFUNCTION("""COMPUTED_VALUE"""),"ftrehernen7@hc360.com")</f>
        <v>ftrehernen7@hc360.com</v>
      </c>
      <c r="D836" s="4">
        <f>IFERROR(__xludf.DUMMYFUNCTION("""COMPUTED_VALUE"""),30.0)</f>
        <v>30</v>
      </c>
      <c r="E836" s="4">
        <f>IFERROR(__xludf.DUMMYFUNCTION("""COMPUTED_VALUE"""),71.0)</f>
        <v>71</v>
      </c>
      <c r="F836" s="4">
        <f>IFERROR(__xludf.DUMMYFUNCTION("""COMPUTED_VALUE"""),6.0)</f>
        <v>6</v>
      </c>
      <c r="G836" s="4">
        <f>IFERROR(__xludf.DUMMYFUNCTION("""COMPUTED_VALUE"""),753.0)</f>
        <v>753</v>
      </c>
      <c r="H836" s="5">
        <f>IFERROR(__xludf.DUMMYFUNCTION("""COMPUTED_VALUE"""),9100.87)</f>
        <v>9100.87</v>
      </c>
      <c r="I836" s="5">
        <f>IFERROR(__xludf.DUMMYFUNCTION("""COMPUTED_VALUE"""),7579.92)</f>
        <v>7579.92</v>
      </c>
      <c r="J836" s="5">
        <f>IFERROR(__xludf.DUMMYFUNCTION("""COMPUTED_VALUE"""),3062.12)</f>
        <v>3062.12</v>
      </c>
      <c r="K836" s="5">
        <f>IFERROR(__xludf.DUMMYFUNCTION("""COMPUTED_VALUE"""),1208.93)</f>
        <v>1208.93</v>
      </c>
      <c r="L836" s="4">
        <f>IFERROR(__xludf.DUMMYFUNCTION("""COMPUTED_VALUE"""),20.0)</f>
        <v>20</v>
      </c>
      <c r="M836" s="4">
        <f>IFERROR(__xludf.DUMMYFUNCTION("""COMPUTED_VALUE"""),96.0)</f>
        <v>96</v>
      </c>
      <c r="N836" s="2" t="str">
        <f>IFERROR(__xludf.DUMMYFUNCTION("""COMPUTED_VALUE"""),"FALSO")</f>
        <v>FALSO</v>
      </c>
    </row>
    <row r="837">
      <c r="A837" s="2">
        <f>IFERROR(__xludf.DUMMYFUNCTION("""COMPUTED_VALUE"""),836.0)</f>
        <v>836</v>
      </c>
      <c r="B837" s="2" t="str">
        <f>IFERROR(__xludf.DUMMYFUNCTION("""COMPUTED_VALUE"""),"West Wixon")</f>
        <v>West Wixon</v>
      </c>
      <c r="C837" s="2" t="str">
        <f>IFERROR(__xludf.DUMMYFUNCTION("""COMPUTED_VALUE"""),"wwixonn8@dagondesign.com")</f>
        <v>wwixonn8@dagondesign.com</v>
      </c>
      <c r="D837" s="4">
        <f>IFERROR(__xludf.DUMMYFUNCTION("""COMPUTED_VALUE"""),73.0)</f>
        <v>73</v>
      </c>
      <c r="E837" s="4">
        <f>IFERROR(__xludf.DUMMYFUNCTION("""COMPUTED_VALUE"""),98.0)</f>
        <v>98</v>
      </c>
      <c r="F837" s="4">
        <f>IFERROR(__xludf.DUMMYFUNCTION("""COMPUTED_VALUE"""),13.0)</f>
        <v>13</v>
      </c>
      <c r="G837" s="4">
        <f>IFERROR(__xludf.DUMMYFUNCTION("""COMPUTED_VALUE"""),122.0)</f>
        <v>122</v>
      </c>
      <c r="H837" s="5">
        <f>IFERROR(__xludf.DUMMYFUNCTION("""COMPUTED_VALUE"""),9134.98)</f>
        <v>9134.98</v>
      </c>
      <c r="I837" s="5">
        <f>IFERROR(__xludf.DUMMYFUNCTION("""COMPUTED_VALUE"""),6111.42)</f>
        <v>6111.42</v>
      </c>
      <c r="J837" s="5">
        <f>IFERROR(__xludf.DUMMYFUNCTION("""COMPUTED_VALUE"""),8949.62)</f>
        <v>8949.62</v>
      </c>
      <c r="K837" s="5">
        <f>IFERROR(__xludf.DUMMYFUNCTION("""COMPUTED_VALUE"""),3199.31)</f>
        <v>3199.31</v>
      </c>
      <c r="L837" s="4">
        <f>IFERROR(__xludf.DUMMYFUNCTION("""COMPUTED_VALUE"""),10.0)</f>
        <v>10</v>
      </c>
      <c r="M837" s="4">
        <f>IFERROR(__xludf.DUMMYFUNCTION("""COMPUTED_VALUE"""),32.0)</f>
        <v>32</v>
      </c>
      <c r="N837" s="2" t="str">
        <f>IFERROR(__xludf.DUMMYFUNCTION("""COMPUTED_VALUE"""),"FALSO")</f>
        <v>FALSO</v>
      </c>
    </row>
    <row r="838">
      <c r="A838" s="2">
        <f>IFERROR(__xludf.DUMMYFUNCTION("""COMPUTED_VALUE"""),837.0)</f>
        <v>837</v>
      </c>
      <c r="B838" s="2" t="str">
        <f>IFERROR(__xludf.DUMMYFUNCTION("""COMPUTED_VALUE"""),"Hagen Signore")</f>
        <v>Hagen Signore</v>
      </c>
      <c r="C838" s="2" t="str">
        <f>IFERROR(__xludf.DUMMYFUNCTION("""COMPUTED_VALUE"""),"hsignoren9@nature.com")</f>
        <v>hsignoren9@nature.com</v>
      </c>
      <c r="D838" s="4">
        <f>IFERROR(__xludf.DUMMYFUNCTION("""COMPUTED_VALUE"""),153.0)</f>
        <v>153</v>
      </c>
      <c r="E838" s="4">
        <f>IFERROR(__xludf.DUMMYFUNCTION("""COMPUTED_VALUE"""),12.0)</f>
        <v>12</v>
      </c>
      <c r="F838" s="4">
        <f>IFERROR(__xludf.DUMMYFUNCTION("""COMPUTED_VALUE"""),6.0)</f>
        <v>6</v>
      </c>
      <c r="G838" s="4">
        <f>IFERROR(__xludf.DUMMYFUNCTION("""COMPUTED_VALUE"""),146.0)</f>
        <v>146</v>
      </c>
      <c r="H838" s="5">
        <f>IFERROR(__xludf.DUMMYFUNCTION("""COMPUTED_VALUE"""),5429.08)</f>
        <v>5429.08</v>
      </c>
      <c r="I838" s="5">
        <f>IFERROR(__xludf.DUMMYFUNCTION("""COMPUTED_VALUE"""),4864.21)</f>
        <v>4864.21</v>
      </c>
      <c r="J838" s="5">
        <f>IFERROR(__xludf.DUMMYFUNCTION("""COMPUTED_VALUE"""),2648.01)</f>
        <v>2648.01</v>
      </c>
      <c r="K838" s="5">
        <f>IFERROR(__xludf.DUMMYFUNCTION("""COMPUTED_VALUE"""),4617.99)</f>
        <v>4617.99</v>
      </c>
      <c r="L838" s="4">
        <f>IFERROR(__xludf.DUMMYFUNCTION("""COMPUTED_VALUE"""),10.0)</f>
        <v>10</v>
      </c>
      <c r="M838" s="4">
        <f>IFERROR(__xludf.DUMMYFUNCTION("""COMPUTED_VALUE"""),100.0)</f>
        <v>100</v>
      </c>
      <c r="N838" s="2" t="str">
        <f>IFERROR(__xludf.DUMMYFUNCTION("""COMPUTED_VALUE"""),"VERDADERO")</f>
        <v>VERDADERO</v>
      </c>
    </row>
    <row r="839">
      <c r="A839" s="2">
        <f>IFERROR(__xludf.DUMMYFUNCTION("""COMPUTED_VALUE"""),838.0)</f>
        <v>838</v>
      </c>
      <c r="B839" s="2" t="str">
        <f>IFERROR(__xludf.DUMMYFUNCTION("""COMPUTED_VALUE"""),"Michelle Goranov")</f>
        <v>Michelle Goranov</v>
      </c>
      <c r="C839" s="2" t="str">
        <f>IFERROR(__xludf.DUMMYFUNCTION("""COMPUTED_VALUE"""),"mgoranovna@deviantart.com")</f>
        <v>mgoranovna@deviantart.com</v>
      </c>
      <c r="D839" s="4">
        <f>IFERROR(__xludf.DUMMYFUNCTION("""COMPUTED_VALUE"""),29.0)</f>
        <v>29</v>
      </c>
      <c r="E839" s="4">
        <f>IFERROR(__xludf.DUMMYFUNCTION("""COMPUTED_VALUE"""),75.0)</f>
        <v>75</v>
      </c>
      <c r="F839" s="4">
        <f>IFERROR(__xludf.DUMMYFUNCTION("""COMPUTED_VALUE"""),9.0)</f>
        <v>9</v>
      </c>
      <c r="G839" s="4">
        <f>IFERROR(__xludf.DUMMYFUNCTION("""COMPUTED_VALUE"""),1335.0)</f>
        <v>1335</v>
      </c>
      <c r="H839" s="5">
        <f>IFERROR(__xludf.DUMMYFUNCTION("""COMPUTED_VALUE"""),180.71)</f>
        <v>180.71</v>
      </c>
      <c r="I839" s="5">
        <f>IFERROR(__xludf.DUMMYFUNCTION("""COMPUTED_VALUE"""),5034.94)</f>
        <v>5034.94</v>
      </c>
      <c r="J839" s="5">
        <f>IFERROR(__xludf.DUMMYFUNCTION("""COMPUTED_VALUE"""),9713.97)</f>
        <v>9713.97</v>
      </c>
      <c r="K839" s="5">
        <f>IFERROR(__xludf.DUMMYFUNCTION("""COMPUTED_VALUE"""),5236.43)</f>
        <v>5236.43</v>
      </c>
      <c r="L839" s="4">
        <f>IFERROR(__xludf.DUMMYFUNCTION("""COMPUTED_VALUE"""),16.0)</f>
        <v>16</v>
      </c>
      <c r="M839" s="4">
        <f>IFERROR(__xludf.DUMMYFUNCTION("""COMPUTED_VALUE"""),18.0)</f>
        <v>18</v>
      </c>
      <c r="N839" s="2" t="str">
        <f>IFERROR(__xludf.DUMMYFUNCTION("""COMPUTED_VALUE"""),"VERDADERO")</f>
        <v>VERDADERO</v>
      </c>
    </row>
    <row r="840">
      <c r="A840" s="2">
        <f>IFERROR(__xludf.DUMMYFUNCTION("""COMPUTED_VALUE"""),839.0)</f>
        <v>839</v>
      </c>
      <c r="B840" s="2" t="str">
        <f>IFERROR(__xludf.DUMMYFUNCTION("""COMPUTED_VALUE"""),"Moina Golder")</f>
        <v>Moina Golder</v>
      </c>
      <c r="C840" s="2" t="str">
        <f>IFERROR(__xludf.DUMMYFUNCTION("""COMPUTED_VALUE"""),"mgoldernb@springer.com")</f>
        <v>mgoldernb@springer.com</v>
      </c>
      <c r="D840" s="4">
        <f>IFERROR(__xludf.DUMMYFUNCTION("""COMPUTED_VALUE"""),29.0)</f>
        <v>29</v>
      </c>
      <c r="E840" s="4">
        <f>IFERROR(__xludf.DUMMYFUNCTION("""COMPUTED_VALUE"""),85.0)</f>
        <v>85</v>
      </c>
      <c r="F840" s="4">
        <f>IFERROR(__xludf.DUMMYFUNCTION("""COMPUTED_VALUE"""),3.0)</f>
        <v>3</v>
      </c>
      <c r="G840" s="4">
        <f>IFERROR(__xludf.DUMMYFUNCTION("""COMPUTED_VALUE"""),1186.0)</f>
        <v>1186</v>
      </c>
      <c r="H840" s="5">
        <f>IFERROR(__xludf.DUMMYFUNCTION("""COMPUTED_VALUE"""),3521.55)</f>
        <v>3521.55</v>
      </c>
      <c r="I840" s="5">
        <f>IFERROR(__xludf.DUMMYFUNCTION("""COMPUTED_VALUE"""),1087.72)</f>
        <v>1087.72</v>
      </c>
      <c r="J840" s="5">
        <f>IFERROR(__xludf.DUMMYFUNCTION("""COMPUTED_VALUE"""),6149.12)</f>
        <v>6149.12</v>
      </c>
      <c r="K840" s="5">
        <f>IFERROR(__xludf.DUMMYFUNCTION("""COMPUTED_VALUE"""),1948.15)</f>
        <v>1948.15</v>
      </c>
      <c r="L840" s="4">
        <f>IFERROR(__xludf.DUMMYFUNCTION("""COMPUTED_VALUE"""),9.0)</f>
        <v>9</v>
      </c>
      <c r="M840" s="4">
        <f>IFERROR(__xludf.DUMMYFUNCTION("""COMPUTED_VALUE"""),45.0)</f>
        <v>45</v>
      </c>
      <c r="N840" s="2" t="str">
        <f>IFERROR(__xludf.DUMMYFUNCTION("""COMPUTED_VALUE"""),"FALSO")</f>
        <v>FALSO</v>
      </c>
    </row>
    <row r="841">
      <c r="A841" s="2">
        <f>IFERROR(__xludf.DUMMYFUNCTION("""COMPUTED_VALUE"""),840.0)</f>
        <v>840</v>
      </c>
      <c r="B841" s="2" t="str">
        <f>IFERROR(__xludf.DUMMYFUNCTION("""COMPUTED_VALUE"""),"Sarine Kelner")</f>
        <v>Sarine Kelner</v>
      </c>
      <c r="C841" s="2" t="str">
        <f>IFERROR(__xludf.DUMMYFUNCTION("""COMPUTED_VALUE"""),"skelnernc@rediff.com")</f>
        <v>skelnernc@rediff.com</v>
      </c>
      <c r="D841" s="4">
        <f>IFERROR(__xludf.DUMMYFUNCTION("""COMPUTED_VALUE"""),29.0)</f>
        <v>29</v>
      </c>
      <c r="E841" s="4">
        <f>IFERROR(__xludf.DUMMYFUNCTION("""COMPUTED_VALUE"""),62.0)</f>
        <v>62</v>
      </c>
      <c r="F841" s="4">
        <f>IFERROR(__xludf.DUMMYFUNCTION("""COMPUTED_VALUE"""),4.0)</f>
        <v>4</v>
      </c>
      <c r="G841" s="4">
        <f>IFERROR(__xludf.DUMMYFUNCTION("""COMPUTED_VALUE"""),720.0)</f>
        <v>720</v>
      </c>
      <c r="H841" s="5">
        <f>IFERROR(__xludf.DUMMYFUNCTION("""COMPUTED_VALUE"""),3793.64)</f>
        <v>3793.64</v>
      </c>
      <c r="I841" s="5">
        <f>IFERROR(__xludf.DUMMYFUNCTION("""COMPUTED_VALUE"""),8043.85)</f>
        <v>8043.85</v>
      </c>
      <c r="J841" s="5">
        <f>IFERROR(__xludf.DUMMYFUNCTION("""COMPUTED_VALUE"""),6343.87)</f>
        <v>6343.87</v>
      </c>
      <c r="K841" s="5">
        <f>IFERROR(__xludf.DUMMYFUNCTION("""COMPUTED_VALUE"""),483.56)</f>
        <v>483.56</v>
      </c>
      <c r="L841" s="4">
        <f>IFERROR(__xludf.DUMMYFUNCTION("""COMPUTED_VALUE"""),1.0)</f>
        <v>1</v>
      </c>
      <c r="M841" s="4">
        <f>IFERROR(__xludf.DUMMYFUNCTION("""COMPUTED_VALUE"""),65.0)</f>
        <v>65</v>
      </c>
      <c r="N841" s="2" t="str">
        <f>IFERROR(__xludf.DUMMYFUNCTION("""COMPUTED_VALUE"""),"FALSO")</f>
        <v>FALSO</v>
      </c>
    </row>
    <row r="842">
      <c r="A842" s="2">
        <f>IFERROR(__xludf.DUMMYFUNCTION("""COMPUTED_VALUE"""),841.0)</f>
        <v>841</v>
      </c>
      <c r="B842" s="2" t="str">
        <f>IFERROR(__xludf.DUMMYFUNCTION("""COMPUTED_VALUE"""),"Anabelle Jerrome")</f>
        <v>Anabelle Jerrome</v>
      </c>
      <c r="C842" s="2" t="str">
        <f>IFERROR(__xludf.DUMMYFUNCTION("""COMPUTED_VALUE"""),"ajerromend@mashable.com")</f>
        <v>ajerromend@mashable.com</v>
      </c>
      <c r="D842" s="4">
        <f>IFERROR(__xludf.DUMMYFUNCTION("""COMPUTED_VALUE"""),65.0)</f>
        <v>65</v>
      </c>
      <c r="E842" s="4">
        <f>IFERROR(__xludf.DUMMYFUNCTION("""COMPUTED_VALUE"""),81.0)</f>
        <v>81</v>
      </c>
      <c r="F842" s="4">
        <f>IFERROR(__xludf.DUMMYFUNCTION("""COMPUTED_VALUE"""),2.0)</f>
        <v>2</v>
      </c>
      <c r="G842" s="4">
        <f>IFERROR(__xludf.DUMMYFUNCTION("""COMPUTED_VALUE"""),1358.0)</f>
        <v>1358</v>
      </c>
      <c r="H842" s="5">
        <f>IFERROR(__xludf.DUMMYFUNCTION("""COMPUTED_VALUE"""),8608.76)</f>
        <v>8608.76</v>
      </c>
      <c r="I842" s="5">
        <f>IFERROR(__xludf.DUMMYFUNCTION("""COMPUTED_VALUE"""),1182.33)</f>
        <v>1182.33</v>
      </c>
      <c r="J842" s="5">
        <f>IFERROR(__xludf.DUMMYFUNCTION("""COMPUTED_VALUE"""),8949.46)</f>
        <v>8949.46</v>
      </c>
      <c r="K842" s="5">
        <f>IFERROR(__xludf.DUMMYFUNCTION("""COMPUTED_VALUE"""),3765.62)</f>
        <v>3765.62</v>
      </c>
      <c r="L842" s="4">
        <f>IFERROR(__xludf.DUMMYFUNCTION("""COMPUTED_VALUE"""),9.0)</f>
        <v>9</v>
      </c>
      <c r="M842" s="4">
        <f>IFERROR(__xludf.DUMMYFUNCTION("""COMPUTED_VALUE"""),68.0)</f>
        <v>68</v>
      </c>
      <c r="N842" s="2" t="str">
        <f>IFERROR(__xludf.DUMMYFUNCTION("""COMPUTED_VALUE"""),"FALSO")</f>
        <v>FALSO</v>
      </c>
    </row>
    <row r="843">
      <c r="A843" s="2">
        <f>IFERROR(__xludf.DUMMYFUNCTION("""COMPUTED_VALUE"""),842.0)</f>
        <v>842</v>
      </c>
      <c r="B843" s="2" t="str">
        <f>IFERROR(__xludf.DUMMYFUNCTION("""COMPUTED_VALUE"""),"Fraze Alvarado")</f>
        <v>Fraze Alvarado</v>
      </c>
      <c r="C843" s="2" t="str">
        <f>IFERROR(__xludf.DUMMYFUNCTION("""COMPUTED_VALUE"""),"falvaradone@dailymail.co.uk")</f>
        <v>falvaradone@dailymail.co.uk</v>
      </c>
      <c r="D843" s="4">
        <f>IFERROR(__xludf.DUMMYFUNCTION("""COMPUTED_VALUE"""),49.0)</f>
        <v>49</v>
      </c>
      <c r="E843" s="4">
        <f>IFERROR(__xludf.DUMMYFUNCTION("""COMPUTED_VALUE"""),112.0)</f>
        <v>112</v>
      </c>
      <c r="F843" s="4">
        <f>IFERROR(__xludf.DUMMYFUNCTION("""COMPUTED_VALUE"""),11.0)</f>
        <v>11</v>
      </c>
      <c r="G843" s="4">
        <f>IFERROR(__xludf.DUMMYFUNCTION("""COMPUTED_VALUE"""),1276.0)</f>
        <v>1276</v>
      </c>
      <c r="H843" s="5">
        <f>IFERROR(__xludf.DUMMYFUNCTION("""COMPUTED_VALUE"""),2118.02)</f>
        <v>2118.02</v>
      </c>
      <c r="I843" s="5">
        <f>IFERROR(__xludf.DUMMYFUNCTION("""COMPUTED_VALUE"""),2043.44)</f>
        <v>2043.44</v>
      </c>
      <c r="J843" s="5">
        <f>IFERROR(__xludf.DUMMYFUNCTION("""COMPUTED_VALUE"""),5090.05)</f>
        <v>5090.05</v>
      </c>
      <c r="K843" s="5">
        <f>IFERROR(__xludf.DUMMYFUNCTION("""COMPUTED_VALUE"""),6873.62)</f>
        <v>6873.62</v>
      </c>
      <c r="L843" s="4">
        <f>IFERROR(__xludf.DUMMYFUNCTION("""COMPUTED_VALUE"""),1.0)</f>
        <v>1</v>
      </c>
      <c r="M843" s="4">
        <f>IFERROR(__xludf.DUMMYFUNCTION("""COMPUTED_VALUE"""),24.0)</f>
        <v>24</v>
      </c>
      <c r="N843" s="2" t="str">
        <f>IFERROR(__xludf.DUMMYFUNCTION("""COMPUTED_VALUE"""),"VERDADERO")</f>
        <v>VERDADERO</v>
      </c>
    </row>
    <row r="844">
      <c r="A844" s="2">
        <f>IFERROR(__xludf.DUMMYFUNCTION("""COMPUTED_VALUE"""),843.0)</f>
        <v>843</v>
      </c>
      <c r="B844" s="2" t="str">
        <f>IFERROR(__xludf.DUMMYFUNCTION("""COMPUTED_VALUE"""),"Vicki Sunderland")</f>
        <v>Vicki Sunderland</v>
      </c>
      <c r="C844" s="2" t="str">
        <f>IFERROR(__xludf.DUMMYFUNCTION("""COMPUTED_VALUE"""),"vsunderlandnf@gmpg.org")</f>
        <v>vsunderlandnf@gmpg.org</v>
      </c>
      <c r="D844" s="4">
        <f>IFERROR(__xludf.DUMMYFUNCTION("""COMPUTED_VALUE"""),29.0)</f>
        <v>29</v>
      </c>
      <c r="E844" s="4">
        <f>IFERROR(__xludf.DUMMYFUNCTION("""COMPUTED_VALUE"""),29.0)</f>
        <v>29</v>
      </c>
      <c r="F844" s="4">
        <f>IFERROR(__xludf.DUMMYFUNCTION("""COMPUTED_VALUE"""),11.0)</f>
        <v>11</v>
      </c>
      <c r="G844" s="4">
        <f>IFERROR(__xludf.DUMMYFUNCTION("""COMPUTED_VALUE"""),1031.0)</f>
        <v>1031</v>
      </c>
      <c r="H844" s="5">
        <f>IFERROR(__xludf.DUMMYFUNCTION("""COMPUTED_VALUE"""),2582.67)</f>
        <v>2582.67</v>
      </c>
      <c r="I844" s="5">
        <f>IFERROR(__xludf.DUMMYFUNCTION("""COMPUTED_VALUE"""),2189.22)</f>
        <v>2189.22</v>
      </c>
      <c r="J844" s="5">
        <f>IFERROR(__xludf.DUMMYFUNCTION("""COMPUTED_VALUE"""),7546.72)</f>
        <v>7546.72</v>
      </c>
      <c r="K844" s="5">
        <f>IFERROR(__xludf.DUMMYFUNCTION("""COMPUTED_VALUE"""),744.12)</f>
        <v>744.12</v>
      </c>
      <c r="L844" s="4">
        <f>IFERROR(__xludf.DUMMYFUNCTION("""COMPUTED_VALUE"""),7.0)</f>
        <v>7</v>
      </c>
      <c r="M844" s="4">
        <f>IFERROR(__xludf.DUMMYFUNCTION("""COMPUTED_VALUE"""),34.0)</f>
        <v>34</v>
      </c>
      <c r="N844" s="2" t="str">
        <f>IFERROR(__xludf.DUMMYFUNCTION("""COMPUTED_VALUE"""),"FALSO")</f>
        <v>FALSO</v>
      </c>
    </row>
    <row r="845">
      <c r="A845" s="2">
        <f>IFERROR(__xludf.DUMMYFUNCTION("""COMPUTED_VALUE"""),844.0)</f>
        <v>844</v>
      </c>
      <c r="B845" s="2" t="str">
        <f>IFERROR(__xludf.DUMMYFUNCTION("""COMPUTED_VALUE"""),"Marillin Beakes")</f>
        <v>Marillin Beakes</v>
      </c>
      <c r="C845" s="2" t="str">
        <f>IFERROR(__xludf.DUMMYFUNCTION("""COMPUTED_VALUE"""),"mbeakesng@ifeng.com")</f>
        <v>mbeakesng@ifeng.com</v>
      </c>
      <c r="D845" s="4">
        <f>IFERROR(__xludf.DUMMYFUNCTION("""COMPUTED_VALUE"""),34.0)</f>
        <v>34</v>
      </c>
      <c r="E845" s="4">
        <f>IFERROR(__xludf.DUMMYFUNCTION("""COMPUTED_VALUE"""),62.0)</f>
        <v>62</v>
      </c>
      <c r="F845" s="4">
        <f>IFERROR(__xludf.DUMMYFUNCTION("""COMPUTED_VALUE"""),4.0)</f>
        <v>4</v>
      </c>
      <c r="G845" s="4">
        <f>IFERROR(__xludf.DUMMYFUNCTION("""COMPUTED_VALUE"""),352.0)</f>
        <v>352</v>
      </c>
      <c r="H845" s="5">
        <f>IFERROR(__xludf.DUMMYFUNCTION("""COMPUTED_VALUE"""),8084.46)</f>
        <v>8084.46</v>
      </c>
      <c r="I845" s="5">
        <f>IFERROR(__xludf.DUMMYFUNCTION("""COMPUTED_VALUE"""),8211.75)</f>
        <v>8211.75</v>
      </c>
      <c r="J845" s="5">
        <f>IFERROR(__xludf.DUMMYFUNCTION("""COMPUTED_VALUE"""),2991.39)</f>
        <v>2991.39</v>
      </c>
      <c r="K845" s="5">
        <f>IFERROR(__xludf.DUMMYFUNCTION("""COMPUTED_VALUE"""),953.66)</f>
        <v>953.66</v>
      </c>
      <c r="L845" s="4">
        <f>IFERROR(__xludf.DUMMYFUNCTION("""COMPUTED_VALUE"""),2.0)</f>
        <v>2</v>
      </c>
      <c r="M845" s="4">
        <f>IFERROR(__xludf.DUMMYFUNCTION("""COMPUTED_VALUE"""),77.0)</f>
        <v>77</v>
      </c>
      <c r="N845" s="2" t="str">
        <f>IFERROR(__xludf.DUMMYFUNCTION("""COMPUTED_VALUE"""),"VERDADERO")</f>
        <v>VERDADERO</v>
      </c>
    </row>
    <row r="846">
      <c r="A846" s="2">
        <f>IFERROR(__xludf.DUMMYFUNCTION("""COMPUTED_VALUE"""),845.0)</f>
        <v>845</v>
      </c>
      <c r="B846" s="2" t="str">
        <f>IFERROR(__xludf.DUMMYFUNCTION("""COMPUTED_VALUE"""),"Burl Jack")</f>
        <v>Burl Jack</v>
      </c>
      <c r="C846" s="2" t="str">
        <f>IFERROR(__xludf.DUMMYFUNCTION("""COMPUTED_VALUE"""),"bjacknh@imgur.com")</f>
        <v>bjacknh@imgur.com</v>
      </c>
      <c r="D846" s="4">
        <f>IFERROR(__xludf.DUMMYFUNCTION("""COMPUTED_VALUE"""),65.0)</f>
        <v>65</v>
      </c>
      <c r="E846" s="4">
        <f>IFERROR(__xludf.DUMMYFUNCTION("""COMPUTED_VALUE"""),119.0)</f>
        <v>119</v>
      </c>
      <c r="F846" s="4">
        <f>IFERROR(__xludf.DUMMYFUNCTION("""COMPUTED_VALUE"""),1.0)</f>
        <v>1</v>
      </c>
      <c r="G846" s="4">
        <f>IFERROR(__xludf.DUMMYFUNCTION("""COMPUTED_VALUE"""),323.0)</f>
        <v>323</v>
      </c>
      <c r="H846" s="5">
        <f>IFERROR(__xludf.DUMMYFUNCTION("""COMPUTED_VALUE"""),9327.2)</f>
        <v>9327.2</v>
      </c>
      <c r="I846" s="5">
        <f>IFERROR(__xludf.DUMMYFUNCTION("""COMPUTED_VALUE"""),7955.43)</f>
        <v>7955.43</v>
      </c>
      <c r="J846" s="5">
        <f>IFERROR(__xludf.DUMMYFUNCTION("""COMPUTED_VALUE"""),552.86)</f>
        <v>552.86</v>
      </c>
      <c r="K846" s="5">
        <f>IFERROR(__xludf.DUMMYFUNCTION("""COMPUTED_VALUE"""),5035.42)</f>
        <v>5035.42</v>
      </c>
      <c r="L846" s="4">
        <f>IFERROR(__xludf.DUMMYFUNCTION("""COMPUTED_VALUE"""),3.0)</f>
        <v>3</v>
      </c>
      <c r="M846" s="4">
        <f>IFERROR(__xludf.DUMMYFUNCTION("""COMPUTED_VALUE"""),99.0)</f>
        <v>99</v>
      </c>
      <c r="N846" s="2" t="str">
        <f>IFERROR(__xludf.DUMMYFUNCTION("""COMPUTED_VALUE"""),"FALSO")</f>
        <v>FALSO</v>
      </c>
    </row>
    <row r="847">
      <c r="A847" s="2">
        <f>IFERROR(__xludf.DUMMYFUNCTION("""COMPUTED_VALUE"""),846.0)</f>
        <v>846</v>
      </c>
      <c r="B847" s="2" t="str">
        <f>IFERROR(__xludf.DUMMYFUNCTION("""COMPUTED_VALUE"""),"Valery Muncer")</f>
        <v>Valery Muncer</v>
      </c>
      <c r="C847" s="2" t="str">
        <f>IFERROR(__xludf.DUMMYFUNCTION("""COMPUTED_VALUE"""),"vmuncerni@nasa.gov")</f>
        <v>vmuncerni@nasa.gov</v>
      </c>
      <c r="D847" s="4">
        <f>IFERROR(__xludf.DUMMYFUNCTION("""COMPUTED_VALUE"""),29.0)</f>
        <v>29</v>
      </c>
      <c r="E847" s="4">
        <f>IFERROR(__xludf.DUMMYFUNCTION("""COMPUTED_VALUE"""),2.0)</f>
        <v>2</v>
      </c>
      <c r="F847" s="4">
        <f>IFERROR(__xludf.DUMMYFUNCTION("""COMPUTED_VALUE"""),11.0)</f>
        <v>11</v>
      </c>
      <c r="G847" s="4">
        <f>IFERROR(__xludf.DUMMYFUNCTION("""COMPUTED_VALUE"""),1304.0)</f>
        <v>1304</v>
      </c>
      <c r="H847" s="5">
        <f>IFERROR(__xludf.DUMMYFUNCTION("""COMPUTED_VALUE"""),3849.89)</f>
        <v>3849.89</v>
      </c>
      <c r="I847" s="5">
        <f>IFERROR(__xludf.DUMMYFUNCTION("""COMPUTED_VALUE"""),2295.47)</f>
        <v>2295.47</v>
      </c>
      <c r="J847" s="5">
        <f>IFERROR(__xludf.DUMMYFUNCTION("""COMPUTED_VALUE"""),3982.19)</f>
        <v>3982.19</v>
      </c>
      <c r="K847" s="5">
        <f>IFERROR(__xludf.DUMMYFUNCTION("""COMPUTED_VALUE"""),6520.83)</f>
        <v>6520.83</v>
      </c>
      <c r="L847" s="4">
        <f>IFERROR(__xludf.DUMMYFUNCTION("""COMPUTED_VALUE"""),10.0)</f>
        <v>10</v>
      </c>
      <c r="M847" s="4">
        <f>IFERROR(__xludf.DUMMYFUNCTION("""COMPUTED_VALUE"""),33.0)</f>
        <v>33</v>
      </c>
      <c r="N847" s="2" t="str">
        <f>IFERROR(__xludf.DUMMYFUNCTION("""COMPUTED_VALUE"""),"VERDADERO")</f>
        <v>VERDADERO</v>
      </c>
    </row>
    <row r="848">
      <c r="A848" s="2">
        <f>IFERROR(__xludf.DUMMYFUNCTION("""COMPUTED_VALUE"""),847.0)</f>
        <v>847</v>
      </c>
      <c r="B848" s="2" t="str">
        <f>IFERROR(__xludf.DUMMYFUNCTION("""COMPUTED_VALUE"""),"Goraud Sawl")</f>
        <v>Goraud Sawl</v>
      </c>
      <c r="C848" s="2" t="str">
        <f>IFERROR(__xludf.DUMMYFUNCTION("""COMPUTED_VALUE"""),"gsawlnj@scientificamerican.com")</f>
        <v>gsawlnj@scientificamerican.com</v>
      </c>
      <c r="D848" s="4">
        <f>IFERROR(__xludf.DUMMYFUNCTION("""COMPUTED_VALUE"""),120.0)</f>
        <v>120</v>
      </c>
      <c r="E848" s="4">
        <f>IFERROR(__xludf.DUMMYFUNCTION("""COMPUTED_VALUE"""),21.0)</f>
        <v>21</v>
      </c>
      <c r="F848" s="4">
        <f>IFERROR(__xludf.DUMMYFUNCTION("""COMPUTED_VALUE"""),4.0)</f>
        <v>4</v>
      </c>
      <c r="G848" s="4">
        <f>IFERROR(__xludf.DUMMYFUNCTION("""COMPUTED_VALUE"""),90.0)</f>
        <v>90</v>
      </c>
      <c r="H848" s="5">
        <f>IFERROR(__xludf.DUMMYFUNCTION("""COMPUTED_VALUE"""),5816.9)</f>
        <v>5816.9</v>
      </c>
      <c r="I848" s="5">
        <f>IFERROR(__xludf.DUMMYFUNCTION("""COMPUTED_VALUE"""),3113.45)</f>
        <v>3113.45</v>
      </c>
      <c r="J848" s="5">
        <f>IFERROR(__xludf.DUMMYFUNCTION("""COMPUTED_VALUE"""),5139.2)</f>
        <v>5139.2</v>
      </c>
      <c r="K848" s="5">
        <f>IFERROR(__xludf.DUMMYFUNCTION("""COMPUTED_VALUE"""),3423.17)</f>
        <v>3423.17</v>
      </c>
      <c r="L848" s="4">
        <f>IFERROR(__xludf.DUMMYFUNCTION("""COMPUTED_VALUE"""),13.0)</f>
        <v>13</v>
      </c>
      <c r="M848" s="4">
        <f>IFERROR(__xludf.DUMMYFUNCTION("""COMPUTED_VALUE"""),48.0)</f>
        <v>48</v>
      </c>
      <c r="N848" s="2" t="str">
        <f>IFERROR(__xludf.DUMMYFUNCTION("""COMPUTED_VALUE"""),"VERDADERO")</f>
        <v>VERDADERO</v>
      </c>
    </row>
    <row r="849">
      <c r="A849" s="2">
        <f>IFERROR(__xludf.DUMMYFUNCTION("""COMPUTED_VALUE"""),848.0)</f>
        <v>848</v>
      </c>
      <c r="B849" s="2" t="str">
        <f>IFERROR(__xludf.DUMMYFUNCTION("""COMPUTED_VALUE"""),"Efrem Damiata")</f>
        <v>Efrem Damiata</v>
      </c>
      <c r="C849" s="2" t="str">
        <f>IFERROR(__xludf.DUMMYFUNCTION("""COMPUTED_VALUE"""),"edamiatank@over-blog.com")</f>
        <v>edamiatank@over-blog.com</v>
      </c>
      <c r="D849" s="4">
        <f>IFERROR(__xludf.DUMMYFUNCTION("""COMPUTED_VALUE"""),121.0)</f>
        <v>121</v>
      </c>
      <c r="E849" s="4">
        <f>IFERROR(__xludf.DUMMYFUNCTION("""COMPUTED_VALUE"""),32.0)</f>
        <v>32</v>
      </c>
      <c r="F849" s="4">
        <f>IFERROR(__xludf.DUMMYFUNCTION("""COMPUTED_VALUE"""),13.0)</f>
        <v>13</v>
      </c>
      <c r="G849" s="4">
        <f>IFERROR(__xludf.DUMMYFUNCTION("""COMPUTED_VALUE"""),831.0)</f>
        <v>831</v>
      </c>
      <c r="H849" s="5">
        <f>IFERROR(__xludf.DUMMYFUNCTION("""COMPUTED_VALUE"""),5161.64)</f>
        <v>5161.64</v>
      </c>
      <c r="I849" s="5">
        <f>IFERROR(__xludf.DUMMYFUNCTION("""COMPUTED_VALUE"""),9009.72)</f>
        <v>9009.72</v>
      </c>
      <c r="J849" s="5">
        <f>IFERROR(__xludf.DUMMYFUNCTION("""COMPUTED_VALUE"""),1465.75)</f>
        <v>1465.75</v>
      </c>
      <c r="K849" s="5">
        <f>IFERROR(__xludf.DUMMYFUNCTION("""COMPUTED_VALUE"""),6441.93)</f>
        <v>6441.93</v>
      </c>
      <c r="L849" s="4">
        <f>IFERROR(__xludf.DUMMYFUNCTION("""COMPUTED_VALUE"""),14.0)</f>
        <v>14</v>
      </c>
      <c r="M849" s="4">
        <f>IFERROR(__xludf.DUMMYFUNCTION("""COMPUTED_VALUE"""),100.0)</f>
        <v>100</v>
      </c>
      <c r="N849" s="2" t="str">
        <f>IFERROR(__xludf.DUMMYFUNCTION("""COMPUTED_VALUE"""),"VERDADERO")</f>
        <v>VERDADERO</v>
      </c>
    </row>
    <row r="850">
      <c r="A850" s="2">
        <f>IFERROR(__xludf.DUMMYFUNCTION("""COMPUTED_VALUE"""),849.0)</f>
        <v>849</v>
      </c>
      <c r="B850" s="2" t="str">
        <f>IFERROR(__xludf.DUMMYFUNCTION("""COMPUTED_VALUE"""),"Celene Tarbard")</f>
        <v>Celene Tarbard</v>
      </c>
      <c r="C850" s="2" t="str">
        <f>IFERROR(__xludf.DUMMYFUNCTION("""COMPUTED_VALUE"""),"ctarbardnl@goo.gl")</f>
        <v>ctarbardnl@goo.gl</v>
      </c>
      <c r="D850" s="4">
        <f>IFERROR(__xludf.DUMMYFUNCTION("""COMPUTED_VALUE"""),84.0)</f>
        <v>84</v>
      </c>
      <c r="E850" s="4">
        <f>IFERROR(__xludf.DUMMYFUNCTION("""COMPUTED_VALUE"""),40.0)</f>
        <v>40</v>
      </c>
      <c r="F850" s="4">
        <f>IFERROR(__xludf.DUMMYFUNCTION("""COMPUTED_VALUE"""),1.0)</f>
        <v>1</v>
      </c>
      <c r="G850" s="4">
        <f>IFERROR(__xludf.DUMMYFUNCTION("""COMPUTED_VALUE"""),1030.0)</f>
        <v>1030</v>
      </c>
      <c r="H850" s="5">
        <f>IFERROR(__xludf.DUMMYFUNCTION("""COMPUTED_VALUE"""),8430.59)</f>
        <v>8430.59</v>
      </c>
      <c r="I850" s="5">
        <f>IFERROR(__xludf.DUMMYFUNCTION("""COMPUTED_VALUE"""),5681.0)</f>
        <v>5681</v>
      </c>
      <c r="J850" s="5">
        <f>IFERROR(__xludf.DUMMYFUNCTION("""COMPUTED_VALUE"""),3876.19)</f>
        <v>3876.19</v>
      </c>
      <c r="K850" s="5">
        <f>IFERROR(__xludf.DUMMYFUNCTION("""COMPUTED_VALUE"""),7474.19)</f>
        <v>7474.19</v>
      </c>
      <c r="L850" s="4">
        <f>IFERROR(__xludf.DUMMYFUNCTION("""COMPUTED_VALUE"""),14.0)</f>
        <v>14</v>
      </c>
      <c r="M850" s="4">
        <f>IFERROR(__xludf.DUMMYFUNCTION("""COMPUTED_VALUE"""),50.0)</f>
        <v>50</v>
      </c>
      <c r="N850" s="2" t="str">
        <f>IFERROR(__xludf.DUMMYFUNCTION("""COMPUTED_VALUE"""),"VERDADERO")</f>
        <v>VERDADERO</v>
      </c>
    </row>
    <row r="851">
      <c r="A851" s="2">
        <f>IFERROR(__xludf.DUMMYFUNCTION("""COMPUTED_VALUE"""),850.0)</f>
        <v>850</v>
      </c>
      <c r="B851" s="2" t="str">
        <f>IFERROR(__xludf.DUMMYFUNCTION("""COMPUTED_VALUE"""),"Celka Sawkins")</f>
        <v>Celka Sawkins</v>
      </c>
      <c r="C851" s="2" t="str">
        <f>IFERROR(__xludf.DUMMYFUNCTION("""COMPUTED_VALUE"""),"csawkinsnm@cloudflare.com")</f>
        <v>csawkinsnm@cloudflare.com</v>
      </c>
      <c r="D851" s="4">
        <f>IFERROR(__xludf.DUMMYFUNCTION("""COMPUTED_VALUE"""),153.0)</f>
        <v>153</v>
      </c>
      <c r="E851" s="4">
        <f>IFERROR(__xludf.DUMMYFUNCTION("""COMPUTED_VALUE"""),102.0)</f>
        <v>102</v>
      </c>
      <c r="F851" s="4">
        <f>IFERROR(__xludf.DUMMYFUNCTION("""COMPUTED_VALUE"""),4.0)</f>
        <v>4</v>
      </c>
      <c r="G851" s="4">
        <f>IFERROR(__xludf.DUMMYFUNCTION("""COMPUTED_VALUE"""),1079.0)</f>
        <v>1079</v>
      </c>
      <c r="H851" s="5">
        <f>IFERROR(__xludf.DUMMYFUNCTION("""COMPUTED_VALUE"""),3188.56)</f>
        <v>3188.56</v>
      </c>
      <c r="I851" s="5">
        <f>IFERROR(__xludf.DUMMYFUNCTION("""COMPUTED_VALUE"""),3827.62)</f>
        <v>3827.62</v>
      </c>
      <c r="J851" s="5">
        <f>IFERROR(__xludf.DUMMYFUNCTION("""COMPUTED_VALUE"""),5060.68)</f>
        <v>5060.68</v>
      </c>
      <c r="K851" s="5">
        <f>IFERROR(__xludf.DUMMYFUNCTION("""COMPUTED_VALUE"""),6560.26)</f>
        <v>6560.26</v>
      </c>
      <c r="L851" s="4">
        <f>IFERROR(__xludf.DUMMYFUNCTION("""COMPUTED_VALUE"""),6.0)</f>
        <v>6</v>
      </c>
      <c r="M851" s="4">
        <f>IFERROR(__xludf.DUMMYFUNCTION("""COMPUTED_VALUE"""),13.0)</f>
        <v>13</v>
      </c>
      <c r="N851" s="2" t="str">
        <f>IFERROR(__xludf.DUMMYFUNCTION("""COMPUTED_VALUE"""),"VERDADERO")</f>
        <v>VERDADERO</v>
      </c>
    </row>
    <row r="852">
      <c r="A852" s="2">
        <f>IFERROR(__xludf.DUMMYFUNCTION("""COMPUTED_VALUE"""),851.0)</f>
        <v>851</v>
      </c>
      <c r="B852" s="2" t="str">
        <f>IFERROR(__xludf.DUMMYFUNCTION("""COMPUTED_VALUE"""),"Salvidor O'Spellissey")</f>
        <v>Salvidor O'Spellissey</v>
      </c>
      <c r="C852" s="2" t="str">
        <f>IFERROR(__xludf.DUMMYFUNCTION("""COMPUTED_VALUE"""),"sospellisseynn@webnode.com")</f>
        <v>sospellisseynn@webnode.com</v>
      </c>
      <c r="D852" s="4">
        <f>IFERROR(__xludf.DUMMYFUNCTION("""COMPUTED_VALUE"""),57.0)</f>
        <v>57</v>
      </c>
      <c r="E852" s="4">
        <f>IFERROR(__xludf.DUMMYFUNCTION("""COMPUTED_VALUE"""),81.0)</f>
        <v>81</v>
      </c>
      <c r="F852" s="4">
        <f>IFERROR(__xludf.DUMMYFUNCTION("""COMPUTED_VALUE"""),2.0)</f>
        <v>2</v>
      </c>
      <c r="G852" s="4">
        <f>IFERROR(__xludf.DUMMYFUNCTION("""COMPUTED_VALUE"""),207.0)</f>
        <v>207</v>
      </c>
      <c r="H852" s="5">
        <f>IFERROR(__xludf.DUMMYFUNCTION("""COMPUTED_VALUE"""),5026.93)</f>
        <v>5026.93</v>
      </c>
      <c r="I852" s="5">
        <f>IFERROR(__xludf.DUMMYFUNCTION("""COMPUTED_VALUE"""),6104.37)</f>
        <v>6104.37</v>
      </c>
      <c r="J852" s="5">
        <f>IFERROR(__xludf.DUMMYFUNCTION("""COMPUTED_VALUE"""),7960.38)</f>
        <v>7960.38</v>
      </c>
      <c r="K852" s="5">
        <f>IFERROR(__xludf.DUMMYFUNCTION("""COMPUTED_VALUE"""),9943.98)</f>
        <v>9943.98</v>
      </c>
      <c r="L852" s="4">
        <f>IFERROR(__xludf.DUMMYFUNCTION("""COMPUTED_VALUE"""),16.0)</f>
        <v>16</v>
      </c>
      <c r="M852" s="4">
        <f>IFERROR(__xludf.DUMMYFUNCTION("""COMPUTED_VALUE"""),84.0)</f>
        <v>84</v>
      </c>
      <c r="N852" s="2" t="str">
        <f>IFERROR(__xludf.DUMMYFUNCTION("""COMPUTED_VALUE"""),"FALSO")</f>
        <v>FALSO</v>
      </c>
    </row>
    <row r="853">
      <c r="A853" s="2">
        <f>IFERROR(__xludf.DUMMYFUNCTION("""COMPUTED_VALUE"""),852.0)</f>
        <v>852</v>
      </c>
      <c r="B853" s="2" t="str">
        <f>IFERROR(__xludf.DUMMYFUNCTION("""COMPUTED_VALUE"""),"Mehetabel Stirling")</f>
        <v>Mehetabel Stirling</v>
      </c>
      <c r="C853" s="2" t="str">
        <f>IFERROR(__xludf.DUMMYFUNCTION("""COMPUTED_VALUE"""),"mstirlingno@independent.co.uk")</f>
        <v>mstirlingno@independent.co.uk</v>
      </c>
      <c r="D853" s="4">
        <f>IFERROR(__xludf.DUMMYFUNCTION("""COMPUTED_VALUE"""),103.0)</f>
        <v>103</v>
      </c>
      <c r="E853" s="4">
        <f>IFERROR(__xludf.DUMMYFUNCTION("""COMPUTED_VALUE"""),73.0)</f>
        <v>73</v>
      </c>
      <c r="F853" s="4">
        <f>IFERROR(__xludf.DUMMYFUNCTION("""COMPUTED_VALUE"""),8.0)</f>
        <v>8</v>
      </c>
      <c r="G853" s="4">
        <f>IFERROR(__xludf.DUMMYFUNCTION("""COMPUTED_VALUE"""),646.0)</f>
        <v>646</v>
      </c>
      <c r="H853" s="5">
        <f>IFERROR(__xludf.DUMMYFUNCTION("""COMPUTED_VALUE"""),3341.14)</f>
        <v>3341.14</v>
      </c>
      <c r="I853" s="5">
        <f>IFERROR(__xludf.DUMMYFUNCTION("""COMPUTED_VALUE"""),3414.53)</f>
        <v>3414.53</v>
      </c>
      <c r="J853" s="5">
        <f>IFERROR(__xludf.DUMMYFUNCTION("""COMPUTED_VALUE"""),3367.16)</f>
        <v>3367.16</v>
      </c>
      <c r="K853" s="5">
        <f>IFERROR(__xludf.DUMMYFUNCTION("""COMPUTED_VALUE"""),4359.46)</f>
        <v>4359.46</v>
      </c>
      <c r="L853" s="4">
        <f>IFERROR(__xludf.DUMMYFUNCTION("""COMPUTED_VALUE"""),6.0)</f>
        <v>6</v>
      </c>
      <c r="M853" s="4">
        <f>IFERROR(__xludf.DUMMYFUNCTION("""COMPUTED_VALUE"""),72.0)</f>
        <v>72</v>
      </c>
      <c r="N853" s="2" t="str">
        <f>IFERROR(__xludf.DUMMYFUNCTION("""COMPUTED_VALUE"""),"VERDADERO")</f>
        <v>VERDADERO</v>
      </c>
    </row>
    <row r="854">
      <c r="A854" s="2">
        <f>IFERROR(__xludf.DUMMYFUNCTION("""COMPUTED_VALUE"""),853.0)</f>
        <v>853</v>
      </c>
      <c r="B854" s="2" t="str">
        <f>IFERROR(__xludf.DUMMYFUNCTION("""COMPUTED_VALUE"""),"Emelina Brownbridge")</f>
        <v>Emelina Brownbridge</v>
      </c>
      <c r="C854" s="2" t="str">
        <f>IFERROR(__xludf.DUMMYFUNCTION("""COMPUTED_VALUE"""),"ebrownbridgenp@intel.com")</f>
        <v>ebrownbridgenp@intel.com</v>
      </c>
      <c r="D854" s="4">
        <f>IFERROR(__xludf.DUMMYFUNCTION("""COMPUTED_VALUE"""),65.0)</f>
        <v>65</v>
      </c>
      <c r="E854" s="4">
        <f>IFERROR(__xludf.DUMMYFUNCTION("""COMPUTED_VALUE"""),29.0)</f>
        <v>29</v>
      </c>
      <c r="F854" s="4">
        <f>IFERROR(__xludf.DUMMYFUNCTION("""COMPUTED_VALUE"""),11.0)</f>
        <v>11</v>
      </c>
      <c r="G854" s="4">
        <f>IFERROR(__xludf.DUMMYFUNCTION("""COMPUTED_VALUE"""),382.0)</f>
        <v>382</v>
      </c>
      <c r="H854" s="5">
        <f>IFERROR(__xludf.DUMMYFUNCTION("""COMPUTED_VALUE"""),4384.08)</f>
        <v>4384.08</v>
      </c>
      <c r="I854" s="5">
        <f>IFERROR(__xludf.DUMMYFUNCTION("""COMPUTED_VALUE"""),6919.05)</f>
        <v>6919.05</v>
      </c>
      <c r="J854" s="5">
        <f>IFERROR(__xludf.DUMMYFUNCTION("""COMPUTED_VALUE"""),8194.72)</f>
        <v>8194.72</v>
      </c>
      <c r="K854" s="5">
        <f>IFERROR(__xludf.DUMMYFUNCTION("""COMPUTED_VALUE"""),1544.77)</f>
        <v>1544.77</v>
      </c>
      <c r="L854" s="4">
        <f>IFERROR(__xludf.DUMMYFUNCTION("""COMPUTED_VALUE"""),6.0)</f>
        <v>6</v>
      </c>
      <c r="M854" s="4">
        <f>IFERROR(__xludf.DUMMYFUNCTION("""COMPUTED_VALUE"""),54.0)</f>
        <v>54</v>
      </c>
      <c r="N854" s="2" t="str">
        <f>IFERROR(__xludf.DUMMYFUNCTION("""COMPUTED_VALUE"""),"VERDADERO")</f>
        <v>VERDADERO</v>
      </c>
    </row>
    <row r="855">
      <c r="A855" s="2">
        <f>IFERROR(__xludf.DUMMYFUNCTION("""COMPUTED_VALUE"""),854.0)</f>
        <v>854</v>
      </c>
      <c r="B855" s="2" t="str">
        <f>IFERROR(__xludf.DUMMYFUNCTION("""COMPUTED_VALUE"""),"Bendix Mackison")</f>
        <v>Bendix Mackison</v>
      </c>
      <c r="C855" s="2" t="str">
        <f>IFERROR(__xludf.DUMMYFUNCTION("""COMPUTED_VALUE"""),"bmackisonnq@twitter.com")</f>
        <v>bmackisonnq@twitter.com</v>
      </c>
      <c r="D855" s="4">
        <f>IFERROR(__xludf.DUMMYFUNCTION("""COMPUTED_VALUE"""),104.0)</f>
        <v>104</v>
      </c>
      <c r="E855" s="4">
        <f>IFERROR(__xludf.DUMMYFUNCTION("""COMPUTED_VALUE"""),64.0)</f>
        <v>64</v>
      </c>
      <c r="F855" s="4">
        <f>IFERROR(__xludf.DUMMYFUNCTION("""COMPUTED_VALUE"""),4.0)</f>
        <v>4</v>
      </c>
      <c r="G855" s="4">
        <f>IFERROR(__xludf.DUMMYFUNCTION("""COMPUTED_VALUE"""),1070.0)</f>
        <v>1070</v>
      </c>
      <c r="H855" s="5">
        <f>IFERROR(__xludf.DUMMYFUNCTION("""COMPUTED_VALUE"""),6058.55)</f>
        <v>6058.55</v>
      </c>
      <c r="I855" s="5">
        <f>IFERROR(__xludf.DUMMYFUNCTION("""COMPUTED_VALUE"""),2800.93)</f>
        <v>2800.93</v>
      </c>
      <c r="J855" s="5">
        <f>IFERROR(__xludf.DUMMYFUNCTION("""COMPUTED_VALUE"""),706.22)</f>
        <v>706.22</v>
      </c>
      <c r="K855" s="5">
        <f>IFERROR(__xludf.DUMMYFUNCTION("""COMPUTED_VALUE"""),9451.94)</f>
        <v>9451.94</v>
      </c>
      <c r="L855" s="4">
        <f>IFERROR(__xludf.DUMMYFUNCTION("""COMPUTED_VALUE"""),2.0)</f>
        <v>2</v>
      </c>
      <c r="M855" s="4">
        <f>IFERROR(__xludf.DUMMYFUNCTION("""COMPUTED_VALUE"""),16.0)</f>
        <v>16</v>
      </c>
      <c r="N855" s="2" t="str">
        <f>IFERROR(__xludf.DUMMYFUNCTION("""COMPUTED_VALUE"""),"FALSO")</f>
        <v>FALSO</v>
      </c>
    </row>
    <row r="856">
      <c r="A856" s="2">
        <f>IFERROR(__xludf.DUMMYFUNCTION("""COMPUTED_VALUE"""),855.0)</f>
        <v>855</v>
      </c>
      <c r="B856" s="2" t="str">
        <f>IFERROR(__xludf.DUMMYFUNCTION("""COMPUTED_VALUE"""),"Bev Blayney")</f>
        <v>Bev Blayney</v>
      </c>
      <c r="C856" s="2" t="str">
        <f>IFERROR(__xludf.DUMMYFUNCTION("""COMPUTED_VALUE"""),"bblayneynr@reference.com")</f>
        <v>bblayneynr@reference.com</v>
      </c>
      <c r="D856" s="4">
        <f>IFERROR(__xludf.DUMMYFUNCTION("""COMPUTED_VALUE"""),24.0)</f>
        <v>24</v>
      </c>
      <c r="E856" s="4">
        <f>IFERROR(__xludf.DUMMYFUNCTION("""COMPUTED_VALUE"""),3.0)</f>
        <v>3</v>
      </c>
      <c r="F856" s="4">
        <f>IFERROR(__xludf.DUMMYFUNCTION("""COMPUTED_VALUE"""),8.0)</f>
        <v>8</v>
      </c>
      <c r="G856" s="4">
        <f>IFERROR(__xludf.DUMMYFUNCTION("""COMPUTED_VALUE"""),1443.0)</f>
        <v>1443</v>
      </c>
      <c r="H856" s="5">
        <f>IFERROR(__xludf.DUMMYFUNCTION("""COMPUTED_VALUE"""),4226.44)</f>
        <v>4226.44</v>
      </c>
      <c r="I856" s="5">
        <f>IFERROR(__xludf.DUMMYFUNCTION("""COMPUTED_VALUE"""),6294.93)</f>
        <v>6294.93</v>
      </c>
      <c r="J856" s="5">
        <f>IFERROR(__xludf.DUMMYFUNCTION("""COMPUTED_VALUE"""),2913.58)</f>
        <v>2913.58</v>
      </c>
      <c r="K856" s="5">
        <f>IFERROR(__xludf.DUMMYFUNCTION("""COMPUTED_VALUE"""),9277.81)</f>
        <v>9277.81</v>
      </c>
      <c r="L856" s="4">
        <f>IFERROR(__xludf.DUMMYFUNCTION("""COMPUTED_VALUE"""),7.0)</f>
        <v>7</v>
      </c>
      <c r="M856" s="4">
        <f>IFERROR(__xludf.DUMMYFUNCTION("""COMPUTED_VALUE"""),26.0)</f>
        <v>26</v>
      </c>
      <c r="N856" s="2" t="str">
        <f>IFERROR(__xludf.DUMMYFUNCTION("""COMPUTED_VALUE"""),"VERDADERO")</f>
        <v>VERDADERO</v>
      </c>
    </row>
    <row r="857">
      <c r="A857" s="2">
        <f>IFERROR(__xludf.DUMMYFUNCTION("""COMPUTED_VALUE"""),856.0)</f>
        <v>856</v>
      </c>
      <c r="B857" s="2" t="str">
        <f>IFERROR(__xludf.DUMMYFUNCTION("""COMPUTED_VALUE"""),"Lindsey Kitching")</f>
        <v>Lindsey Kitching</v>
      </c>
      <c r="C857" s="2" t="str">
        <f>IFERROR(__xludf.DUMMYFUNCTION("""COMPUTED_VALUE"""),"lkitchingns@hp.com")</f>
        <v>lkitchingns@hp.com</v>
      </c>
      <c r="D857" s="4">
        <f>IFERROR(__xludf.DUMMYFUNCTION("""COMPUTED_VALUE"""),104.0)</f>
        <v>104</v>
      </c>
      <c r="E857" s="4">
        <f>IFERROR(__xludf.DUMMYFUNCTION("""COMPUTED_VALUE"""),85.0)</f>
        <v>85</v>
      </c>
      <c r="F857" s="4">
        <f>IFERROR(__xludf.DUMMYFUNCTION("""COMPUTED_VALUE"""),3.0)</f>
        <v>3</v>
      </c>
      <c r="G857" s="4">
        <f>IFERROR(__xludf.DUMMYFUNCTION("""COMPUTED_VALUE"""),176.0)</f>
        <v>176</v>
      </c>
      <c r="H857" s="5">
        <f>IFERROR(__xludf.DUMMYFUNCTION("""COMPUTED_VALUE"""),1858.16)</f>
        <v>1858.16</v>
      </c>
      <c r="I857" s="5">
        <f>IFERROR(__xludf.DUMMYFUNCTION("""COMPUTED_VALUE"""),2800.25)</f>
        <v>2800.25</v>
      </c>
      <c r="J857" s="5">
        <f>IFERROR(__xludf.DUMMYFUNCTION("""COMPUTED_VALUE"""),5226.82)</f>
        <v>5226.82</v>
      </c>
      <c r="K857" s="5">
        <f>IFERROR(__xludf.DUMMYFUNCTION("""COMPUTED_VALUE"""),4391.54)</f>
        <v>4391.54</v>
      </c>
      <c r="L857" s="4">
        <f>IFERROR(__xludf.DUMMYFUNCTION("""COMPUTED_VALUE"""),9.0)</f>
        <v>9</v>
      </c>
      <c r="M857" s="4">
        <f>IFERROR(__xludf.DUMMYFUNCTION("""COMPUTED_VALUE"""),49.0)</f>
        <v>49</v>
      </c>
      <c r="N857" s="2" t="str">
        <f>IFERROR(__xludf.DUMMYFUNCTION("""COMPUTED_VALUE"""),"FALSO")</f>
        <v>FALSO</v>
      </c>
    </row>
    <row r="858">
      <c r="A858" s="2">
        <f>IFERROR(__xludf.DUMMYFUNCTION("""COMPUTED_VALUE"""),857.0)</f>
        <v>857</v>
      </c>
      <c r="B858" s="2" t="str">
        <f>IFERROR(__xludf.DUMMYFUNCTION("""COMPUTED_VALUE"""),"Merrilee Cotton")</f>
        <v>Merrilee Cotton</v>
      </c>
      <c r="C858" s="2" t="str">
        <f>IFERROR(__xludf.DUMMYFUNCTION("""COMPUTED_VALUE"""),"mcottonnt@adobe.com")</f>
        <v>mcottonnt@adobe.com</v>
      </c>
      <c r="D858" s="4">
        <f>IFERROR(__xludf.DUMMYFUNCTION("""COMPUTED_VALUE"""),64.0)</f>
        <v>64</v>
      </c>
      <c r="E858" s="4">
        <f>IFERROR(__xludf.DUMMYFUNCTION("""COMPUTED_VALUE"""),71.0)</f>
        <v>71</v>
      </c>
      <c r="F858" s="4">
        <f>IFERROR(__xludf.DUMMYFUNCTION("""COMPUTED_VALUE"""),6.0)</f>
        <v>6</v>
      </c>
      <c r="G858" s="4">
        <f>IFERROR(__xludf.DUMMYFUNCTION("""COMPUTED_VALUE"""),1104.0)</f>
        <v>1104</v>
      </c>
      <c r="H858" s="5">
        <f>IFERROR(__xludf.DUMMYFUNCTION("""COMPUTED_VALUE"""),4183.08)</f>
        <v>4183.08</v>
      </c>
      <c r="I858" s="5">
        <f>IFERROR(__xludf.DUMMYFUNCTION("""COMPUTED_VALUE"""),6525.22)</f>
        <v>6525.22</v>
      </c>
      <c r="J858" s="5">
        <f>IFERROR(__xludf.DUMMYFUNCTION("""COMPUTED_VALUE"""),871.58)</f>
        <v>871.58</v>
      </c>
      <c r="K858" s="5">
        <f>IFERROR(__xludf.DUMMYFUNCTION("""COMPUTED_VALUE"""),1050.02)</f>
        <v>1050.02</v>
      </c>
      <c r="L858" s="4">
        <f>IFERROR(__xludf.DUMMYFUNCTION("""COMPUTED_VALUE"""),9.0)</f>
        <v>9</v>
      </c>
      <c r="M858" s="4">
        <f>IFERROR(__xludf.DUMMYFUNCTION("""COMPUTED_VALUE"""),95.0)</f>
        <v>95</v>
      </c>
      <c r="N858" s="2" t="str">
        <f>IFERROR(__xludf.DUMMYFUNCTION("""COMPUTED_VALUE"""),"FALSO")</f>
        <v>FALSO</v>
      </c>
    </row>
    <row r="859">
      <c r="A859" s="2">
        <f>IFERROR(__xludf.DUMMYFUNCTION("""COMPUTED_VALUE"""),858.0)</f>
        <v>858</v>
      </c>
      <c r="B859" s="2" t="str">
        <f>IFERROR(__xludf.DUMMYFUNCTION("""COMPUTED_VALUE"""),"Gardy Bannister")</f>
        <v>Gardy Bannister</v>
      </c>
      <c r="C859" s="2" t="str">
        <f>IFERROR(__xludf.DUMMYFUNCTION("""COMPUTED_VALUE"""),"gbannisternu@globo.com")</f>
        <v>gbannisternu@globo.com</v>
      </c>
      <c r="D859" s="4">
        <f>IFERROR(__xludf.DUMMYFUNCTION("""COMPUTED_VALUE"""),120.0)</f>
        <v>120</v>
      </c>
      <c r="E859" s="4">
        <f>IFERROR(__xludf.DUMMYFUNCTION("""COMPUTED_VALUE"""),48.0)</f>
        <v>48</v>
      </c>
      <c r="F859" s="4">
        <f>IFERROR(__xludf.DUMMYFUNCTION("""COMPUTED_VALUE"""),4.0)</f>
        <v>4</v>
      </c>
      <c r="G859" s="4">
        <f>IFERROR(__xludf.DUMMYFUNCTION("""COMPUTED_VALUE"""),143.0)</f>
        <v>143</v>
      </c>
      <c r="H859" s="5">
        <f>IFERROR(__xludf.DUMMYFUNCTION("""COMPUTED_VALUE"""),4599.8)</f>
        <v>4599.8</v>
      </c>
      <c r="I859" s="5">
        <f>IFERROR(__xludf.DUMMYFUNCTION("""COMPUTED_VALUE"""),1427.03)</f>
        <v>1427.03</v>
      </c>
      <c r="J859" s="5">
        <f>IFERROR(__xludf.DUMMYFUNCTION("""COMPUTED_VALUE"""),4034.27)</f>
        <v>4034.27</v>
      </c>
      <c r="K859" s="5">
        <f>IFERROR(__xludf.DUMMYFUNCTION("""COMPUTED_VALUE"""),8451.08)</f>
        <v>8451.08</v>
      </c>
      <c r="L859" s="4">
        <f>IFERROR(__xludf.DUMMYFUNCTION("""COMPUTED_VALUE"""),11.0)</f>
        <v>11</v>
      </c>
      <c r="M859" s="4">
        <f>IFERROR(__xludf.DUMMYFUNCTION("""COMPUTED_VALUE"""),81.0)</f>
        <v>81</v>
      </c>
      <c r="N859" s="2" t="str">
        <f>IFERROR(__xludf.DUMMYFUNCTION("""COMPUTED_VALUE"""),"FALSO")</f>
        <v>FALSO</v>
      </c>
    </row>
    <row r="860">
      <c r="A860" s="2">
        <f>IFERROR(__xludf.DUMMYFUNCTION("""COMPUTED_VALUE"""),859.0)</f>
        <v>859</v>
      </c>
      <c r="B860" s="2" t="str">
        <f>IFERROR(__xludf.DUMMYFUNCTION("""COMPUTED_VALUE"""),"Christophe Heady")</f>
        <v>Christophe Heady</v>
      </c>
      <c r="C860" s="2" t="str">
        <f>IFERROR(__xludf.DUMMYFUNCTION("""COMPUTED_VALUE"""),"cheadynv@wsj.com")</f>
        <v>cheadynv@wsj.com</v>
      </c>
      <c r="D860" s="4">
        <f>IFERROR(__xludf.DUMMYFUNCTION("""COMPUTED_VALUE"""),29.0)</f>
        <v>29</v>
      </c>
      <c r="E860" s="4">
        <f>IFERROR(__xludf.DUMMYFUNCTION("""COMPUTED_VALUE"""),81.0)</f>
        <v>81</v>
      </c>
      <c r="F860" s="4">
        <f>IFERROR(__xludf.DUMMYFUNCTION("""COMPUTED_VALUE"""),2.0)</f>
        <v>2</v>
      </c>
      <c r="G860" s="4">
        <f>IFERROR(__xludf.DUMMYFUNCTION("""COMPUTED_VALUE"""),615.0)</f>
        <v>615</v>
      </c>
      <c r="H860" s="5">
        <f>IFERROR(__xludf.DUMMYFUNCTION("""COMPUTED_VALUE"""),5998.47)</f>
        <v>5998.47</v>
      </c>
      <c r="I860" s="5">
        <f>IFERROR(__xludf.DUMMYFUNCTION("""COMPUTED_VALUE"""),7709.41)</f>
        <v>7709.41</v>
      </c>
      <c r="J860" s="5">
        <f>IFERROR(__xludf.DUMMYFUNCTION("""COMPUTED_VALUE"""),7953.23)</f>
        <v>7953.23</v>
      </c>
      <c r="K860" s="5">
        <f>IFERROR(__xludf.DUMMYFUNCTION("""COMPUTED_VALUE"""),3420.81)</f>
        <v>3420.81</v>
      </c>
      <c r="L860" s="4">
        <f>IFERROR(__xludf.DUMMYFUNCTION("""COMPUTED_VALUE"""),19.0)</f>
        <v>19</v>
      </c>
      <c r="M860" s="4">
        <f>IFERROR(__xludf.DUMMYFUNCTION("""COMPUTED_VALUE"""),26.0)</f>
        <v>26</v>
      </c>
      <c r="N860" s="2" t="str">
        <f>IFERROR(__xludf.DUMMYFUNCTION("""COMPUTED_VALUE"""),"VERDADERO")</f>
        <v>VERDADERO</v>
      </c>
    </row>
    <row r="861">
      <c r="A861" s="2">
        <f>IFERROR(__xludf.DUMMYFUNCTION("""COMPUTED_VALUE"""),860.0)</f>
        <v>860</v>
      </c>
      <c r="B861" s="2" t="str">
        <f>IFERROR(__xludf.DUMMYFUNCTION("""COMPUTED_VALUE"""),"Mavis McAvey")</f>
        <v>Mavis McAvey</v>
      </c>
      <c r="C861" s="2" t="str">
        <f>IFERROR(__xludf.DUMMYFUNCTION("""COMPUTED_VALUE"""),"mmcaveynw@ocn.ne.jp")</f>
        <v>mmcaveynw@ocn.ne.jp</v>
      </c>
      <c r="D861" s="4">
        <f>IFERROR(__xludf.DUMMYFUNCTION("""COMPUTED_VALUE"""),120.0)</f>
        <v>120</v>
      </c>
      <c r="E861" s="4">
        <f>IFERROR(__xludf.DUMMYFUNCTION("""COMPUTED_VALUE"""),95.0)</f>
        <v>95</v>
      </c>
      <c r="F861" s="4">
        <f>IFERROR(__xludf.DUMMYFUNCTION("""COMPUTED_VALUE"""),13.0)</f>
        <v>13</v>
      </c>
      <c r="G861" s="4">
        <f>IFERROR(__xludf.DUMMYFUNCTION("""COMPUTED_VALUE"""),719.0)</f>
        <v>719</v>
      </c>
      <c r="H861" s="5">
        <f>IFERROR(__xludf.DUMMYFUNCTION("""COMPUTED_VALUE"""),5895.27)</f>
        <v>5895.27</v>
      </c>
      <c r="I861" s="5">
        <f>IFERROR(__xludf.DUMMYFUNCTION("""COMPUTED_VALUE"""),5728.54)</f>
        <v>5728.54</v>
      </c>
      <c r="J861" s="5">
        <f>IFERROR(__xludf.DUMMYFUNCTION("""COMPUTED_VALUE"""),1627.47)</f>
        <v>1627.47</v>
      </c>
      <c r="K861" s="5">
        <f>IFERROR(__xludf.DUMMYFUNCTION("""COMPUTED_VALUE"""),2827.38)</f>
        <v>2827.38</v>
      </c>
      <c r="L861" s="4">
        <f>IFERROR(__xludf.DUMMYFUNCTION("""COMPUTED_VALUE"""),1.0)</f>
        <v>1</v>
      </c>
      <c r="M861" s="4">
        <f>IFERROR(__xludf.DUMMYFUNCTION("""COMPUTED_VALUE"""),59.0)</f>
        <v>59</v>
      </c>
      <c r="N861" s="2" t="str">
        <f>IFERROR(__xludf.DUMMYFUNCTION("""COMPUTED_VALUE"""),"FALSO")</f>
        <v>FALSO</v>
      </c>
    </row>
    <row r="862">
      <c r="A862" s="2">
        <f>IFERROR(__xludf.DUMMYFUNCTION("""COMPUTED_VALUE"""),861.0)</f>
        <v>861</v>
      </c>
      <c r="B862" s="2" t="str">
        <f>IFERROR(__xludf.DUMMYFUNCTION("""COMPUTED_VALUE"""),"Marysa Ommundsen")</f>
        <v>Marysa Ommundsen</v>
      </c>
      <c r="C862" s="2" t="str">
        <f>IFERROR(__xludf.DUMMYFUNCTION("""COMPUTED_VALUE"""),"mommundsennx@edublogs.org")</f>
        <v>mommundsennx@edublogs.org</v>
      </c>
      <c r="D862" s="4">
        <f>IFERROR(__xludf.DUMMYFUNCTION("""COMPUTED_VALUE"""),73.0)</f>
        <v>73</v>
      </c>
      <c r="E862" s="4">
        <f>IFERROR(__xludf.DUMMYFUNCTION("""COMPUTED_VALUE"""),81.0)</f>
        <v>81</v>
      </c>
      <c r="F862" s="4">
        <f>IFERROR(__xludf.DUMMYFUNCTION("""COMPUTED_VALUE"""),2.0)</f>
        <v>2</v>
      </c>
      <c r="G862" s="4">
        <f>IFERROR(__xludf.DUMMYFUNCTION("""COMPUTED_VALUE"""),611.0)</f>
        <v>611</v>
      </c>
      <c r="H862" s="5">
        <f>IFERROR(__xludf.DUMMYFUNCTION("""COMPUTED_VALUE"""),6936.47)</f>
        <v>6936.47</v>
      </c>
      <c r="I862" s="5">
        <f>IFERROR(__xludf.DUMMYFUNCTION("""COMPUTED_VALUE"""),755.42)</f>
        <v>755.42</v>
      </c>
      <c r="J862" s="5">
        <f>IFERROR(__xludf.DUMMYFUNCTION("""COMPUTED_VALUE"""),2079.94)</f>
        <v>2079.94</v>
      </c>
      <c r="K862" s="5">
        <f>IFERROR(__xludf.DUMMYFUNCTION("""COMPUTED_VALUE"""),2030.72)</f>
        <v>2030.72</v>
      </c>
      <c r="L862" s="4">
        <f>IFERROR(__xludf.DUMMYFUNCTION("""COMPUTED_VALUE"""),7.0)</f>
        <v>7</v>
      </c>
      <c r="M862" s="4">
        <f>IFERROR(__xludf.DUMMYFUNCTION("""COMPUTED_VALUE"""),89.0)</f>
        <v>89</v>
      </c>
      <c r="N862" s="2" t="str">
        <f>IFERROR(__xludf.DUMMYFUNCTION("""COMPUTED_VALUE"""),"FALSO")</f>
        <v>FALSO</v>
      </c>
    </row>
    <row r="863">
      <c r="A863" s="2">
        <f>IFERROR(__xludf.DUMMYFUNCTION("""COMPUTED_VALUE"""),862.0)</f>
        <v>862</v>
      </c>
      <c r="B863" s="2" t="str">
        <f>IFERROR(__xludf.DUMMYFUNCTION("""COMPUTED_VALUE"""),"Mohandas Dufoure")</f>
        <v>Mohandas Dufoure</v>
      </c>
      <c r="C863" s="2" t="str">
        <f>IFERROR(__xludf.DUMMYFUNCTION("""COMPUTED_VALUE"""),"mdufoureny@scientificamerican.com")</f>
        <v>mdufoureny@scientificamerican.com</v>
      </c>
      <c r="D863" s="4">
        <f>IFERROR(__xludf.DUMMYFUNCTION("""COMPUTED_VALUE"""),121.0)</f>
        <v>121</v>
      </c>
      <c r="E863" s="4">
        <f>IFERROR(__xludf.DUMMYFUNCTION("""COMPUTED_VALUE"""),81.0)</f>
        <v>81</v>
      </c>
      <c r="F863" s="4">
        <f>IFERROR(__xludf.DUMMYFUNCTION("""COMPUTED_VALUE"""),2.0)</f>
        <v>2</v>
      </c>
      <c r="G863" s="4">
        <f>IFERROR(__xludf.DUMMYFUNCTION("""COMPUTED_VALUE"""),598.0)</f>
        <v>598</v>
      </c>
      <c r="H863" s="5">
        <f>IFERROR(__xludf.DUMMYFUNCTION("""COMPUTED_VALUE"""),2036.69)</f>
        <v>2036.69</v>
      </c>
      <c r="I863" s="5">
        <f>IFERROR(__xludf.DUMMYFUNCTION("""COMPUTED_VALUE"""),852.49)</f>
        <v>852.49</v>
      </c>
      <c r="J863" s="5">
        <f>IFERROR(__xludf.DUMMYFUNCTION("""COMPUTED_VALUE"""),727.62)</f>
        <v>727.62</v>
      </c>
      <c r="K863" s="5">
        <f>IFERROR(__xludf.DUMMYFUNCTION("""COMPUTED_VALUE"""),555.69)</f>
        <v>555.69</v>
      </c>
      <c r="L863" s="4">
        <f>IFERROR(__xludf.DUMMYFUNCTION("""COMPUTED_VALUE"""),18.0)</f>
        <v>18</v>
      </c>
      <c r="M863" s="4">
        <f>IFERROR(__xludf.DUMMYFUNCTION("""COMPUTED_VALUE"""),4.0)</f>
        <v>4</v>
      </c>
      <c r="N863" s="2" t="str">
        <f>IFERROR(__xludf.DUMMYFUNCTION("""COMPUTED_VALUE"""),"VERDADERO")</f>
        <v>VERDADERO</v>
      </c>
    </row>
    <row r="864">
      <c r="A864" s="2">
        <f>IFERROR(__xludf.DUMMYFUNCTION("""COMPUTED_VALUE"""),863.0)</f>
        <v>863</v>
      </c>
      <c r="B864" s="2" t="str">
        <f>IFERROR(__xludf.DUMMYFUNCTION("""COMPUTED_VALUE"""),"Constantine Hounsom")</f>
        <v>Constantine Hounsom</v>
      </c>
      <c r="C864" s="2" t="str">
        <f>IFERROR(__xludf.DUMMYFUNCTION("""COMPUTED_VALUE"""),"chounsomnz@topsy.com")</f>
        <v>chounsomnz@topsy.com</v>
      </c>
      <c r="D864" s="4">
        <f>IFERROR(__xludf.DUMMYFUNCTION("""COMPUTED_VALUE"""),29.0)</f>
        <v>29</v>
      </c>
      <c r="E864" s="4">
        <f>IFERROR(__xludf.DUMMYFUNCTION("""COMPUTED_VALUE"""),81.0)</f>
        <v>81</v>
      </c>
      <c r="F864" s="4">
        <f>IFERROR(__xludf.DUMMYFUNCTION("""COMPUTED_VALUE"""),2.0)</f>
        <v>2</v>
      </c>
      <c r="G864" s="4">
        <f>IFERROR(__xludf.DUMMYFUNCTION("""COMPUTED_VALUE"""),55.0)</f>
        <v>55</v>
      </c>
      <c r="H864" s="5">
        <f>IFERROR(__xludf.DUMMYFUNCTION("""COMPUTED_VALUE"""),1916.32)</f>
        <v>1916.32</v>
      </c>
      <c r="I864" s="5">
        <f>IFERROR(__xludf.DUMMYFUNCTION("""COMPUTED_VALUE"""),2073.52)</f>
        <v>2073.52</v>
      </c>
      <c r="J864" s="5">
        <f>IFERROR(__xludf.DUMMYFUNCTION("""COMPUTED_VALUE"""),6414.88)</f>
        <v>6414.88</v>
      </c>
      <c r="K864" s="5">
        <f>IFERROR(__xludf.DUMMYFUNCTION("""COMPUTED_VALUE"""),8061.57)</f>
        <v>8061.57</v>
      </c>
      <c r="L864" s="4">
        <f>IFERROR(__xludf.DUMMYFUNCTION("""COMPUTED_VALUE"""),8.0)</f>
        <v>8</v>
      </c>
      <c r="M864" s="4">
        <f>IFERROR(__xludf.DUMMYFUNCTION("""COMPUTED_VALUE"""),18.0)</f>
        <v>18</v>
      </c>
      <c r="N864" s="2" t="str">
        <f>IFERROR(__xludf.DUMMYFUNCTION("""COMPUTED_VALUE"""),"FALSO")</f>
        <v>FALSO</v>
      </c>
    </row>
    <row r="865">
      <c r="A865" s="2">
        <f>IFERROR(__xludf.DUMMYFUNCTION("""COMPUTED_VALUE"""),864.0)</f>
        <v>864</v>
      </c>
      <c r="B865" s="2" t="str">
        <f>IFERROR(__xludf.DUMMYFUNCTION("""COMPUTED_VALUE"""),"Tymon Francey")</f>
        <v>Tymon Francey</v>
      </c>
      <c r="C865" s="2" t="str">
        <f>IFERROR(__xludf.DUMMYFUNCTION("""COMPUTED_VALUE"""),"tfranceyo0@issuu.com")</f>
        <v>tfranceyo0@issuu.com</v>
      </c>
      <c r="D865" s="4">
        <f>IFERROR(__xludf.DUMMYFUNCTION("""COMPUTED_VALUE"""),49.0)</f>
        <v>49</v>
      </c>
      <c r="E865" s="4">
        <f>IFERROR(__xludf.DUMMYFUNCTION("""COMPUTED_VALUE"""),30.0)</f>
        <v>30</v>
      </c>
      <c r="F865" s="4">
        <f>IFERROR(__xludf.DUMMYFUNCTION("""COMPUTED_VALUE"""),11.0)</f>
        <v>11</v>
      </c>
      <c r="G865" s="4">
        <f>IFERROR(__xludf.DUMMYFUNCTION("""COMPUTED_VALUE"""),873.0)</f>
        <v>873</v>
      </c>
      <c r="H865" s="5">
        <f>IFERROR(__xludf.DUMMYFUNCTION("""COMPUTED_VALUE"""),2751.45)</f>
        <v>2751.45</v>
      </c>
      <c r="I865" s="5">
        <f>IFERROR(__xludf.DUMMYFUNCTION("""COMPUTED_VALUE"""),9357.63)</f>
        <v>9357.63</v>
      </c>
      <c r="J865" s="5">
        <f>IFERROR(__xludf.DUMMYFUNCTION("""COMPUTED_VALUE"""),3019.84)</f>
        <v>3019.84</v>
      </c>
      <c r="K865" s="5">
        <f>IFERROR(__xludf.DUMMYFUNCTION("""COMPUTED_VALUE"""),184.76)</f>
        <v>184.76</v>
      </c>
      <c r="L865" s="4">
        <f>IFERROR(__xludf.DUMMYFUNCTION("""COMPUTED_VALUE"""),5.0)</f>
        <v>5</v>
      </c>
      <c r="M865" s="4">
        <f>IFERROR(__xludf.DUMMYFUNCTION("""COMPUTED_VALUE"""),55.0)</f>
        <v>55</v>
      </c>
      <c r="N865" s="2" t="str">
        <f>IFERROR(__xludf.DUMMYFUNCTION("""COMPUTED_VALUE"""),"FALSO")</f>
        <v>FALSO</v>
      </c>
    </row>
    <row r="866">
      <c r="A866" s="2">
        <f>IFERROR(__xludf.DUMMYFUNCTION("""COMPUTED_VALUE"""),865.0)</f>
        <v>865</v>
      </c>
      <c r="B866" s="2" t="str">
        <f>IFERROR(__xludf.DUMMYFUNCTION("""COMPUTED_VALUE"""),"Desdemona Roffey")</f>
        <v>Desdemona Roffey</v>
      </c>
      <c r="C866" s="2" t="str">
        <f>IFERROR(__xludf.DUMMYFUNCTION("""COMPUTED_VALUE"""),"droffeyo1@addtoany.com")</f>
        <v>droffeyo1@addtoany.com</v>
      </c>
      <c r="D866" s="4">
        <f>IFERROR(__xludf.DUMMYFUNCTION("""COMPUTED_VALUE"""),120.0)</f>
        <v>120</v>
      </c>
      <c r="E866" s="4">
        <f>IFERROR(__xludf.DUMMYFUNCTION("""COMPUTED_VALUE"""),85.0)</f>
        <v>85</v>
      </c>
      <c r="F866" s="4">
        <f>IFERROR(__xludf.DUMMYFUNCTION("""COMPUTED_VALUE"""),1.0)</f>
        <v>1</v>
      </c>
      <c r="G866" s="4">
        <f>IFERROR(__xludf.DUMMYFUNCTION("""COMPUTED_VALUE"""),690.0)</f>
        <v>690</v>
      </c>
      <c r="H866" s="5">
        <f>IFERROR(__xludf.DUMMYFUNCTION("""COMPUTED_VALUE"""),5345.92)</f>
        <v>5345.92</v>
      </c>
      <c r="I866" s="5">
        <f>IFERROR(__xludf.DUMMYFUNCTION("""COMPUTED_VALUE"""),2955.82)</f>
        <v>2955.82</v>
      </c>
      <c r="J866" s="5">
        <f>IFERROR(__xludf.DUMMYFUNCTION("""COMPUTED_VALUE"""),1479.04)</f>
        <v>1479.04</v>
      </c>
      <c r="K866" s="5">
        <f>IFERROR(__xludf.DUMMYFUNCTION("""COMPUTED_VALUE"""),9845.4)</f>
        <v>9845.4</v>
      </c>
      <c r="L866" s="4">
        <f>IFERROR(__xludf.DUMMYFUNCTION("""COMPUTED_VALUE"""),2.0)</f>
        <v>2</v>
      </c>
      <c r="M866" s="4">
        <f>IFERROR(__xludf.DUMMYFUNCTION("""COMPUTED_VALUE"""),6.0)</f>
        <v>6</v>
      </c>
      <c r="N866" s="2" t="str">
        <f>IFERROR(__xludf.DUMMYFUNCTION("""COMPUTED_VALUE"""),"FALSO")</f>
        <v>FALSO</v>
      </c>
    </row>
    <row r="867">
      <c r="A867" s="2">
        <f>IFERROR(__xludf.DUMMYFUNCTION("""COMPUTED_VALUE"""),866.0)</f>
        <v>866</v>
      </c>
      <c r="B867" s="2" t="str">
        <f>IFERROR(__xludf.DUMMYFUNCTION("""COMPUTED_VALUE"""),"Jerri Retallick")</f>
        <v>Jerri Retallick</v>
      </c>
      <c r="C867" s="2" t="str">
        <f>IFERROR(__xludf.DUMMYFUNCTION("""COMPUTED_VALUE"""),"jretallicko2@chicagotribune.com")</f>
        <v>jretallicko2@chicagotribune.com</v>
      </c>
      <c r="D867" s="4">
        <f>IFERROR(__xludf.DUMMYFUNCTION("""COMPUTED_VALUE"""),76.0)</f>
        <v>76</v>
      </c>
      <c r="E867" s="4">
        <f>IFERROR(__xludf.DUMMYFUNCTION("""COMPUTED_VALUE"""),52.0)</f>
        <v>52</v>
      </c>
      <c r="F867" s="4">
        <f>IFERROR(__xludf.DUMMYFUNCTION("""COMPUTED_VALUE"""),13.0)</f>
        <v>13</v>
      </c>
      <c r="G867" s="4">
        <f>IFERROR(__xludf.DUMMYFUNCTION("""COMPUTED_VALUE"""),1389.0)</f>
        <v>1389</v>
      </c>
      <c r="H867" s="5">
        <f>IFERROR(__xludf.DUMMYFUNCTION("""COMPUTED_VALUE"""),128.29)</f>
        <v>128.29</v>
      </c>
      <c r="I867" s="5">
        <f>IFERROR(__xludf.DUMMYFUNCTION("""COMPUTED_VALUE"""),934.44)</f>
        <v>934.44</v>
      </c>
      <c r="J867" s="5">
        <f>IFERROR(__xludf.DUMMYFUNCTION("""COMPUTED_VALUE"""),6256.52)</f>
        <v>6256.52</v>
      </c>
      <c r="K867" s="5">
        <f>IFERROR(__xludf.DUMMYFUNCTION("""COMPUTED_VALUE"""),5546.9)</f>
        <v>5546.9</v>
      </c>
      <c r="L867" s="4">
        <f>IFERROR(__xludf.DUMMYFUNCTION("""COMPUTED_VALUE"""),5.0)</f>
        <v>5</v>
      </c>
      <c r="M867" s="4">
        <f>IFERROR(__xludf.DUMMYFUNCTION("""COMPUTED_VALUE"""),90.0)</f>
        <v>90</v>
      </c>
      <c r="N867" s="2" t="str">
        <f>IFERROR(__xludf.DUMMYFUNCTION("""COMPUTED_VALUE"""),"VERDADERO")</f>
        <v>VERDADERO</v>
      </c>
    </row>
    <row r="868">
      <c r="A868" s="2">
        <f>IFERROR(__xludf.DUMMYFUNCTION("""COMPUTED_VALUE"""),867.0)</f>
        <v>867</v>
      </c>
      <c r="B868" s="2" t="str">
        <f>IFERROR(__xludf.DUMMYFUNCTION("""COMPUTED_VALUE"""),"Haleigh Falcus")</f>
        <v>Haleigh Falcus</v>
      </c>
      <c r="C868" s="2" t="str">
        <f>IFERROR(__xludf.DUMMYFUNCTION("""COMPUTED_VALUE"""),"hfalcuso3@goodreads.com")</f>
        <v>hfalcuso3@goodreads.com</v>
      </c>
      <c r="D868" s="4">
        <f>IFERROR(__xludf.DUMMYFUNCTION("""COMPUTED_VALUE"""),17.0)</f>
        <v>17</v>
      </c>
      <c r="E868" s="4">
        <f>IFERROR(__xludf.DUMMYFUNCTION("""COMPUTED_VALUE"""),4.0)</f>
        <v>4</v>
      </c>
      <c r="F868" s="4">
        <f>IFERROR(__xludf.DUMMYFUNCTION("""COMPUTED_VALUE"""),9.0)</f>
        <v>9</v>
      </c>
      <c r="G868" s="4">
        <f>IFERROR(__xludf.DUMMYFUNCTION("""COMPUTED_VALUE"""),307.0)</f>
        <v>307</v>
      </c>
      <c r="H868" s="5">
        <f>IFERROR(__xludf.DUMMYFUNCTION("""COMPUTED_VALUE"""),7907.43)</f>
        <v>7907.43</v>
      </c>
      <c r="I868" s="5">
        <f>IFERROR(__xludf.DUMMYFUNCTION("""COMPUTED_VALUE"""),384.85)</f>
        <v>384.85</v>
      </c>
      <c r="J868" s="5">
        <f>IFERROR(__xludf.DUMMYFUNCTION("""COMPUTED_VALUE"""),5588.98)</f>
        <v>5588.98</v>
      </c>
      <c r="K868" s="5">
        <f>IFERROR(__xludf.DUMMYFUNCTION("""COMPUTED_VALUE"""),9901.95)</f>
        <v>9901.95</v>
      </c>
      <c r="L868" s="4">
        <f>IFERROR(__xludf.DUMMYFUNCTION("""COMPUTED_VALUE"""),9.0)</f>
        <v>9</v>
      </c>
      <c r="M868" s="4">
        <f>IFERROR(__xludf.DUMMYFUNCTION("""COMPUTED_VALUE"""),53.0)</f>
        <v>53</v>
      </c>
      <c r="N868" s="2" t="str">
        <f>IFERROR(__xludf.DUMMYFUNCTION("""COMPUTED_VALUE"""),"FALSO")</f>
        <v>FALSO</v>
      </c>
    </row>
    <row r="869">
      <c r="A869" s="2">
        <f>IFERROR(__xludf.DUMMYFUNCTION("""COMPUTED_VALUE"""),868.0)</f>
        <v>868</v>
      </c>
      <c r="B869" s="2" t="str">
        <f>IFERROR(__xludf.DUMMYFUNCTION("""COMPUTED_VALUE"""),"Seka Lever")</f>
        <v>Seka Lever</v>
      </c>
      <c r="C869" s="2" t="str">
        <f>IFERROR(__xludf.DUMMYFUNCTION("""COMPUTED_VALUE"""),"slevero4@economist.com")</f>
        <v>slevero4@economist.com</v>
      </c>
      <c r="D869" s="4">
        <f>IFERROR(__xludf.DUMMYFUNCTION("""COMPUTED_VALUE"""),65.0)</f>
        <v>65</v>
      </c>
      <c r="E869" s="4">
        <f>IFERROR(__xludf.DUMMYFUNCTION("""COMPUTED_VALUE"""),14.0)</f>
        <v>14</v>
      </c>
      <c r="F869" s="4">
        <f>IFERROR(__xludf.DUMMYFUNCTION("""COMPUTED_VALUE"""),6.0)</f>
        <v>6</v>
      </c>
      <c r="G869" s="4">
        <f>IFERROR(__xludf.DUMMYFUNCTION("""COMPUTED_VALUE"""),191.0)</f>
        <v>191</v>
      </c>
      <c r="H869" s="5">
        <f>IFERROR(__xludf.DUMMYFUNCTION("""COMPUTED_VALUE"""),698.61)</f>
        <v>698.61</v>
      </c>
      <c r="I869" s="5">
        <f>IFERROR(__xludf.DUMMYFUNCTION("""COMPUTED_VALUE"""),7151.67)</f>
        <v>7151.67</v>
      </c>
      <c r="J869" s="5">
        <f>IFERROR(__xludf.DUMMYFUNCTION("""COMPUTED_VALUE"""),3466.77)</f>
        <v>3466.77</v>
      </c>
      <c r="K869" s="5">
        <f>IFERROR(__xludf.DUMMYFUNCTION("""COMPUTED_VALUE"""),3273.56)</f>
        <v>3273.56</v>
      </c>
      <c r="L869" s="4">
        <f>IFERROR(__xludf.DUMMYFUNCTION("""COMPUTED_VALUE"""),15.0)</f>
        <v>15</v>
      </c>
      <c r="M869" s="4">
        <f>IFERROR(__xludf.DUMMYFUNCTION("""COMPUTED_VALUE"""),68.0)</f>
        <v>68</v>
      </c>
      <c r="N869" s="2" t="str">
        <f>IFERROR(__xludf.DUMMYFUNCTION("""COMPUTED_VALUE"""),"VERDADERO")</f>
        <v>VERDADERO</v>
      </c>
    </row>
    <row r="870">
      <c r="A870" s="2">
        <f>IFERROR(__xludf.DUMMYFUNCTION("""COMPUTED_VALUE"""),869.0)</f>
        <v>869</v>
      </c>
      <c r="B870" s="2" t="str">
        <f>IFERROR(__xludf.DUMMYFUNCTION("""COMPUTED_VALUE"""),"Lucila McKeney")</f>
        <v>Lucila McKeney</v>
      </c>
      <c r="C870" s="2" t="str">
        <f>IFERROR(__xludf.DUMMYFUNCTION("""COMPUTED_VALUE"""),"lmckeneyo5@deliciousdays.com")</f>
        <v>lmckeneyo5@deliciousdays.com</v>
      </c>
      <c r="D870" s="4">
        <f>IFERROR(__xludf.DUMMYFUNCTION("""COMPUTED_VALUE"""),120.0)</f>
        <v>120</v>
      </c>
      <c r="E870" s="4">
        <f>IFERROR(__xludf.DUMMYFUNCTION("""COMPUTED_VALUE"""),39.0)</f>
        <v>39</v>
      </c>
      <c r="F870" s="4">
        <f>IFERROR(__xludf.DUMMYFUNCTION("""COMPUTED_VALUE"""),11.0)</f>
        <v>11</v>
      </c>
      <c r="G870" s="4">
        <f>IFERROR(__xludf.DUMMYFUNCTION("""COMPUTED_VALUE"""),538.0)</f>
        <v>538</v>
      </c>
      <c r="H870" s="5">
        <f>IFERROR(__xludf.DUMMYFUNCTION("""COMPUTED_VALUE"""),7323.28)</f>
        <v>7323.28</v>
      </c>
      <c r="I870" s="5">
        <f>IFERROR(__xludf.DUMMYFUNCTION("""COMPUTED_VALUE"""),6912.6)</f>
        <v>6912.6</v>
      </c>
      <c r="J870" s="5">
        <f>IFERROR(__xludf.DUMMYFUNCTION("""COMPUTED_VALUE"""),8358.57)</f>
        <v>8358.57</v>
      </c>
      <c r="K870" s="5">
        <f>IFERROR(__xludf.DUMMYFUNCTION("""COMPUTED_VALUE"""),5045.01)</f>
        <v>5045.01</v>
      </c>
      <c r="L870" s="4">
        <f>IFERROR(__xludf.DUMMYFUNCTION("""COMPUTED_VALUE"""),8.0)</f>
        <v>8</v>
      </c>
      <c r="M870" s="4">
        <f>IFERROR(__xludf.DUMMYFUNCTION("""COMPUTED_VALUE"""),54.0)</f>
        <v>54</v>
      </c>
      <c r="N870" s="2" t="str">
        <f>IFERROR(__xludf.DUMMYFUNCTION("""COMPUTED_VALUE"""),"FALSO")</f>
        <v>FALSO</v>
      </c>
    </row>
    <row r="871">
      <c r="A871" s="2">
        <f>IFERROR(__xludf.DUMMYFUNCTION("""COMPUTED_VALUE"""),870.0)</f>
        <v>870</v>
      </c>
      <c r="B871" s="2" t="str">
        <f>IFERROR(__xludf.DUMMYFUNCTION("""COMPUTED_VALUE"""),"Geno Sonnenschein")</f>
        <v>Geno Sonnenschein</v>
      </c>
      <c r="C871" s="2" t="str">
        <f>IFERROR(__xludf.DUMMYFUNCTION("""COMPUTED_VALUE"""),"gsonnenscheino6@ft.com")</f>
        <v>gsonnenscheino6@ft.com</v>
      </c>
      <c r="D871" s="4">
        <f>IFERROR(__xludf.DUMMYFUNCTION("""COMPUTED_VALUE"""),119.0)</f>
        <v>119</v>
      </c>
      <c r="E871" s="4">
        <f>IFERROR(__xludf.DUMMYFUNCTION("""COMPUTED_VALUE"""),106.0)</f>
        <v>106</v>
      </c>
      <c r="F871" s="4">
        <f>IFERROR(__xludf.DUMMYFUNCTION("""COMPUTED_VALUE"""),5.0)</f>
        <v>5</v>
      </c>
      <c r="G871" s="4">
        <f>IFERROR(__xludf.DUMMYFUNCTION("""COMPUTED_VALUE"""),845.0)</f>
        <v>845</v>
      </c>
      <c r="H871" s="5">
        <f>IFERROR(__xludf.DUMMYFUNCTION("""COMPUTED_VALUE"""),2086.3)</f>
        <v>2086.3</v>
      </c>
      <c r="I871" s="5">
        <f>IFERROR(__xludf.DUMMYFUNCTION("""COMPUTED_VALUE"""),5998.7)</f>
        <v>5998.7</v>
      </c>
      <c r="J871" s="5">
        <f>IFERROR(__xludf.DUMMYFUNCTION("""COMPUTED_VALUE"""),4141.99)</f>
        <v>4141.99</v>
      </c>
      <c r="K871" s="5">
        <f>IFERROR(__xludf.DUMMYFUNCTION("""COMPUTED_VALUE"""),565.26)</f>
        <v>565.26</v>
      </c>
      <c r="L871" s="4">
        <f>IFERROR(__xludf.DUMMYFUNCTION("""COMPUTED_VALUE"""),10.0)</f>
        <v>10</v>
      </c>
      <c r="M871" s="4">
        <f>IFERROR(__xludf.DUMMYFUNCTION("""COMPUTED_VALUE"""),68.0)</f>
        <v>68</v>
      </c>
      <c r="N871" s="2" t="str">
        <f>IFERROR(__xludf.DUMMYFUNCTION("""COMPUTED_VALUE"""),"VERDADERO")</f>
        <v>VERDADERO</v>
      </c>
    </row>
    <row r="872">
      <c r="A872" s="2">
        <f>IFERROR(__xludf.DUMMYFUNCTION("""COMPUTED_VALUE"""),871.0)</f>
        <v>871</v>
      </c>
      <c r="B872" s="2" t="str">
        <f>IFERROR(__xludf.DUMMYFUNCTION("""COMPUTED_VALUE"""),"Dunc Rastrick")</f>
        <v>Dunc Rastrick</v>
      </c>
      <c r="C872" s="2" t="str">
        <f>IFERROR(__xludf.DUMMYFUNCTION("""COMPUTED_VALUE"""),"drastricko7@hexun.com")</f>
        <v>drastricko7@hexun.com</v>
      </c>
      <c r="D872" s="4">
        <f>IFERROR(__xludf.DUMMYFUNCTION("""COMPUTED_VALUE"""),156.0)</f>
        <v>156</v>
      </c>
      <c r="E872" s="4">
        <f>IFERROR(__xludf.DUMMYFUNCTION("""COMPUTED_VALUE"""),119.0)</f>
        <v>119</v>
      </c>
      <c r="F872" s="4">
        <f>IFERROR(__xludf.DUMMYFUNCTION("""COMPUTED_VALUE"""),5.0)</f>
        <v>5</v>
      </c>
      <c r="G872" s="4">
        <f>IFERROR(__xludf.DUMMYFUNCTION("""COMPUTED_VALUE"""),1215.0)</f>
        <v>1215</v>
      </c>
      <c r="H872" s="5">
        <f>IFERROR(__xludf.DUMMYFUNCTION("""COMPUTED_VALUE"""),745.94)</f>
        <v>745.94</v>
      </c>
      <c r="I872" s="5">
        <f>IFERROR(__xludf.DUMMYFUNCTION("""COMPUTED_VALUE"""),4986.78)</f>
        <v>4986.78</v>
      </c>
      <c r="J872" s="5">
        <f>IFERROR(__xludf.DUMMYFUNCTION("""COMPUTED_VALUE"""),6019.66)</f>
        <v>6019.66</v>
      </c>
      <c r="K872" s="5">
        <f>IFERROR(__xludf.DUMMYFUNCTION("""COMPUTED_VALUE"""),9885.61)</f>
        <v>9885.61</v>
      </c>
      <c r="L872" s="4">
        <f>IFERROR(__xludf.DUMMYFUNCTION("""COMPUTED_VALUE"""),3.0)</f>
        <v>3</v>
      </c>
      <c r="M872" s="4">
        <f>IFERROR(__xludf.DUMMYFUNCTION("""COMPUTED_VALUE"""),4.0)</f>
        <v>4</v>
      </c>
      <c r="N872" s="2" t="str">
        <f>IFERROR(__xludf.DUMMYFUNCTION("""COMPUTED_VALUE"""),"FALSO")</f>
        <v>FALSO</v>
      </c>
    </row>
    <row r="873">
      <c r="A873" s="2">
        <f>IFERROR(__xludf.DUMMYFUNCTION("""COMPUTED_VALUE"""),872.0)</f>
        <v>872</v>
      </c>
      <c r="B873" s="2" t="str">
        <f>IFERROR(__xludf.DUMMYFUNCTION("""COMPUTED_VALUE"""),"Ulrikaumeko Jerome")</f>
        <v>Ulrikaumeko Jerome</v>
      </c>
      <c r="C873" s="2" t="str">
        <f>IFERROR(__xludf.DUMMYFUNCTION("""COMPUTED_VALUE"""),"ujeromeo8@bloglovin.com")</f>
        <v>ujeromeo8@bloglovin.com</v>
      </c>
      <c r="D873" s="4">
        <f>IFERROR(__xludf.DUMMYFUNCTION("""COMPUTED_VALUE"""),137.0)</f>
        <v>137</v>
      </c>
      <c r="E873" s="4">
        <f>IFERROR(__xludf.DUMMYFUNCTION("""COMPUTED_VALUE"""),81.0)</f>
        <v>81</v>
      </c>
      <c r="F873" s="4">
        <f>IFERROR(__xludf.DUMMYFUNCTION("""COMPUTED_VALUE"""),2.0)</f>
        <v>2</v>
      </c>
      <c r="G873" s="4">
        <f>IFERROR(__xludf.DUMMYFUNCTION("""COMPUTED_VALUE"""),566.0)</f>
        <v>566</v>
      </c>
      <c r="H873" s="5">
        <f>IFERROR(__xludf.DUMMYFUNCTION("""COMPUTED_VALUE"""),8808.84)</f>
        <v>8808.84</v>
      </c>
      <c r="I873" s="5">
        <f>IFERROR(__xludf.DUMMYFUNCTION("""COMPUTED_VALUE"""),4363.75)</f>
        <v>4363.75</v>
      </c>
      <c r="J873" s="5">
        <f>IFERROR(__xludf.DUMMYFUNCTION("""COMPUTED_VALUE"""),3473.8)</f>
        <v>3473.8</v>
      </c>
      <c r="K873" s="5">
        <f>IFERROR(__xludf.DUMMYFUNCTION("""COMPUTED_VALUE"""),92.79)</f>
        <v>92.79</v>
      </c>
      <c r="L873" s="4">
        <f>IFERROR(__xludf.DUMMYFUNCTION("""COMPUTED_VALUE"""),6.0)</f>
        <v>6</v>
      </c>
      <c r="M873" s="4">
        <f>IFERROR(__xludf.DUMMYFUNCTION("""COMPUTED_VALUE"""),91.0)</f>
        <v>91</v>
      </c>
      <c r="N873" s="2" t="str">
        <f>IFERROR(__xludf.DUMMYFUNCTION("""COMPUTED_VALUE"""),"FALSO")</f>
        <v>FALSO</v>
      </c>
    </row>
    <row r="874">
      <c r="A874" s="2">
        <f>IFERROR(__xludf.DUMMYFUNCTION("""COMPUTED_VALUE"""),873.0)</f>
        <v>873</v>
      </c>
      <c r="B874" s="2" t="str">
        <f>IFERROR(__xludf.DUMMYFUNCTION("""COMPUTED_VALUE"""),"Tana Slaughter")</f>
        <v>Tana Slaughter</v>
      </c>
      <c r="C874" s="2" t="str">
        <f>IFERROR(__xludf.DUMMYFUNCTION("""COMPUTED_VALUE"""),"tslaughtero9@dot.gov")</f>
        <v>tslaughtero9@dot.gov</v>
      </c>
      <c r="D874" s="4">
        <f>IFERROR(__xludf.DUMMYFUNCTION("""COMPUTED_VALUE"""),124.0)</f>
        <v>124</v>
      </c>
      <c r="E874" s="4">
        <f>IFERROR(__xludf.DUMMYFUNCTION("""COMPUTED_VALUE"""),85.0)</f>
        <v>85</v>
      </c>
      <c r="F874" s="4">
        <f>IFERROR(__xludf.DUMMYFUNCTION("""COMPUTED_VALUE"""),3.0)</f>
        <v>3</v>
      </c>
      <c r="G874" s="4">
        <f>IFERROR(__xludf.DUMMYFUNCTION("""COMPUTED_VALUE"""),1317.0)</f>
        <v>1317</v>
      </c>
      <c r="H874" s="5">
        <f>IFERROR(__xludf.DUMMYFUNCTION("""COMPUTED_VALUE"""),1829.41)</f>
        <v>1829.41</v>
      </c>
      <c r="I874" s="5">
        <f>IFERROR(__xludf.DUMMYFUNCTION("""COMPUTED_VALUE"""),8486.21)</f>
        <v>8486.21</v>
      </c>
      <c r="J874" s="5">
        <f>IFERROR(__xludf.DUMMYFUNCTION("""COMPUTED_VALUE"""),1482.34)</f>
        <v>1482.34</v>
      </c>
      <c r="K874" s="5">
        <f>IFERROR(__xludf.DUMMYFUNCTION("""COMPUTED_VALUE"""),3371.21)</f>
        <v>3371.21</v>
      </c>
      <c r="L874" s="4">
        <f>IFERROR(__xludf.DUMMYFUNCTION("""COMPUTED_VALUE"""),19.0)</f>
        <v>19</v>
      </c>
      <c r="M874" s="4">
        <f>IFERROR(__xludf.DUMMYFUNCTION("""COMPUTED_VALUE"""),96.0)</f>
        <v>96</v>
      </c>
      <c r="N874" s="2" t="str">
        <f>IFERROR(__xludf.DUMMYFUNCTION("""COMPUTED_VALUE"""),"FALSO")</f>
        <v>FALSO</v>
      </c>
    </row>
    <row r="875">
      <c r="A875" s="2">
        <f>IFERROR(__xludf.DUMMYFUNCTION("""COMPUTED_VALUE"""),874.0)</f>
        <v>874</v>
      </c>
      <c r="B875" s="2" t="str">
        <f>IFERROR(__xludf.DUMMYFUNCTION("""COMPUTED_VALUE"""),"Alan Gloyens")</f>
        <v>Alan Gloyens</v>
      </c>
      <c r="C875" s="2" t="str">
        <f>IFERROR(__xludf.DUMMYFUNCTION("""COMPUTED_VALUE"""),"agloyensoa@bing.com")</f>
        <v>agloyensoa@bing.com</v>
      </c>
      <c r="D875" s="4">
        <f>IFERROR(__xludf.DUMMYFUNCTION("""COMPUTED_VALUE"""),156.0)</f>
        <v>156</v>
      </c>
      <c r="E875" s="4">
        <f>IFERROR(__xludf.DUMMYFUNCTION("""COMPUTED_VALUE"""),71.0)</f>
        <v>71</v>
      </c>
      <c r="F875" s="4">
        <f>IFERROR(__xludf.DUMMYFUNCTION("""COMPUTED_VALUE"""),6.0)</f>
        <v>6</v>
      </c>
      <c r="G875" s="4">
        <f>IFERROR(__xludf.DUMMYFUNCTION("""COMPUTED_VALUE"""),181.0)</f>
        <v>181</v>
      </c>
      <c r="H875" s="5">
        <f>IFERROR(__xludf.DUMMYFUNCTION("""COMPUTED_VALUE"""),176.41)</f>
        <v>176.41</v>
      </c>
      <c r="I875" s="5">
        <f>IFERROR(__xludf.DUMMYFUNCTION("""COMPUTED_VALUE"""),9345.18)</f>
        <v>9345.18</v>
      </c>
      <c r="J875" s="5">
        <f>IFERROR(__xludf.DUMMYFUNCTION("""COMPUTED_VALUE"""),2175.9)</f>
        <v>2175.9</v>
      </c>
      <c r="K875" s="5">
        <f>IFERROR(__xludf.DUMMYFUNCTION("""COMPUTED_VALUE"""),4243.6)</f>
        <v>4243.6</v>
      </c>
      <c r="L875" s="4">
        <f>IFERROR(__xludf.DUMMYFUNCTION("""COMPUTED_VALUE"""),2.0)</f>
        <v>2</v>
      </c>
      <c r="M875" s="4">
        <f>IFERROR(__xludf.DUMMYFUNCTION("""COMPUTED_VALUE"""),69.0)</f>
        <v>69</v>
      </c>
      <c r="N875" s="2" t="str">
        <f>IFERROR(__xludf.DUMMYFUNCTION("""COMPUTED_VALUE"""),"FALSO")</f>
        <v>FALSO</v>
      </c>
    </row>
    <row r="876">
      <c r="A876" s="2">
        <f>IFERROR(__xludf.DUMMYFUNCTION("""COMPUTED_VALUE"""),875.0)</f>
        <v>875</v>
      </c>
      <c r="B876" s="2" t="str">
        <f>IFERROR(__xludf.DUMMYFUNCTION("""COMPUTED_VALUE"""),"Carmelle Ousbie")</f>
        <v>Carmelle Ousbie</v>
      </c>
      <c r="C876" s="2" t="str">
        <f>IFERROR(__xludf.DUMMYFUNCTION("""COMPUTED_VALUE"""),"cousbieob@wikipedia.org")</f>
        <v>cousbieob@wikipedia.org</v>
      </c>
      <c r="D876" s="4">
        <f>IFERROR(__xludf.DUMMYFUNCTION("""COMPUTED_VALUE"""),124.0)</f>
        <v>124</v>
      </c>
      <c r="E876" s="4">
        <f>IFERROR(__xludf.DUMMYFUNCTION("""COMPUTED_VALUE"""),66.0)</f>
        <v>66</v>
      </c>
      <c r="F876" s="4">
        <f>IFERROR(__xludf.DUMMYFUNCTION("""COMPUTED_VALUE"""),6.0)</f>
        <v>6</v>
      </c>
      <c r="G876" s="4">
        <f>IFERROR(__xludf.DUMMYFUNCTION("""COMPUTED_VALUE"""),190.0)</f>
        <v>190</v>
      </c>
      <c r="H876" s="5">
        <f>IFERROR(__xludf.DUMMYFUNCTION("""COMPUTED_VALUE"""),5183.72)</f>
        <v>5183.72</v>
      </c>
      <c r="I876" s="5">
        <f>IFERROR(__xludf.DUMMYFUNCTION("""COMPUTED_VALUE"""),6754.86)</f>
        <v>6754.86</v>
      </c>
      <c r="J876" s="5">
        <f>IFERROR(__xludf.DUMMYFUNCTION("""COMPUTED_VALUE"""),5000.97)</f>
        <v>5000.97</v>
      </c>
      <c r="K876" s="5">
        <f>IFERROR(__xludf.DUMMYFUNCTION("""COMPUTED_VALUE"""),4426.18)</f>
        <v>4426.18</v>
      </c>
      <c r="L876" s="4">
        <f>IFERROR(__xludf.DUMMYFUNCTION("""COMPUTED_VALUE"""),17.0)</f>
        <v>17</v>
      </c>
      <c r="M876" s="4">
        <f>IFERROR(__xludf.DUMMYFUNCTION("""COMPUTED_VALUE"""),6.0)</f>
        <v>6</v>
      </c>
      <c r="N876" s="2" t="str">
        <f>IFERROR(__xludf.DUMMYFUNCTION("""COMPUTED_VALUE"""),"FALSO")</f>
        <v>FALSO</v>
      </c>
    </row>
    <row r="877">
      <c r="A877" s="2">
        <f>IFERROR(__xludf.DUMMYFUNCTION("""COMPUTED_VALUE"""),876.0)</f>
        <v>876</v>
      </c>
      <c r="B877" s="2" t="str">
        <f>IFERROR(__xludf.DUMMYFUNCTION("""COMPUTED_VALUE"""),"Perle Robard")</f>
        <v>Perle Robard</v>
      </c>
      <c r="C877" s="2" t="str">
        <f>IFERROR(__xludf.DUMMYFUNCTION("""COMPUTED_VALUE"""),"probardoc@unesco.org")</f>
        <v>probardoc@unesco.org</v>
      </c>
      <c r="D877" s="4">
        <f>IFERROR(__xludf.DUMMYFUNCTION("""COMPUTED_VALUE"""),122.0)</f>
        <v>122</v>
      </c>
      <c r="E877" s="4">
        <f>IFERROR(__xludf.DUMMYFUNCTION("""COMPUTED_VALUE"""),107.0)</f>
        <v>107</v>
      </c>
      <c r="F877" s="4">
        <f>IFERROR(__xludf.DUMMYFUNCTION("""COMPUTED_VALUE"""),5.0)</f>
        <v>5</v>
      </c>
      <c r="G877" s="4">
        <f>IFERROR(__xludf.DUMMYFUNCTION("""COMPUTED_VALUE"""),950.0)</f>
        <v>950</v>
      </c>
      <c r="H877" s="5">
        <f>IFERROR(__xludf.DUMMYFUNCTION("""COMPUTED_VALUE"""),1862.77)</f>
        <v>1862.77</v>
      </c>
      <c r="I877" s="5">
        <f>IFERROR(__xludf.DUMMYFUNCTION("""COMPUTED_VALUE"""),133.25)</f>
        <v>133.25</v>
      </c>
      <c r="J877" s="5">
        <f>IFERROR(__xludf.DUMMYFUNCTION("""COMPUTED_VALUE"""),2556.56)</f>
        <v>2556.56</v>
      </c>
      <c r="K877" s="5">
        <f>IFERROR(__xludf.DUMMYFUNCTION("""COMPUTED_VALUE"""),616.8)</f>
        <v>616.8</v>
      </c>
      <c r="L877" s="4">
        <f>IFERROR(__xludf.DUMMYFUNCTION("""COMPUTED_VALUE"""),3.0)</f>
        <v>3</v>
      </c>
      <c r="M877" s="4">
        <f>IFERROR(__xludf.DUMMYFUNCTION("""COMPUTED_VALUE"""),18.0)</f>
        <v>18</v>
      </c>
      <c r="N877" s="2" t="str">
        <f>IFERROR(__xludf.DUMMYFUNCTION("""COMPUTED_VALUE"""),"VERDADERO")</f>
        <v>VERDADERO</v>
      </c>
    </row>
    <row r="878">
      <c r="A878" s="2">
        <f>IFERROR(__xludf.DUMMYFUNCTION("""COMPUTED_VALUE"""),877.0)</f>
        <v>877</v>
      </c>
      <c r="B878" s="2" t="str">
        <f>IFERROR(__xludf.DUMMYFUNCTION("""COMPUTED_VALUE"""),"Cosimo Glew")</f>
        <v>Cosimo Glew</v>
      </c>
      <c r="C878" s="2" t="str">
        <f>IFERROR(__xludf.DUMMYFUNCTION("""COMPUTED_VALUE"""),"cglewod@techcrunch.com")</f>
        <v>cglewod@techcrunch.com</v>
      </c>
      <c r="D878" s="4">
        <f>IFERROR(__xludf.DUMMYFUNCTION("""COMPUTED_VALUE"""),24.0)</f>
        <v>24</v>
      </c>
      <c r="E878" s="4">
        <f>IFERROR(__xludf.DUMMYFUNCTION("""COMPUTED_VALUE"""),2.0)</f>
        <v>2</v>
      </c>
      <c r="F878" s="4">
        <f>IFERROR(__xludf.DUMMYFUNCTION("""COMPUTED_VALUE"""),11.0)</f>
        <v>11</v>
      </c>
      <c r="G878" s="4">
        <f>IFERROR(__xludf.DUMMYFUNCTION("""COMPUTED_VALUE"""),1583.0)</f>
        <v>1583</v>
      </c>
      <c r="H878" s="5">
        <f>IFERROR(__xludf.DUMMYFUNCTION("""COMPUTED_VALUE"""),2491.36)</f>
        <v>2491.36</v>
      </c>
      <c r="I878" s="5">
        <f>IFERROR(__xludf.DUMMYFUNCTION("""COMPUTED_VALUE"""),5954.04)</f>
        <v>5954.04</v>
      </c>
      <c r="J878" s="5">
        <f>IFERROR(__xludf.DUMMYFUNCTION("""COMPUTED_VALUE"""),5663.6)</f>
        <v>5663.6</v>
      </c>
      <c r="K878" s="5">
        <f>IFERROR(__xludf.DUMMYFUNCTION("""COMPUTED_VALUE"""),5064.66)</f>
        <v>5064.66</v>
      </c>
      <c r="L878" s="4">
        <f>IFERROR(__xludf.DUMMYFUNCTION("""COMPUTED_VALUE"""),1.0)</f>
        <v>1</v>
      </c>
      <c r="M878" s="4">
        <f>IFERROR(__xludf.DUMMYFUNCTION("""COMPUTED_VALUE"""),68.0)</f>
        <v>68</v>
      </c>
      <c r="N878" s="2" t="str">
        <f>IFERROR(__xludf.DUMMYFUNCTION("""COMPUTED_VALUE"""),"FALSO")</f>
        <v>FALSO</v>
      </c>
    </row>
    <row r="879">
      <c r="A879" s="2">
        <f>IFERROR(__xludf.DUMMYFUNCTION("""COMPUTED_VALUE"""),878.0)</f>
        <v>878</v>
      </c>
      <c r="B879" s="2" t="str">
        <f>IFERROR(__xludf.DUMMYFUNCTION("""COMPUTED_VALUE"""),"Shel Olyet")</f>
        <v>Shel Olyet</v>
      </c>
      <c r="C879" s="2" t="str">
        <f>IFERROR(__xludf.DUMMYFUNCTION("""COMPUTED_VALUE"""),"solyetoe@un.org")</f>
        <v>solyetoe@un.org</v>
      </c>
      <c r="D879" s="4">
        <f>IFERROR(__xludf.DUMMYFUNCTION("""COMPUTED_VALUE"""),48.0)</f>
        <v>48</v>
      </c>
      <c r="E879" s="4">
        <f>IFERROR(__xludf.DUMMYFUNCTION("""COMPUTED_VALUE"""),48.0)</f>
        <v>48</v>
      </c>
      <c r="F879" s="4">
        <f>IFERROR(__xludf.DUMMYFUNCTION("""COMPUTED_VALUE"""),4.0)</f>
        <v>4</v>
      </c>
      <c r="G879" s="4">
        <f>IFERROR(__xludf.DUMMYFUNCTION("""COMPUTED_VALUE"""),1064.0)</f>
        <v>1064</v>
      </c>
      <c r="H879" s="5">
        <f>IFERROR(__xludf.DUMMYFUNCTION("""COMPUTED_VALUE"""),7892.42)</f>
        <v>7892.42</v>
      </c>
      <c r="I879" s="5">
        <f>IFERROR(__xludf.DUMMYFUNCTION("""COMPUTED_VALUE"""),4419.18)</f>
        <v>4419.18</v>
      </c>
      <c r="J879" s="5">
        <f>IFERROR(__xludf.DUMMYFUNCTION("""COMPUTED_VALUE"""),7546.65)</f>
        <v>7546.65</v>
      </c>
      <c r="K879" s="5">
        <f>IFERROR(__xludf.DUMMYFUNCTION("""COMPUTED_VALUE"""),7969.17)</f>
        <v>7969.17</v>
      </c>
      <c r="L879" s="4">
        <f>IFERROR(__xludf.DUMMYFUNCTION("""COMPUTED_VALUE"""),20.0)</f>
        <v>20</v>
      </c>
      <c r="M879" s="4">
        <f>IFERROR(__xludf.DUMMYFUNCTION("""COMPUTED_VALUE"""),69.0)</f>
        <v>69</v>
      </c>
      <c r="N879" s="2" t="str">
        <f>IFERROR(__xludf.DUMMYFUNCTION("""COMPUTED_VALUE"""),"FALSO")</f>
        <v>FALSO</v>
      </c>
    </row>
    <row r="880">
      <c r="A880" s="2">
        <f>IFERROR(__xludf.DUMMYFUNCTION("""COMPUTED_VALUE"""),879.0)</f>
        <v>879</v>
      </c>
      <c r="B880" s="2" t="str">
        <f>IFERROR(__xludf.DUMMYFUNCTION("""COMPUTED_VALUE"""),"Maryrose Ranald")</f>
        <v>Maryrose Ranald</v>
      </c>
      <c r="C880" s="2" t="str">
        <f>IFERROR(__xludf.DUMMYFUNCTION("""COMPUTED_VALUE"""),"mranaldof@virginia.edu")</f>
        <v>mranaldof@virginia.edu</v>
      </c>
      <c r="D880" s="4">
        <f>IFERROR(__xludf.DUMMYFUNCTION("""COMPUTED_VALUE"""),56.0)</f>
        <v>56</v>
      </c>
      <c r="E880" s="4">
        <f>IFERROR(__xludf.DUMMYFUNCTION("""COMPUTED_VALUE"""),92.0)</f>
        <v>92</v>
      </c>
      <c r="F880" s="4">
        <f>IFERROR(__xludf.DUMMYFUNCTION("""COMPUTED_VALUE"""),5.0)</f>
        <v>5</v>
      </c>
      <c r="G880" s="4">
        <f>IFERROR(__xludf.DUMMYFUNCTION("""COMPUTED_VALUE"""),1224.0)</f>
        <v>1224</v>
      </c>
      <c r="H880" s="5">
        <f>IFERROR(__xludf.DUMMYFUNCTION("""COMPUTED_VALUE"""),6767.54)</f>
        <v>6767.54</v>
      </c>
      <c r="I880" s="5">
        <f>IFERROR(__xludf.DUMMYFUNCTION("""COMPUTED_VALUE"""),1757.15)</f>
        <v>1757.15</v>
      </c>
      <c r="J880" s="5">
        <f>IFERROR(__xludf.DUMMYFUNCTION("""COMPUTED_VALUE"""),8726.43)</f>
        <v>8726.43</v>
      </c>
      <c r="K880" s="5">
        <f>IFERROR(__xludf.DUMMYFUNCTION("""COMPUTED_VALUE"""),49.66)</f>
        <v>49.66</v>
      </c>
      <c r="L880" s="4">
        <f>IFERROR(__xludf.DUMMYFUNCTION("""COMPUTED_VALUE"""),19.0)</f>
        <v>19</v>
      </c>
      <c r="M880" s="4">
        <f>IFERROR(__xludf.DUMMYFUNCTION("""COMPUTED_VALUE"""),47.0)</f>
        <v>47</v>
      </c>
      <c r="N880" s="2" t="str">
        <f>IFERROR(__xludf.DUMMYFUNCTION("""COMPUTED_VALUE"""),"VERDADERO")</f>
        <v>VERDADERO</v>
      </c>
    </row>
    <row r="881">
      <c r="A881" s="2">
        <f>IFERROR(__xludf.DUMMYFUNCTION("""COMPUTED_VALUE"""),880.0)</f>
        <v>880</v>
      </c>
      <c r="B881" s="2" t="str">
        <f>IFERROR(__xludf.DUMMYFUNCTION("""COMPUTED_VALUE"""),"Allx Bowdidge")</f>
        <v>Allx Bowdidge</v>
      </c>
      <c r="C881" s="2" t="str">
        <f>IFERROR(__xludf.DUMMYFUNCTION("""COMPUTED_VALUE"""),"abowdidgeog@netlog.com")</f>
        <v>abowdidgeog@netlog.com</v>
      </c>
      <c r="D881" s="4">
        <f>IFERROR(__xludf.DUMMYFUNCTION("""COMPUTED_VALUE"""),30.0)</f>
        <v>30</v>
      </c>
      <c r="E881" s="4">
        <f>IFERROR(__xludf.DUMMYFUNCTION("""COMPUTED_VALUE"""),66.0)</f>
        <v>66</v>
      </c>
      <c r="F881" s="4">
        <f>IFERROR(__xludf.DUMMYFUNCTION("""COMPUTED_VALUE"""),6.0)</f>
        <v>6</v>
      </c>
      <c r="G881" s="4">
        <f>IFERROR(__xludf.DUMMYFUNCTION("""COMPUTED_VALUE"""),967.0)</f>
        <v>967</v>
      </c>
      <c r="H881" s="5">
        <f>IFERROR(__xludf.DUMMYFUNCTION("""COMPUTED_VALUE"""),5312.99)</f>
        <v>5312.99</v>
      </c>
      <c r="I881" s="5">
        <f>IFERROR(__xludf.DUMMYFUNCTION("""COMPUTED_VALUE"""),7379.71)</f>
        <v>7379.71</v>
      </c>
      <c r="J881" s="5">
        <f>IFERROR(__xludf.DUMMYFUNCTION("""COMPUTED_VALUE"""),4601.21)</f>
        <v>4601.21</v>
      </c>
      <c r="K881" s="5">
        <f>IFERROR(__xludf.DUMMYFUNCTION("""COMPUTED_VALUE"""),9639.41)</f>
        <v>9639.41</v>
      </c>
      <c r="L881" s="4">
        <f>IFERROR(__xludf.DUMMYFUNCTION("""COMPUTED_VALUE"""),16.0)</f>
        <v>16</v>
      </c>
      <c r="M881" s="4">
        <f>IFERROR(__xludf.DUMMYFUNCTION("""COMPUTED_VALUE"""),43.0)</f>
        <v>43</v>
      </c>
      <c r="N881" s="2" t="str">
        <f>IFERROR(__xludf.DUMMYFUNCTION("""COMPUTED_VALUE"""),"VERDADERO")</f>
        <v>VERDADERO</v>
      </c>
    </row>
    <row r="882">
      <c r="A882" s="2">
        <f>IFERROR(__xludf.DUMMYFUNCTION("""COMPUTED_VALUE"""),881.0)</f>
        <v>881</v>
      </c>
      <c r="B882" s="2" t="str">
        <f>IFERROR(__xludf.DUMMYFUNCTION("""COMPUTED_VALUE"""),"Linet Riggs")</f>
        <v>Linet Riggs</v>
      </c>
      <c r="C882" s="2" t="str">
        <f>IFERROR(__xludf.DUMMYFUNCTION("""COMPUTED_VALUE"""),"lriggsoh@cam.ac.uk")</f>
        <v>lriggsoh@cam.ac.uk</v>
      </c>
      <c r="D882" s="4">
        <f>IFERROR(__xludf.DUMMYFUNCTION("""COMPUTED_VALUE"""),152.0)</f>
        <v>152</v>
      </c>
      <c r="E882" s="4">
        <f>IFERROR(__xludf.DUMMYFUNCTION("""COMPUTED_VALUE"""),58.0)</f>
        <v>58</v>
      </c>
      <c r="F882" s="4">
        <f>IFERROR(__xludf.DUMMYFUNCTION("""COMPUTED_VALUE"""),8.0)</f>
        <v>8</v>
      </c>
      <c r="G882" s="4">
        <f>IFERROR(__xludf.DUMMYFUNCTION("""COMPUTED_VALUE"""),968.0)</f>
        <v>968</v>
      </c>
      <c r="H882" s="5">
        <f>IFERROR(__xludf.DUMMYFUNCTION("""COMPUTED_VALUE"""),1919.02)</f>
        <v>1919.02</v>
      </c>
      <c r="I882" s="5">
        <f>IFERROR(__xludf.DUMMYFUNCTION("""COMPUTED_VALUE"""),285.88)</f>
        <v>285.88</v>
      </c>
      <c r="J882" s="5">
        <f>IFERROR(__xludf.DUMMYFUNCTION("""COMPUTED_VALUE"""),3924.38)</f>
        <v>3924.38</v>
      </c>
      <c r="K882" s="5">
        <f>IFERROR(__xludf.DUMMYFUNCTION("""COMPUTED_VALUE"""),5630.37)</f>
        <v>5630.37</v>
      </c>
      <c r="L882" s="4">
        <f>IFERROR(__xludf.DUMMYFUNCTION("""COMPUTED_VALUE"""),9.0)</f>
        <v>9</v>
      </c>
      <c r="M882" s="4">
        <f>IFERROR(__xludf.DUMMYFUNCTION("""COMPUTED_VALUE"""),18.0)</f>
        <v>18</v>
      </c>
      <c r="N882" s="2" t="str">
        <f>IFERROR(__xludf.DUMMYFUNCTION("""COMPUTED_VALUE"""),"VERDADERO")</f>
        <v>VERDADERO</v>
      </c>
    </row>
    <row r="883">
      <c r="A883" s="2">
        <f>IFERROR(__xludf.DUMMYFUNCTION("""COMPUTED_VALUE"""),882.0)</f>
        <v>882</v>
      </c>
      <c r="B883" s="2" t="str">
        <f>IFERROR(__xludf.DUMMYFUNCTION("""COMPUTED_VALUE"""),"Jenn Townby")</f>
        <v>Jenn Townby</v>
      </c>
      <c r="C883" s="2" t="str">
        <f>IFERROR(__xludf.DUMMYFUNCTION("""COMPUTED_VALUE"""),"jtownbyoi@msn.com")</f>
        <v>jtownbyoi@msn.com</v>
      </c>
      <c r="D883" s="4">
        <f>IFERROR(__xludf.DUMMYFUNCTION("""COMPUTED_VALUE"""),121.0)</f>
        <v>121</v>
      </c>
      <c r="E883" s="4">
        <f>IFERROR(__xludf.DUMMYFUNCTION("""COMPUTED_VALUE"""),13.0)</f>
        <v>13</v>
      </c>
      <c r="F883" s="4">
        <f>IFERROR(__xludf.DUMMYFUNCTION("""COMPUTED_VALUE"""),6.0)</f>
        <v>6</v>
      </c>
      <c r="G883" s="4">
        <f>IFERROR(__xludf.DUMMYFUNCTION("""COMPUTED_VALUE"""),743.0)</f>
        <v>743</v>
      </c>
      <c r="H883" s="5">
        <f>IFERROR(__xludf.DUMMYFUNCTION("""COMPUTED_VALUE"""),4871.6)</f>
        <v>4871.6</v>
      </c>
      <c r="I883" s="5">
        <f>IFERROR(__xludf.DUMMYFUNCTION("""COMPUTED_VALUE"""),4204.11)</f>
        <v>4204.11</v>
      </c>
      <c r="J883" s="5">
        <f>IFERROR(__xludf.DUMMYFUNCTION("""COMPUTED_VALUE"""),3621.52)</f>
        <v>3621.52</v>
      </c>
      <c r="K883" s="5">
        <f>IFERROR(__xludf.DUMMYFUNCTION("""COMPUTED_VALUE"""),3145.23)</f>
        <v>3145.23</v>
      </c>
      <c r="L883" s="4">
        <f>IFERROR(__xludf.DUMMYFUNCTION("""COMPUTED_VALUE"""),16.0)</f>
        <v>16</v>
      </c>
      <c r="M883" s="4">
        <f>IFERROR(__xludf.DUMMYFUNCTION("""COMPUTED_VALUE"""),78.0)</f>
        <v>78</v>
      </c>
      <c r="N883" s="2" t="str">
        <f>IFERROR(__xludf.DUMMYFUNCTION("""COMPUTED_VALUE"""),"VERDADERO")</f>
        <v>VERDADERO</v>
      </c>
    </row>
    <row r="884">
      <c r="A884" s="2">
        <f>IFERROR(__xludf.DUMMYFUNCTION("""COMPUTED_VALUE"""),883.0)</f>
        <v>883</v>
      </c>
      <c r="B884" s="2" t="str">
        <f>IFERROR(__xludf.DUMMYFUNCTION("""COMPUTED_VALUE"""),"Lucais Harkins")</f>
        <v>Lucais Harkins</v>
      </c>
      <c r="C884" s="2" t="str">
        <f>IFERROR(__xludf.DUMMYFUNCTION("""COMPUTED_VALUE"""),"lharkinsoj@hao123.com")</f>
        <v>lharkinsoj@hao123.com</v>
      </c>
      <c r="D884" s="4">
        <f>IFERROR(__xludf.DUMMYFUNCTION("""COMPUTED_VALUE"""),34.0)</f>
        <v>34</v>
      </c>
      <c r="E884" s="4">
        <f>IFERROR(__xludf.DUMMYFUNCTION("""COMPUTED_VALUE"""),21.0)</f>
        <v>21</v>
      </c>
      <c r="F884" s="4">
        <f>IFERROR(__xludf.DUMMYFUNCTION("""COMPUTED_VALUE"""),4.0)</f>
        <v>4</v>
      </c>
      <c r="G884" s="4">
        <f>IFERROR(__xludf.DUMMYFUNCTION("""COMPUTED_VALUE"""),1084.0)</f>
        <v>1084</v>
      </c>
      <c r="H884" s="5">
        <f>IFERROR(__xludf.DUMMYFUNCTION("""COMPUTED_VALUE"""),2431.19)</f>
        <v>2431.19</v>
      </c>
      <c r="I884" s="5">
        <f>IFERROR(__xludf.DUMMYFUNCTION("""COMPUTED_VALUE"""),6278.08)</f>
        <v>6278.08</v>
      </c>
      <c r="J884" s="5">
        <f>IFERROR(__xludf.DUMMYFUNCTION("""COMPUTED_VALUE"""),6981.97)</f>
        <v>6981.97</v>
      </c>
      <c r="K884" s="5">
        <f>IFERROR(__xludf.DUMMYFUNCTION("""COMPUTED_VALUE"""),319.38)</f>
        <v>319.38</v>
      </c>
      <c r="L884" s="4">
        <f>IFERROR(__xludf.DUMMYFUNCTION("""COMPUTED_VALUE"""),16.0)</f>
        <v>16</v>
      </c>
      <c r="M884" s="4">
        <f>IFERROR(__xludf.DUMMYFUNCTION("""COMPUTED_VALUE"""),4.0)</f>
        <v>4</v>
      </c>
      <c r="N884" s="2" t="str">
        <f>IFERROR(__xludf.DUMMYFUNCTION("""COMPUTED_VALUE"""),"VERDADERO")</f>
        <v>VERDADERO</v>
      </c>
    </row>
    <row r="885">
      <c r="A885" s="2">
        <f>IFERROR(__xludf.DUMMYFUNCTION("""COMPUTED_VALUE"""),884.0)</f>
        <v>884</v>
      </c>
      <c r="B885" s="2" t="str">
        <f>IFERROR(__xludf.DUMMYFUNCTION("""COMPUTED_VALUE"""),"Mae Murrison")</f>
        <v>Mae Murrison</v>
      </c>
      <c r="C885" s="2" t="str">
        <f>IFERROR(__xludf.DUMMYFUNCTION("""COMPUTED_VALUE"""),"mmurrisonok@newsvine.com")</f>
        <v>mmurrisonok@newsvine.com</v>
      </c>
      <c r="D885" s="4">
        <f>IFERROR(__xludf.DUMMYFUNCTION("""COMPUTED_VALUE"""),5.0)</f>
        <v>5</v>
      </c>
      <c r="E885" s="4">
        <f>IFERROR(__xludf.DUMMYFUNCTION("""COMPUTED_VALUE"""),73.0)</f>
        <v>73</v>
      </c>
      <c r="F885" s="4">
        <f>IFERROR(__xludf.DUMMYFUNCTION("""COMPUTED_VALUE"""),3.0)</f>
        <v>3</v>
      </c>
      <c r="G885" s="4">
        <f>IFERROR(__xludf.DUMMYFUNCTION("""COMPUTED_VALUE"""),1306.0)</f>
        <v>1306</v>
      </c>
      <c r="H885" s="5">
        <f>IFERROR(__xludf.DUMMYFUNCTION("""COMPUTED_VALUE"""),1212.86)</f>
        <v>1212.86</v>
      </c>
      <c r="I885" s="5">
        <f>IFERROR(__xludf.DUMMYFUNCTION("""COMPUTED_VALUE"""),5677.39)</f>
        <v>5677.39</v>
      </c>
      <c r="J885" s="5">
        <f>IFERROR(__xludf.DUMMYFUNCTION("""COMPUTED_VALUE"""),9576.22)</f>
        <v>9576.22</v>
      </c>
      <c r="K885" s="5">
        <f>IFERROR(__xludf.DUMMYFUNCTION("""COMPUTED_VALUE"""),4622.77)</f>
        <v>4622.77</v>
      </c>
      <c r="L885" s="4">
        <f>IFERROR(__xludf.DUMMYFUNCTION("""COMPUTED_VALUE"""),1.0)</f>
        <v>1</v>
      </c>
      <c r="M885" s="4">
        <f>IFERROR(__xludf.DUMMYFUNCTION("""COMPUTED_VALUE"""),4.0)</f>
        <v>4</v>
      </c>
      <c r="N885" s="2" t="str">
        <f>IFERROR(__xludf.DUMMYFUNCTION("""COMPUTED_VALUE"""),"VERDADERO")</f>
        <v>VERDADERO</v>
      </c>
    </row>
    <row r="886">
      <c r="A886" s="2">
        <f>IFERROR(__xludf.DUMMYFUNCTION("""COMPUTED_VALUE"""),885.0)</f>
        <v>885</v>
      </c>
      <c r="B886" s="2" t="str">
        <f>IFERROR(__xludf.DUMMYFUNCTION("""COMPUTED_VALUE"""),"Cy Garden")</f>
        <v>Cy Garden</v>
      </c>
      <c r="C886" s="2" t="str">
        <f>IFERROR(__xludf.DUMMYFUNCTION("""COMPUTED_VALUE"""),"cgardenol@webmd.com")</f>
        <v>cgardenol@webmd.com</v>
      </c>
      <c r="D886" s="4">
        <f>IFERROR(__xludf.DUMMYFUNCTION("""COMPUTED_VALUE"""),29.0)</f>
        <v>29</v>
      </c>
      <c r="E886" s="4">
        <f>IFERROR(__xludf.DUMMYFUNCTION("""COMPUTED_VALUE"""),64.0)</f>
        <v>64</v>
      </c>
      <c r="F886" s="4">
        <f>IFERROR(__xludf.DUMMYFUNCTION("""COMPUTED_VALUE"""),4.0)</f>
        <v>4</v>
      </c>
      <c r="G886" s="4">
        <f>IFERROR(__xludf.DUMMYFUNCTION("""COMPUTED_VALUE"""),521.0)</f>
        <v>521</v>
      </c>
      <c r="H886" s="5">
        <f>IFERROR(__xludf.DUMMYFUNCTION("""COMPUTED_VALUE"""),2190.91)</f>
        <v>2190.91</v>
      </c>
      <c r="I886" s="5">
        <f>IFERROR(__xludf.DUMMYFUNCTION("""COMPUTED_VALUE"""),9438.07)</f>
        <v>9438.07</v>
      </c>
      <c r="J886" s="5">
        <f>IFERROR(__xludf.DUMMYFUNCTION("""COMPUTED_VALUE"""),4627.24)</f>
        <v>4627.24</v>
      </c>
      <c r="K886" s="5">
        <f>IFERROR(__xludf.DUMMYFUNCTION("""COMPUTED_VALUE"""),7416.64)</f>
        <v>7416.64</v>
      </c>
      <c r="L886" s="4">
        <f>IFERROR(__xludf.DUMMYFUNCTION("""COMPUTED_VALUE"""),4.0)</f>
        <v>4</v>
      </c>
      <c r="M886" s="4">
        <f>IFERROR(__xludf.DUMMYFUNCTION("""COMPUTED_VALUE"""),23.0)</f>
        <v>23</v>
      </c>
      <c r="N886" s="2" t="str">
        <f>IFERROR(__xludf.DUMMYFUNCTION("""COMPUTED_VALUE"""),"VERDADERO")</f>
        <v>VERDADERO</v>
      </c>
    </row>
    <row r="887">
      <c r="A887" s="2">
        <f>IFERROR(__xludf.DUMMYFUNCTION("""COMPUTED_VALUE"""),886.0)</f>
        <v>886</v>
      </c>
      <c r="B887" s="2" t="str">
        <f>IFERROR(__xludf.DUMMYFUNCTION("""COMPUTED_VALUE"""),"Rori Ruit")</f>
        <v>Rori Ruit</v>
      </c>
      <c r="C887" s="2" t="str">
        <f>IFERROR(__xludf.DUMMYFUNCTION("""COMPUTED_VALUE"""),"rruitom@photobucket.com")</f>
        <v>rruitom@photobucket.com</v>
      </c>
      <c r="D887" s="4">
        <f>IFERROR(__xludf.DUMMYFUNCTION("""COMPUTED_VALUE"""),65.0)</f>
        <v>65</v>
      </c>
      <c r="E887" s="4">
        <f>IFERROR(__xludf.DUMMYFUNCTION("""COMPUTED_VALUE"""),10.0)</f>
        <v>10</v>
      </c>
      <c r="F887" s="4">
        <f>IFERROR(__xludf.DUMMYFUNCTION("""COMPUTED_VALUE"""),4.0)</f>
        <v>4</v>
      </c>
      <c r="G887" s="4">
        <f>IFERROR(__xludf.DUMMYFUNCTION("""COMPUTED_VALUE"""),1173.0)</f>
        <v>1173</v>
      </c>
      <c r="H887" s="5">
        <f>IFERROR(__xludf.DUMMYFUNCTION("""COMPUTED_VALUE"""),1332.8)</f>
        <v>1332.8</v>
      </c>
      <c r="I887" s="5">
        <f>IFERROR(__xludf.DUMMYFUNCTION("""COMPUTED_VALUE"""),4900.8)</f>
        <v>4900.8</v>
      </c>
      <c r="J887" s="5">
        <f>IFERROR(__xludf.DUMMYFUNCTION("""COMPUTED_VALUE"""),1128.67)</f>
        <v>1128.67</v>
      </c>
      <c r="K887" s="5">
        <f>IFERROR(__xludf.DUMMYFUNCTION("""COMPUTED_VALUE"""),8239.19)</f>
        <v>8239.19</v>
      </c>
      <c r="L887" s="4">
        <f>IFERROR(__xludf.DUMMYFUNCTION("""COMPUTED_VALUE"""),7.0)</f>
        <v>7</v>
      </c>
      <c r="M887" s="4">
        <f>IFERROR(__xludf.DUMMYFUNCTION("""COMPUTED_VALUE"""),27.0)</f>
        <v>27</v>
      </c>
      <c r="N887" s="2" t="str">
        <f>IFERROR(__xludf.DUMMYFUNCTION("""COMPUTED_VALUE"""),"VERDADERO")</f>
        <v>VERDADERO</v>
      </c>
    </row>
    <row r="888">
      <c r="A888" s="2">
        <f>IFERROR(__xludf.DUMMYFUNCTION("""COMPUTED_VALUE"""),887.0)</f>
        <v>887</v>
      </c>
      <c r="B888" s="2" t="str">
        <f>IFERROR(__xludf.DUMMYFUNCTION("""COMPUTED_VALUE"""),"Udell Spurman")</f>
        <v>Udell Spurman</v>
      </c>
      <c r="C888" s="2" t="str">
        <f>IFERROR(__xludf.DUMMYFUNCTION("""COMPUTED_VALUE"""),"uspurmanon@infoseek.co.jp")</f>
        <v>uspurmanon@infoseek.co.jp</v>
      </c>
      <c r="D888" s="4">
        <f>IFERROR(__xludf.DUMMYFUNCTION("""COMPUTED_VALUE"""),124.0)</f>
        <v>124</v>
      </c>
      <c r="E888" s="4">
        <f>IFERROR(__xludf.DUMMYFUNCTION("""COMPUTED_VALUE"""),51.0)</f>
        <v>51</v>
      </c>
      <c r="F888" s="4">
        <f>IFERROR(__xludf.DUMMYFUNCTION("""COMPUTED_VALUE"""),5.0)</f>
        <v>5</v>
      </c>
      <c r="G888" s="4">
        <f>IFERROR(__xludf.DUMMYFUNCTION("""COMPUTED_VALUE"""),1549.0)</f>
        <v>1549</v>
      </c>
      <c r="H888" s="5">
        <f>IFERROR(__xludf.DUMMYFUNCTION("""COMPUTED_VALUE"""),3003.87)</f>
        <v>3003.87</v>
      </c>
      <c r="I888" s="5">
        <f>IFERROR(__xludf.DUMMYFUNCTION("""COMPUTED_VALUE"""),8568.33)</f>
        <v>8568.33</v>
      </c>
      <c r="J888" s="5">
        <f>IFERROR(__xludf.DUMMYFUNCTION("""COMPUTED_VALUE"""),4480.77)</f>
        <v>4480.77</v>
      </c>
      <c r="K888" s="5">
        <f>IFERROR(__xludf.DUMMYFUNCTION("""COMPUTED_VALUE"""),9784.44)</f>
        <v>9784.44</v>
      </c>
      <c r="L888" s="4">
        <f>IFERROR(__xludf.DUMMYFUNCTION("""COMPUTED_VALUE"""),17.0)</f>
        <v>17</v>
      </c>
      <c r="M888" s="4">
        <f>IFERROR(__xludf.DUMMYFUNCTION("""COMPUTED_VALUE"""),25.0)</f>
        <v>25</v>
      </c>
      <c r="N888" s="2" t="str">
        <f>IFERROR(__xludf.DUMMYFUNCTION("""COMPUTED_VALUE"""),"FALSO")</f>
        <v>FALSO</v>
      </c>
    </row>
    <row r="889">
      <c r="A889" s="2">
        <f>IFERROR(__xludf.DUMMYFUNCTION("""COMPUTED_VALUE"""),888.0)</f>
        <v>888</v>
      </c>
      <c r="B889" s="2" t="str">
        <f>IFERROR(__xludf.DUMMYFUNCTION("""COMPUTED_VALUE"""),"Hermia Allabarton")</f>
        <v>Hermia Allabarton</v>
      </c>
      <c r="C889" s="2" t="str">
        <f>IFERROR(__xludf.DUMMYFUNCTION("""COMPUTED_VALUE"""),"hallabartonoo@opensource.org")</f>
        <v>hallabartonoo@opensource.org</v>
      </c>
      <c r="D889" s="4">
        <f>IFERROR(__xludf.DUMMYFUNCTION("""COMPUTED_VALUE"""),144.0)</f>
        <v>144</v>
      </c>
      <c r="E889" s="4">
        <f>IFERROR(__xludf.DUMMYFUNCTION("""COMPUTED_VALUE"""),94.0)</f>
        <v>94</v>
      </c>
      <c r="F889" s="4">
        <f>IFERROR(__xludf.DUMMYFUNCTION("""COMPUTED_VALUE"""),13.0)</f>
        <v>13</v>
      </c>
      <c r="G889" s="4">
        <f>IFERROR(__xludf.DUMMYFUNCTION("""COMPUTED_VALUE"""),513.0)</f>
        <v>513</v>
      </c>
      <c r="H889" s="5">
        <f>IFERROR(__xludf.DUMMYFUNCTION("""COMPUTED_VALUE"""),262.93)</f>
        <v>262.93</v>
      </c>
      <c r="I889" s="5">
        <f>IFERROR(__xludf.DUMMYFUNCTION("""COMPUTED_VALUE"""),127.29)</f>
        <v>127.29</v>
      </c>
      <c r="J889" s="5">
        <f>IFERROR(__xludf.DUMMYFUNCTION("""COMPUTED_VALUE"""),6351.75)</f>
        <v>6351.75</v>
      </c>
      <c r="K889" s="5">
        <f>IFERROR(__xludf.DUMMYFUNCTION("""COMPUTED_VALUE"""),8610.24)</f>
        <v>8610.24</v>
      </c>
      <c r="L889" s="4">
        <f>IFERROR(__xludf.DUMMYFUNCTION("""COMPUTED_VALUE"""),10.0)</f>
        <v>10</v>
      </c>
      <c r="M889" s="4">
        <f>IFERROR(__xludf.DUMMYFUNCTION("""COMPUTED_VALUE"""),56.0)</f>
        <v>56</v>
      </c>
      <c r="N889" s="2" t="str">
        <f>IFERROR(__xludf.DUMMYFUNCTION("""COMPUTED_VALUE"""),"FALSO")</f>
        <v>FALSO</v>
      </c>
    </row>
    <row r="890">
      <c r="A890" s="2">
        <f>IFERROR(__xludf.DUMMYFUNCTION("""COMPUTED_VALUE"""),889.0)</f>
        <v>889</v>
      </c>
      <c r="B890" s="2" t="str">
        <f>IFERROR(__xludf.DUMMYFUNCTION("""COMPUTED_VALUE"""),"Caralie Kall")</f>
        <v>Caralie Kall</v>
      </c>
      <c r="C890" s="2" t="str">
        <f>IFERROR(__xludf.DUMMYFUNCTION("""COMPUTED_VALUE"""),"ckallop@newyorker.com")</f>
        <v>ckallop@newyorker.com</v>
      </c>
      <c r="D890" s="4">
        <f>IFERROR(__xludf.DUMMYFUNCTION("""COMPUTED_VALUE"""),29.0)</f>
        <v>29</v>
      </c>
      <c r="E890" s="4">
        <f>IFERROR(__xludf.DUMMYFUNCTION("""COMPUTED_VALUE"""),81.0)</f>
        <v>81</v>
      </c>
      <c r="F890" s="4">
        <f>IFERROR(__xludf.DUMMYFUNCTION("""COMPUTED_VALUE"""),2.0)</f>
        <v>2</v>
      </c>
      <c r="G890" s="4">
        <f>IFERROR(__xludf.DUMMYFUNCTION("""COMPUTED_VALUE"""),1056.0)</f>
        <v>1056</v>
      </c>
      <c r="H890" s="5">
        <f>IFERROR(__xludf.DUMMYFUNCTION("""COMPUTED_VALUE"""),1982.96)</f>
        <v>1982.96</v>
      </c>
      <c r="I890" s="5">
        <f>IFERROR(__xludf.DUMMYFUNCTION("""COMPUTED_VALUE"""),3052.92)</f>
        <v>3052.92</v>
      </c>
      <c r="J890" s="5">
        <f>IFERROR(__xludf.DUMMYFUNCTION("""COMPUTED_VALUE"""),8263.62)</f>
        <v>8263.62</v>
      </c>
      <c r="K890" s="5">
        <f>IFERROR(__xludf.DUMMYFUNCTION("""COMPUTED_VALUE"""),9612.41)</f>
        <v>9612.41</v>
      </c>
      <c r="L890" s="4">
        <f>IFERROR(__xludf.DUMMYFUNCTION("""COMPUTED_VALUE"""),13.0)</f>
        <v>13</v>
      </c>
      <c r="M890" s="4">
        <f>IFERROR(__xludf.DUMMYFUNCTION("""COMPUTED_VALUE"""),22.0)</f>
        <v>22</v>
      </c>
      <c r="N890" s="2" t="str">
        <f>IFERROR(__xludf.DUMMYFUNCTION("""COMPUTED_VALUE"""),"FALSO")</f>
        <v>FALSO</v>
      </c>
    </row>
    <row r="891">
      <c r="A891" s="2">
        <f>IFERROR(__xludf.DUMMYFUNCTION("""COMPUTED_VALUE"""),890.0)</f>
        <v>890</v>
      </c>
      <c r="B891" s="2" t="str">
        <f>IFERROR(__xludf.DUMMYFUNCTION("""COMPUTED_VALUE"""),"Gianni Cudde")</f>
        <v>Gianni Cudde</v>
      </c>
      <c r="C891" s="2" t="str">
        <f>IFERROR(__xludf.DUMMYFUNCTION("""COMPUTED_VALUE"""),"gcuddeoq@examiner.com")</f>
        <v>gcuddeoq@examiner.com</v>
      </c>
      <c r="D891" s="4">
        <f>IFERROR(__xludf.DUMMYFUNCTION("""COMPUTED_VALUE"""),65.0)</f>
        <v>65</v>
      </c>
      <c r="E891" s="4">
        <f>IFERROR(__xludf.DUMMYFUNCTION("""COMPUTED_VALUE"""),85.0)</f>
        <v>85</v>
      </c>
      <c r="F891" s="4">
        <f>IFERROR(__xludf.DUMMYFUNCTION("""COMPUTED_VALUE"""),3.0)</f>
        <v>3</v>
      </c>
      <c r="G891" s="4">
        <f>IFERROR(__xludf.DUMMYFUNCTION("""COMPUTED_VALUE"""),1014.0)</f>
        <v>1014</v>
      </c>
      <c r="H891" s="5">
        <f>IFERROR(__xludf.DUMMYFUNCTION("""COMPUTED_VALUE"""),3332.53)</f>
        <v>3332.53</v>
      </c>
      <c r="I891" s="5">
        <f>IFERROR(__xludf.DUMMYFUNCTION("""COMPUTED_VALUE"""),2840.94)</f>
        <v>2840.94</v>
      </c>
      <c r="J891" s="5">
        <f>IFERROR(__xludf.DUMMYFUNCTION("""COMPUTED_VALUE"""),4000.49)</f>
        <v>4000.49</v>
      </c>
      <c r="K891" s="5">
        <f>IFERROR(__xludf.DUMMYFUNCTION("""COMPUTED_VALUE"""),1527.42)</f>
        <v>1527.42</v>
      </c>
      <c r="L891" s="4">
        <f>IFERROR(__xludf.DUMMYFUNCTION("""COMPUTED_VALUE"""),8.0)</f>
        <v>8</v>
      </c>
      <c r="M891" s="4">
        <f>IFERROR(__xludf.DUMMYFUNCTION("""COMPUTED_VALUE"""),1.0)</f>
        <v>1</v>
      </c>
      <c r="N891" s="2" t="str">
        <f>IFERROR(__xludf.DUMMYFUNCTION("""COMPUTED_VALUE"""),"VERDADERO")</f>
        <v>VERDADERO</v>
      </c>
    </row>
    <row r="892">
      <c r="A892" s="2">
        <f>IFERROR(__xludf.DUMMYFUNCTION("""COMPUTED_VALUE"""),891.0)</f>
        <v>891</v>
      </c>
      <c r="B892" s="2" t="str">
        <f>IFERROR(__xludf.DUMMYFUNCTION("""COMPUTED_VALUE"""),"Avigdor O'Leahy")</f>
        <v>Avigdor O'Leahy</v>
      </c>
      <c r="C892" s="2" t="str">
        <f>IFERROR(__xludf.DUMMYFUNCTION("""COMPUTED_VALUE"""),"aoleahyor@typepad.com")</f>
        <v>aoleahyor@typepad.com</v>
      </c>
      <c r="D892" s="4">
        <f>IFERROR(__xludf.DUMMYFUNCTION("""COMPUTED_VALUE"""),122.0)</f>
        <v>122</v>
      </c>
      <c r="E892" s="4">
        <f>IFERROR(__xludf.DUMMYFUNCTION("""COMPUTED_VALUE"""),58.0)</f>
        <v>58</v>
      </c>
      <c r="F892" s="4">
        <f>IFERROR(__xludf.DUMMYFUNCTION("""COMPUTED_VALUE"""),8.0)</f>
        <v>8</v>
      </c>
      <c r="G892" s="4">
        <f>IFERROR(__xludf.DUMMYFUNCTION("""COMPUTED_VALUE"""),961.0)</f>
        <v>961</v>
      </c>
      <c r="H892" s="5">
        <f>IFERROR(__xludf.DUMMYFUNCTION("""COMPUTED_VALUE"""),728.66)</f>
        <v>728.66</v>
      </c>
      <c r="I892" s="5">
        <f>IFERROR(__xludf.DUMMYFUNCTION("""COMPUTED_VALUE"""),1369.95)</f>
        <v>1369.95</v>
      </c>
      <c r="J892" s="5">
        <f>IFERROR(__xludf.DUMMYFUNCTION("""COMPUTED_VALUE"""),2912.5)</f>
        <v>2912.5</v>
      </c>
      <c r="K892" s="5">
        <f>IFERROR(__xludf.DUMMYFUNCTION("""COMPUTED_VALUE"""),570.53)</f>
        <v>570.53</v>
      </c>
      <c r="L892" s="4">
        <f>IFERROR(__xludf.DUMMYFUNCTION("""COMPUTED_VALUE"""),17.0)</f>
        <v>17</v>
      </c>
      <c r="M892" s="4">
        <f>IFERROR(__xludf.DUMMYFUNCTION("""COMPUTED_VALUE"""),50.0)</f>
        <v>50</v>
      </c>
      <c r="N892" s="2" t="str">
        <f>IFERROR(__xludf.DUMMYFUNCTION("""COMPUTED_VALUE"""),"VERDADERO")</f>
        <v>VERDADERO</v>
      </c>
    </row>
    <row r="893">
      <c r="A893" s="2">
        <f>IFERROR(__xludf.DUMMYFUNCTION("""COMPUTED_VALUE"""),892.0)</f>
        <v>892</v>
      </c>
      <c r="B893" s="2" t="str">
        <f>IFERROR(__xludf.DUMMYFUNCTION("""COMPUTED_VALUE"""),"Irwinn Purvess")</f>
        <v>Irwinn Purvess</v>
      </c>
      <c r="C893" s="2" t="str">
        <f>IFERROR(__xludf.DUMMYFUNCTION("""COMPUTED_VALUE"""),"ipurvessos@hp.com")</f>
        <v>ipurvessos@hp.com</v>
      </c>
      <c r="D893" s="4">
        <f>IFERROR(__xludf.DUMMYFUNCTION("""COMPUTED_VALUE"""),29.0)</f>
        <v>29</v>
      </c>
      <c r="E893" s="4">
        <f>IFERROR(__xludf.DUMMYFUNCTION("""COMPUTED_VALUE"""),66.0)</f>
        <v>66</v>
      </c>
      <c r="F893" s="4">
        <f>IFERROR(__xludf.DUMMYFUNCTION("""COMPUTED_VALUE"""),6.0)</f>
        <v>6</v>
      </c>
      <c r="G893" s="4">
        <f>IFERROR(__xludf.DUMMYFUNCTION("""COMPUTED_VALUE"""),1590.0)</f>
        <v>1590</v>
      </c>
      <c r="H893" s="5">
        <f>IFERROR(__xludf.DUMMYFUNCTION("""COMPUTED_VALUE"""),9751.62)</f>
        <v>9751.62</v>
      </c>
      <c r="I893" s="5">
        <f>IFERROR(__xludf.DUMMYFUNCTION("""COMPUTED_VALUE"""),6921.75)</f>
        <v>6921.75</v>
      </c>
      <c r="J893" s="5">
        <f>IFERROR(__xludf.DUMMYFUNCTION("""COMPUTED_VALUE"""),8150.5)</f>
        <v>8150.5</v>
      </c>
      <c r="K893" s="5">
        <f>IFERROR(__xludf.DUMMYFUNCTION("""COMPUTED_VALUE"""),6599.23)</f>
        <v>6599.23</v>
      </c>
      <c r="L893" s="4">
        <f>IFERROR(__xludf.DUMMYFUNCTION("""COMPUTED_VALUE"""),16.0)</f>
        <v>16</v>
      </c>
      <c r="M893" s="4">
        <f>IFERROR(__xludf.DUMMYFUNCTION("""COMPUTED_VALUE"""),62.0)</f>
        <v>62</v>
      </c>
      <c r="N893" s="2" t="str">
        <f>IFERROR(__xludf.DUMMYFUNCTION("""COMPUTED_VALUE"""),"FALSO")</f>
        <v>FALSO</v>
      </c>
    </row>
    <row r="894">
      <c r="A894" s="2">
        <f>IFERROR(__xludf.DUMMYFUNCTION("""COMPUTED_VALUE"""),893.0)</f>
        <v>893</v>
      </c>
      <c r="B894" s="2" t="str">
        <f>IFERROR(__xludf.DUMMYFUNCTION("""COMPUTED_VALUE"""),"Nicholas Keilloh")</f>
        <v>Nicholas Keilloh</v>
      </c>
      <c r="C894" s="2" t="str">
        <f>IFERROR(__xludf.DUMMYFUNCTION("""COMPUTED_VALUE"""),"nkeillohot@123-reg.co.uk")</f>
        <v>nkeillohot@123-reg.co.uk</v>
      </c>
      <c r="D894" s="4">
        <f>IFERROR(__xludf.DUMMYFUNCTION("""COMPUTED_VALUE"""),156.0)</f>
        <v>156</v>
      </c>
      <c r="E894" s="4">
        <f>IFERROR(__xludf.DUMMYFUNCTION("""COMPUTED_VALUE"""),57.0)</f>
        <v>57</v>
      </c>
      <c r="F894" s="4">
        <f>IFERROR(__xludf.DUMMYFUNCTION("""COMPUTED_VALUE"""),5.0)</f>
        <v>5</v>
      </c>
      <c r="G894" s="4">
        <f>IFERROR(__xludf.DUMMYFUNCTION("""COMPUTED_VALUE"""),320.0)</f>
        <v>320</v>
      </c>
      <c r="H894" s="5">
        <f>IFERROR(__xludf.DUMMYFUNCTION("""COMPUTED_VALUE"""),4178.93)</f>
        <v>4178.93</v>
      </c>
      <c r="I894" s="5">
        <f>IFERROR(__xludf.DUMMYFUNCTION("""COMPUTED_VALUE"""),2810.76)</f>
        <v>2810.76</v>
      </c>
      <c r="J894" s="5">
        <f>IFERROR(__xludf.DUMMYFUNCTION("""COMPUTED_VALUE"""),8235.47)</f>
        <v>8235.47</v>
      </c>
      <c r="K894" s="5">
        <f>IFERROR(__xludf.DUMMYFUNCTION("""COMPUTED_VALUE"""),5916.3)</f>
        <v>5916.3</v>
      </c>
      <c r="L894" s="4">
        <f>IFERROR(__xludf.DUMMYFUNCTION("""COMPUTED_VALUE"""),13.0)</f>
        <v>13</v>
      </c>
      <c r="M894" s="4">
        <f>IFERROR(__xludf.DUMMYFUNCTION("""COMPUTED_VALUE"""),85.0)</f>
        <v>85</v>
      </c>
      <c r="N894" s="2" t="str">
        <f>IFERROR(__xludf.DUMMYFUNCTION("""COMPUTED_VALUE"""),"VERDADERO")</f>
        <v>VERDADERO</v>
      </c>
    </row>
    <row r="895">
      <c r="A895" s="2">
        <f>IFERROR(__xludf.DUMMYFUNCTION("""COMPUTED_VALUE"""),894.0)</f>
        <v>894</v>
      </c>
      <c r="B895" s="2" t="str">
        <f>IFERROR(__xludf.DUMMYFUNCTION("""COMPUTED_VALUE"""),"Othelia Ricardin")</f>
        <v>Othelia Ricardin</v>
      </c>
      <c r="C895" s="2" t="str">
        <f>IFERROR(__xludf.DUMMYFUNCTION("""COMPUTED_VALUE"""),"oricardinou@businesswire.com")</f>
        <v>oricardinou@businesswire.com</v>
      </c>
      <c r="D895" s="4">
        <f>IFERROR(__xludf.DUMMYFUNCTION("""COMPUTED_VALUE"""),37.0)</f>
        <v>37</v>
      </c>
      <c r="E895" s="4">
        <f>IFERROR(__xludf.DUMMYFUNCTION("""COMPUTED_VALUE"""),62.0)</f>
        <v>62</v>
      </c>
      <c r="F895" s="4">
        <f>IFERROR(__xludf.DUMMYFUNCTION("""COMPUTED_VALUE"""),4.0)</f>
        <v>4</v>
      </c>
      <c r="G895" s="4">
        <f>IFERROR(__xludf.DUMMYFUNCTION("""COMPUTED_VALUE"""),118.0)</f>
        <v>118</v>
      </c>
      <c r="H895" s="5">
        <f>IFERROR(__xludf.DUMMYFUNCTION("""COMPUTED_VALUE"""),3279.51)</f>
        <v>3279.51</v>
      </c>
      <c r="I895" s="5">
        <f>IFERROR(__xludf.DUMMYFUNCTION("""COMPUTED_VALUE"""),4189.52)</f>
        <v>4189.52</v>
      </c>
      <c r="J895" s="5">
        <f>IFERROR(__xludf.DUMMYFUNCTION("""COMPUTED_VALUE"""),800.76)</f>
        <v>800.76</v>
      </c>
      <c r="K895" s="5">
        <f>IFERROR(__xludf.DUMMYFUNCTION("""COMPUTED_VALUE"""),5306.46)</f>
        <v>5306.46</v>
      </c>
      <c r="L895" s="4">
        <f>IFERROR(__xludf.DUMMYFUNCTION("""COMPUTED_VALUE"""),18.0)</f>
        <v>18</v>
      </c>
      <c r="M895" s="4">
        <f>IFERROR(__xludf.DUMMYFUNCTION("""COMPUTED_VALUE"""),3.0)</f>
        <v>3</v>
      </c>
      <c r="N895" s="2" t="str">
        <f>IFERROR(__xludf.DUMMYFUNCTION("""COMPUTED_VALUE"""),"FALSO")</f>
        <v>FALSO</v>
      </c>
    </row>
    <row r="896">
      <c r="A896" s="2">
        <f>IFERROR(__xludf.DUMMYFUNCTION("""COMPUTED_VALUE"""),895.0)</f>
        <v>895</v>
      </c>
      <c r="B896" s="2" t="str">
        <f>IFERROR(__xludf.DUMMYFUNCTION("""COMPUTED_VALUE"""),"Atlanta Maddinon")</f>
        <v>Atlanta Maddinon</v>
      </c>
      <c r="C896" s="2" t="str">
        <f>IFERROR(__xludf.DUMMYFUNCTION("""COMPUTED_VALUE"""),"amaddinonov@amazon.co.jp")</f>
        <v>amaddinonov@amazon.co.jp</v>
      </c>
      <c r="D896" s="4">
        <f>IFERROR(__xludf.DUMMYFUNCTION("""COMPUTED_VALUE"""),137.0)</f>
        <v>137</v>
      </c>
      <c r="E896" s="4">
        <f>IFERROR(__xludf.DUMMYFUNCTION("""COMPUTED_VALUE"""),109.0)</f>
        <v>109</v>
      </c>
      <c r="F896" s="4">
        <f>IFERROR(__xludf.DUMMYFUNCTION("""COMPUTED_VALUE"""),5.0)</f>
        <v>5</v>
      </c>
      <c r="G896" s="4">
        <f>IFERROR(__xludf.DUMMYFUNCTION("""COMPUTED_VALUE"""),1212.0)</f>
        <v>1212</v>
      </c>
      <c r="H896" s="5">
        <f>IFERROR(__xludf.DUMMYFUNCTION("""COMPUTED_VALUE"""),325.15)</f>
        <v>325.15</v>
      </c>
      <c r="I896" s="5">
        <f>IFERROR(__xludf.DUMMYFUNCTION("""COMPUTED_VALUE"""),7540.64)</f>
        <v>7540.64</v>
      </c>
      <c r="J896" s="5">
        <f>IFERROR(__xludf.DUMMYFUNCTION("""COMPUTED_VALUE"""),6493.31)</f>
        <v>6493.31</v>
      </c>
      <c r="K896" s="5">
        <f>IFERROR(__xludf.DUMMYFUNCTION("""COMPUTED_VALUE"""),5391.37)</f>
        <v>5391.37</v>
      </c>
      <c r="L896" s="4">
        <f>IFERROR(__xludf.DUMMYFUNCTION("""COMPUTED_VALUE"""),15.0)</f>
        <v>15</v>
      </c>
      <c r="M896" s="4">
        <f>IFERROR(__xludf.DUMMYFUNCTION("""COMPUTED_VALUE"""),88.0)</f>
        <v>88</v>
      </c>
      <c r="N896" s="2" t="str">
        <f>IFERROR(__xludf.DUMMYFUNCTION("""COMPUTED_VALUE"""),"VERDADERO")</f>
        <v>VERDADERO</v>
      </c>
    </row>
    <row r="897">
      <c r="A897" s="2">
        <f>IFERROR(__xludf.DUMMYFUNCTION("""COMPUTED_VALUE"""),896.0)</f>
        <v>896</v>
      </c>
      <c r="B897" s="2" t="str">
        <f>IFERROR(__xludf.DUMMYFUNCTION("""COMPUTED_VALUE"""),"Glenden Jackalin")</f>
        <v>Glenden Jackalin</v>
      </c>
      <c r="C897" s="2" t="str">
        <f>IFERROR(__xludf.DUMMYFUNCTION("""COMPUTED_VALUE"""),"gjackalinow@biglobe.ne.jp")</f>
        <v>gjackalinow@biglobe.ne.jp</v>
      </c>
      <c r="D897" s="4">
        <f>IFERROR(__xludf.DUMMYFUNCTION("""COMPUTED_VALUE"""),29.0)</f>
        <v>29</v>
      </c>
      <c r="E897" s="4">
        <f>IFERROR(__xludf.DUMMYFUNCTION("""COMPUTED_VALUE"""),81.0)</f>
        <v>81</v>
      </c>
      <c r="F897" s="4">
        <f>IFERROR(__xludf.DUMMYFUNCTION("""COMPUTED_VALUE"""),2.0)</f>
        <v>2</v>
      </c>
      <c r="G897" s="4">
        <f>IFERROR(__xludf.DUMMYFUNCTION("""COMPUTED_VALUE"""),98.0)</f>
        <v>98</v>
      </c>
      <c r="H897" s="5">
        <f>IFERROR(__xludf.DUMMYFUNCTION("""COMPUTED_VALUE"""),9646.4)</f>
        <v>9646.4</v>
      </c>
      <c r="I897" s="5">
        <f>IFERROR(__xludf.DUMMYFUNCTION("""COMPUTED_VALUE"""),8785.5)</f>
        <v>8785.5</v>
      </c>
      <c r="J897" s="5">
        <f>IFERROR(__xludf.DUMMYFUNCTION("""COMPUTED_VALUE"""),2451.84)</f>
        <v>2451.84</v>
      </c>
      <c r="K897" s="5">
        <f>IFERROR(__xludf.DUMMYFUNCTION("""COMPUTED_VALUE"""),3385.16)</f>
        <v>3385.16</v>
      </c>
      <c r="L897" s="4">
        <f>IFERROR(__xludf.DUMMYFUNCTION("""COMPUTED_VALUE"""),4.0)</f>
        <v>4</v>
      </c>
      <c r="M897" s="4">
        <f>IFERROR(__xludf.DUMMYFUNCTION("""COMPUTED_VALUE"""),36.0)</f>
        <v>36</v>
      </c>
      <c r="N897" s="2" t="str">
        <f>IFERROR(__xludf.DUMMYFUNCTION("""COMPUTED_VALUE"""),"VERDADERO")</f>
        <v>VERDADERO</v>
      </c>
    </row>
    <row r="898">
      <c r="A898" s="2">
        <f>IFERROR(__xludf.DUMMYFUNCTION("""COMPUTED_VALUE"""),897.0)</f>
        <v>897</v>
      </c>
      <c r="B898" s="2" t="str">
        <f>IFERROR(__xludf.DUMMYFUNCTION("""COMPUTED_VALUE"""),"Marcus Sandon")</f>
        <v>Marcus Sandon</v>
      </c>
      <c r="C898" s="2" t="str">
        <f>IFERROR(__xludf.DUMMYFUNCTION("""COMPUTED_VALUE"""),"msandonox@businesswire.com")</f>
        <v>msandonox@businesswire.com</v>
      </c>
      <c r="D898" s="4">
        <f>IFERROR(__xludf.DUMMYFUNCTION("""COMPUTED_VALUE"""),122.0)</f>
        <v>122</v>
      </c>
      <c r="E898" s="4">
        <f>IFERROR(__xludf.DUMMYFUNCTION("""COMPUTED_VALUE"""),40.0)</f>
        <v>40</v>
      </c>
      <c r="F898" s="4">
        <f>IFERROR(__xludf.DUMMYFUNCTION("""COMPUTED_VALUE"""),1.0)</f>
        <v>1</v>
      </c>
      <c r="G898" s="4">
        <f>IFERROR(__xludf.DUMMYFUNCTION("""COMPUTED_VALUE"""),730.0)</f>
        <v>730</v>
      </c>
      <c r="H898" s="5">
        <f>IFERROR(__xludf.DUMMYFUNCTION("""COMPUTED_VALUE"""),5177.33)</f>
        <v>5177.33</v>
      </c>
      <c r="I898" s="5">
        <f>IFERROR(__xludf.DUMMYFUNCTION("""COMPUTED_VALUE"""),3462.17)</f>
        <v>3462.17</v>
      </c>
      <c r="J898" s="5">
        <f>IFERROR(__xludf.DUMMYFUNCTION("""COMPUTED_VALUE"""),1765.73)</f>
        <v>1765.73</v>
      </c>
      <c r="K898" s="5">
        <f>IFERROR(__xludf.DUMMYFUNCTION("""COMPUTED_VALUE"""),5520.93)</f>
        <v>5520.93</v>
      </c>
      <c r="L898" s="4">
        <f>IFERROR(__xludf.DUMMYFUNCTION("""COMPUTED_VALUE"""),5.0)</f>
        <v>5</v>
      </c>
      <c r="M898" s="4">
        <f>IFERROR(__xludf.DUMMYFUNCTION("""COMPUTED_VALUE"""),35.0)</f>
        <v>35</v>
      </c>
      <c r="N898" s="2" t="str">
        <f>IFERROR(__xludf.DUMMYFUNCTION("""COMPUTED_VALUE"""),"FALSO")</f>
        <v>FALSO</v>
      </c>
    </row>
    <row r="899">
      <c r="A899" s="2">
        <f>IFERROR(__xludf.DUMMYFUNCTION("""COMPUTED_VALUE"""),898.0)</f>
        <v>898</v>
      </c>
      <c r="B899" s="2" t="str">
        <f>IFERROR(__xludf.DUMMYFUNCTION("""COMPUTED_VALUE"""),"Elnar McKellen")</f>
        <v>Elnar McKellen</v>
      </c>
      <c r="C899" s="2" t="str">
        <f>IFERROR(__xludf.DUMMYFUNCTION("""COMPUTED_VALUE"""),"emckellenoy@state.gov")</f>
        <v>emckellenoy@state.gov</v>
      </c>
      <c r="D899" s="4">
        <f>IFERROR(__xludf.DUMMYFUNCTION("""COMPUTED_VALUE"""),65.0)</f>
        <v>65</v>
      </c>
      <c r="E899" s="4">
        <f>IFERROR(__xludf.DUMMYFUNCTION("""COMPUTED_VALUE"""),81.0)</f>
        <v>81</v>
      </c>
      <c r="F899" s="4">
        <f>IFERROR(__xludf.DUMMYFUNCTION("""COMPUTED_VALUE"""),2.0)</f>
        <v>2</v>
      </c>
      <c r="G899" s="4">
        <f>IFERROR(__xludf.DUMMYFUNCTION("""COMPUTED_VALUE"""),1390.0)</f>
        <v>1390</v>
      </c>
      <c r="H899" s="5">
        <f>IFERROR(__xludf.DUMMYFUNCTION("""COMPUTED_VALUE"""),838.65)</f>
        <v>838.65</v>
      </c>
      <c r="I899" s="5">
        <f>IFERROR(__xludf.DUMMYFUNCTION("""COMPUTED_VALUE"""),9969.85)</f>
        <v>9969.85</v>
      </c>
      <c r="J899" s="5">
        <f>IFERROR(__xludf.DUMMYFUNCTION("""COMPUTED_VALUE"""),4320.91)</f>
        <v>4320.91</v>
      </c>
      <c r="K899" s="5">
        <f>IFERROR(__xludf.DUMMYFUNCTION("""COMPUTED_VALUE"""),7615.01)</f>
        <v>7615.01</v>
      </c>
      <c r="L899" s="4">
        <f>IFERROR(__xludf.DUMMYFUNCTION("""COMPUTED_VALUE"""),6.0)</f>
        <v>6</v>
      </c>
      <c r="M899" s="4">
        <f>IFERROR(__xludf.DUMMYFUNCTION("""COMPUTED_VALUE"""),7.0)</f>
        <v>7</v>
      </c>
      <c r="N899" s="2" t="str">
        <f>IFERROR(__xludf.DUMMYFUNCTION("""COMPUTED_VALUE"""),"VERDADERO")</f>
        <v>VERDADERO</v>
      </c>
    </row>
    <row r="900">
      <c r="A900" s="2">
        <f>IFERROR(__xludf.DUMMYFUNCTION("""COMPUTED_VALUE"""),899.0)</f>
        <v>899</v>
      </c>
      <c r="B900" s="2" t="str">
        <f>IFERROR(__xludf.DUMMYFUNCTION("""COMPUTED_VALUE"""),"Tome Sisnett")</f>
        <v>Tome Sisnett</v>
      </c>
      <c r="C900" s="2" t="str">
        <f>IFERROR(__xludf.DUMMYFUNCTION("""COMPUTED_VALUE"""),"tsisnettoz@yahoo.co.jp")</f>
        <v>tsisnettoz@yahoo.co.jp</v>
      </c>
      <c r="D900" s="4">
        <f>IFERROR(__xludf.DUMMYFUNCTION("""COMPUTED_VALUE"""),121.0)</f>
        <v>121</v>
      </c>
      <c r="E900" s="4">
        <f>IFERROR(__xludf.DUMMYFUNCTION("""COMPUTED_VALUE"""),81.0)</f>
        <v>81</v>
      </c>
      <c r="F900" s="4">
        <f>IFERROR(__xludf.DUMMYFUNCTION("""COMPUTED_VALUE"""),2.0)</f>
        <v>2</v>
      </c>
      <c r="G900" s="4">
        <f>IFERROR(__xludf.DUMMYFUNCTION("""COMPUTED_VALUE"""),666.0)</f>
        <v>666</v>
      </c>
      <c r="H900" s="5">
        <f>IFERROR(__xludf.DUMMYFUNCTION("""COMPUTED_VALUE"""),5138.79)</f>
        <v>5138.79</v>
      </c>
      <c r="I900" s="5">
        <f>IFERROR(__xludf.DUMMYFUNCTION("""COMPUTED_VALUE"""),503.87)</f>
        <v>503.87</v>
      </c>
      <c r="J900" s="5">
        <f>IFERROR(__xludf.DUMMYFUNCTION("""COMPUTED_VALUE"""),4538.88)</f>
        <v>4538.88</v>
      </c>
      <c r="K900" s="5">
        <f>IFERROR(__xludf.DUMMYFUNCTION("""COMPUTED_VALUE"""),1520.4)</f>
        <v>1520.4</v>
      </c>
      <c r="L900" s="4">
        <f>IFERROR(__xludf.DUMMYFUNCTION("""COMPUTED_VALUE"""),18.0)</f>
        <v>18</v>
      </c>
      <c r="M900" s="4">
        <f>IFERROR(__xludf.DUMMYFUNCTION("""COMPUTED_VALUE"""),36.0)</f>
        <v>36</v>
      </c>
      <c r="N900" s="2" t="str">
        <f>IFERROR(__xludf.DUMMYFUNCTION("""COMPUTED_VALUE"""),"VERDADERO")</f>
        <v>VERDADERO</v>
      </c>
    </row>
    <row r="901">
      <c r="A901" s="2">
        <f>IFERROR(__xludf.DUMMYFUNCTION("""COMPUTED_VALUE"""),900.0)</f>
        <v>900</v>
      </c>
      <c r="B901" s="2" t="str">
        <f>IFERROR(__xludf.DUMMYFUNCTION("""COMPUTED_VALUE"""),"Car Kopmann")</f>
        <v>Car Kopmann</v>
      </c>
      <c r="C901" s="2" t="str">
        <f>IFERROR(__xludf.DUMMYFUNCTION("""COMPUTED_VALUE"""),"ckopmannp0@example.com")</f>
        <v>ckopmannp0@example.com</v>
      </c>
      <c r="D901" s="4">
        <f>IFERROR(__xludf.DUMMYFUNCTION("""COMPUTED_VALUE"""),118.0)</f>
        <v>118</v>
      </c>
      <c r="E901" s="4">
        <f>IFERROR(__xludf.DUMMYFUNCTION("""COMPUTED_VALUE"""),81.0)</f>
        <v>81</v>
      </c>
      <c r="F901" s="4">
        <f>IFERROR(__xludf.DUMMYFUNCTION("""COMPUTED_VALUE"""),2.0)</f>
        <v>2</v>
      </c>
      <c r="G901" s="4">
        <f>IFERROR(__xludf.DUMMYFUNCTION("""COMPUTED_VALUE"""),1393.0)</f>
        <v>1393</v>
      </c>
      <c r="H901" s="5">
        <f>IFERROR(__xludf.DUMMYFUNCTION("""COMPUTED_VALUE"""),7543.99)</f>
        <v>7543.99</v>
      </c>
      <c r="I901" s="5">
        <f>IFERROR(__xludf.DUMMYFUNCTION("""COMPUTED_VALUE"""),4308.16)</f>
        <v>4308.16</v>
      </c>
      <c r="J901" s="5">
        <f>IFERROR(__xludf.DUMMYFUNCTION("""COMPUTED_VALUE"""),5470.87)</f>
        <v>5470.87</v>
      </c>
      <c r="K901" s="5">
        <f>IFERROR(__xludf.DUMMYFUNCTION("""COMPUTED_VALUE"""),9582.76)</f>
        <v>9582.76</v>
      </c>
      <c r="L901" s="4">
        <f>IFERROR(__xludf.DUMMYFUNCTION("""COMPUTED_VALUE"""),7.0)</f>
        <v>7</v>
      </c>
      <c r="M901" s="4">
        <f>IFERROR(__xludf.DUMMYFUNCTION("""COMPUTED_VALUE"""),92.0)</f>
        <v>92</v>
      </c>
      <c r="N901" s="2" t="str">
        <f>IFERROR(__xludf.DUMMYFUNCTION("""COMPUTED_VALUE"""),"VERDADERO")</f>
        <v>VERDADERO</v>
      </c>
    </row>
    <row r="902">
      <c r="A902" s="2">
        <f>IFERROR(__xludf.DUMMYFUNCTION("""COMPUTED_VALUE"""),901.0)</f>
        <v>901</v>
      </c>
      <c r="B902" s="2" t="str">
        <f>IFERROR(__xludf.DUMMYFUNCTION("""COMPUTED_VALUE"""),"Mason Djokovic")</f>
        <v>Mason Djokovic</v>
      </c>
      <c r="C902" s="2" t="str">
        <f>IFERROR(__xludf.DUMMYFUNCTION("""COMPUTED_VALUE"""),"mdjokovicp1@nsw.gov.au")</f>
        <v>mdjokovicp1@nsw.gov.au</v>
      </c>
      <c r="D902" s="4">
        <f>IFERROR(__xludf.DUMMYFUNCTION("""COMPUTED_VALUE"""),150.0)</f>
        <v>150</v>
      </c>
      <c r="E902" s="4">
        <f>IFERROR(__xludf.DUMMYFUNCTION("""COMPUTED_VALUE"""),81.0)</f>
        <v>81</v>
      </c>
      <c r="F902" s="4">
        <f>IFERROR(__xludf.DUMMYFUNCTION("""COMPUTED_VALUE"""),2.0)</f>
        <v>2</v>
      </c>
      <c r="G902" s="4">
        <f>IFERROR(__xludf.DUMMYFUNCTION("""COMPUTED_VALUE"""),771.0)</f>
        <v>771</v>
      </c>
      <c r="H902" s="5">
        <f>IFERROR(__xludf.DUMMYFUNCTION("""COMPUTED_VALUE"""),833.42)</f>
        <v>833.42</v>
      </c>
      <c r="I902" s="5">
        <f>IFERROR(__xludf.DUMMYFUNCTION("""COMPUTED_VALUE"""),3484.91)</f>
        <v>3484.91</v>
      </c>
      <c r="J902" s="5">
        <f>IFERROR(__xludf.DUMMYFUNCTION("""COMPUTED_VALUE"""),6856.52)</f>
        <v>6856.52</v>
      </c>
      <c r="K902" s="5">
        <f>IFERROR(__xludf.DUMMYFUNCTION("""COMPUTED_VALUE"""),1992.41)</f>
        <v>1992.41</v>
      </c>
      <c r="L902" s="4">
        <f>IFERROR(__xludf.DUMMYFUNCTION("""COMPUTED_VALUE"""),8.0)</f>
        <v>8</v>
      </c>
      <c r="M902" s="4">
        <f>IFERROR(__xludf.DUMMYFUNCTION("""COMPUTED_VALUE"""),77.0)</f>
        <v>77</v>
      </c>
      <c r="N902" s="2" t="str">
        <f>IFERROR(__xludf.DUMMYFUNCTION("""COMPUTED_VALUE"""),"VERDADERO")</f>
        <v>VERDADERO</v>
      </c>
    </row>
    <row r="903">
      <c r="A903" s="2">
        <f>IFERROR(__xludf.DUMMYFUNCTION("""COMPUTED_VALUE"""),902.0)</f>
        <v>902</v>
      </c>
      <c r="B903" s="2" t="str">
        <f>IFERROR(__xludf.DUMMYFUNCTION("""COMPUTED_VALUE"""),"Sallyann Matyas")</f>
        <v>Sallyann Matyas</v>
      </c>
      <c r="C903" s="2" t="str">
        <f>IFERROR(__xludf.DUMMYFUNCTION("""COMPUTED_VALUE"""),"smatyasp2@imageshack.us")</f>
        <v>smatyasp2@imageshack.us</v>
      </c>
      <c r="D903" s="4">
        <f>IFERROR(__xludf.DUMMYFUNCTION("""COMPUTED_VALUE"""),109.0)</f>
        <v>109</v>
      </c>
      <c r="E903" s="4">
        <f>IFERROR(__xludf.DUMMYFUNCTION("""COMPUTED_VALUE"""),61.0)</f>
        <v>61</v>
      </c>
      <c r="F903" s="4">
        <f>IFERROR(__xludf.DUMMYFUNCTION("""COMPUTED_VALUE"""),4.0)</f>
        <v>4</v>
      </c>
      <c r="G903" s="4">
        <f>IFERROR(__xludf.DUMMYFUNCTION("""COMPUTED_VALUE"""),1123.0)</f>
        <v>1123</v>
      </c>
      <c r="H903" s="5">
        <f>IFERROR(__xludf.DUMMYFUNCTION("""COMPUTED_VALUE"""),5399.68)</f>
        <v>5399.68</v>
      </c>
      <c r="I903" s="5">
        <f>IFERROR(__xludf.DUMMYFUNCTION("""COMPUTED_VALUE"""),9741.4)</f>
        <v>9741.4</v>
      </c>
      <c r="J903" s="5">
        <f>IFERROR(__xludf.DUMMYFUNCTION("""COMPUTED_VALUE"""),9848.2)</f>
        <v>9848.2</v>
      </c>
      <c r="K903" s="5">
        <f>IFERROR(__xludf.DUMMYFUNCTION("""COMPUTED_VALUE"""),3646.6)</f>
        <v>3646.6</v>
      </c>
      <c r="L903" s="4">
        <f>IFERROR(__xludf.DUMMYFUNCTION("""COMPUTED_VALUE"""),18.0)</f>
        <v>18</v>
      </c>
      <c r="M903" s="4">
        <f>IFERROR(__xludf.DUMMYFUNCTION("""COMPUTED_VALUE"""),72.0)</f>
        <v>72</v>
      </c>
      <c r="N903" s="2" t="str">
        <f>IFERROR(__xludf.DUMMYFUNCTION("""COMPUTED_VALUE"""),"FALSO")</f>
        <v>FALSO</v>
      </c>
    </row>
    <row r="904">
      <c r="A904" s="2">
        <f>IFERROR(__xludf.DUMMYFUNCTION("""COMPUTED_VALUE"""),903.0)</f>
        <v>903</v>
      </c>
      <c r="B904" s="2" t="str">
        <f>IFERROR(__xludf.DUMMYFUNCTION("""COMPUTED_VALUE"""),"Kayla Minmagh")</f>
        <v>Kayla Minmagh</v>
      </c>
      <c r="C904" s="2" t="str">
        <f>IFERROR(__xludf.DUMMYFUNCTION("""COMPUTED_VALUE"""),"kminmaghp3@paypal.com")</f>
        <v>kminmaghp3@paypal.com</v>
      </c>
      <c r="D904" s="4">
        <f>IFERROR(__xludf.DUMMYFUNCTION("""COMPUTED_VALUE"""),5.0)</f>
        <v>5</v>
      </c>
      <c r="E904" s="4">
        <f>IFERROR(__xludf.DUMMYFUNCTION("""COMPUTED_VALUE"""),26.0)</f>
        <v>26</v>
      </c>
      <c r="F904" s="4">
        <f>IFERROR(__xludf.DUMMYFUNCTION("""COMPUTED_VALUE"""),11.0)</f>
        <v>11</v>
      </c>
      <c r="G904" s="4">
        <f>IFERROR(__xludf.DUMMYFUNCTION("""COMPUTED_VALUE"""),1294.0)</f>
        <v>1294</v>
      </c>
      <c r="H904" s="5">
        <f>IFERROR(__xludf.DUMMYFUNCTION("""COMPUTED_VALUE"""),7972.53)</f>
        <v>7972.53</v>
      </c>
      <c r="I904" s="5">
        <f>IFERROR(__xludf.DUMMYFUNCTION("""COMPUTED_VALUE"""),2602.59)</f>
        <v>2602.59</v>
      </c>
      <c r="J904" s="5">
        <f>IFERROR(__xludf.DUMMYFUNCTION("""COMPUTED_VALUE"""),5106.08)</f>
        <v>5106.08</v>
      </c>
      <c r="K904" s="5">
        <f>IFERROR(__xludf.DUMMYFUNCTION("""COMPUTED_VALUE"""),2246.35)</f>
        <v>2246.35</v>
      </c>
      <c r="L904" s="4">
        <f>IFERROR(__xludf.DUMMYFUNCTION("""COMPUTED_VALUE"""),19.0)</f>
        <v>19</v>
      </c>
      <c r="M904" s="4">
        <f>IFERROR(__xludf.DUMMYFUNCTION("""COMPUTED_VALUE"""),27.0)</f>
        <v>27</v>
      </c>
      <c r="N904" s="2" t="str">
        <f>IFERROR(__xludf.DUMMYFUNCTION("""COMPUTED_VALUE"""),"FALSO")</f>
        <v>FALSO</v>
      </c>
    </row>
    <row r="905">
      <c r="A905" s="2">
        <f>IFERROR(__xludf.DUMMYFUNCTION("""COMPUTED_VALUE"""),904.0)</f>
        <v>904</v>
      </c>
      <c r="B905" s="2" t="str">
        <f>IFERROR(__xludf.DUMMYFUNCTION("""COMPUTED_VALUE"""),"Rab Elacoate")</f>
        <v>Rab Elacoate</v>
      </c>
      <c r="C905" s="2" t="str">
        <f>IFERROR(__xludf.DUMMYFUNCTION("""COMPUTED_VALUE"""),"relacoatep4@auda.org.au")</f>
        <v>relacoatep4@auda.org.au</v>
      </c>
      <c r="D905" s="4">
        <f>IFERROR(__xludf.DUMMYFUNCTION("""COMPUTED_VALUE"""),29.0)</f>
        <v>29</v>
      </c>
      <c r="E905" s="4">
        <f>IFERROR(__xludf.DUMMYFUNCTION("""COMPUTED_VALUE"""),66.0)</f>
        <v>66</v>
      </c>
      <c r="F905" s="4">
        <f>IFERROR(__xludf.DUMMYFUNCTION("""COMPUTED_VALUE"""),6.0)</f>
        <v>6</v>
      </c>
      <c r="G905" s="4">
        <f>IFERROR(__xludf.DUMMYFUNCTION("""COMPUTED_VALUE"""),182.0)</f>
        <v>182</v>
      </c>
      <c r="H905" s="5">
        <f>IFERROR(__xludf.DUMMYFUNCTION("""COMPUTED_VALUE"""),7754.23)</f>
        <v>7754.23</v>
      </c>
      <c r="I905" s="5">
        <f>IFERROR(__xludf.DUMMYFUNCTION("""COMPUTED_VALUE"""),9870.85)</f>
        <v>9870.85</v>
      </c>
      <c r="J905" s="5">
        <f>IFERROR(__xludf.DUMMYFUNCTION("""COMPUTED_VALUE"""),1000.96)</f>
        <v>1000.96</v>
      </c>
      <c r="K905" s="5">
        <f>IFERROR(__xludf.DUMMYFUNCTION("""COMPUTED_VALUE"""),4964.32)</f>
        <v>4964.32</v>
      </c>
      <c r="L905" s="4">
        <f>IFERROR(__xludf.DUMMYFUNCTION("""COMPUTED_VALUE"""),10.0)</f>
        <v>10</v>
      </c>
      <c r="M905" s="4">
        <f>IFERROR(__xludf.DUMMYFUNCTION("""COMPUTED_VALUE"""),21.0)</f>
        <v>21</v>
      </c>
      <c r="N905" s="2" t="str">
        <f>IFERROR(__xludf.DUMMYFUNCTION("""COMPUTED_VALUE"""),"FALSO")</f>
        <v>FALSO</v>
      </c>
    </row>
    <row r="906">
      <c r="A906" s="2">
        <f>IFERROR(__xludf.DUMMYFUNCTION("""COMPUTED_VALUE"""),905.0)</f>
        <v>905</v>
      </c>
      <c r="B906" s="2" t="str">
        <f>IFERROR(__xludf.DUMMYFUNCTION("""COMPUTED_VALUE"""),"Meredeth Theaker")</f>
        <v>Meredeth Theaker</v>
      </c>
      <c r="C906" s="2" t="str">
        <f>IFERROR(__xludf.DUMMYFUNCTION("""COMPUTED_VALUE"""),"mtheakerp5@hhs.gov")</f>
        <v>mtheakerp5@hhs.gov</v>
      </c>
      <c r="D906" s="4">
        <f>IFERROR(__xludf.DUMMYFUNCTION("""COMPUTED_VALUE"""),121.0)</f>
        <v>121</v>
      </c>
      <c r="E906" s="4">
        <f>IFERROR(__xludf.DUMMYFUNCTION("""COMPUTED_VALUE"""),79.0)</f>
        <v>79</v>
      </c>
      <c r="F906" s="4">
        <f>IFERROR(__xludf.DUMMYFUNCTION("""COMPUTED_VALUE"""),5.0)</f>
        <v>5</v>
      </c>
      <c r="G906" s="4">
        <f>IFERROR(__xludf.DUMMYFUNCTION("""COMPUTED_VALUE"""),902.0)</f>
        <v>902</v>
      </c>
      <c r="H906" s="5">
        <f>IFERROR(__xludf.DUMMYFUNCTION("""COMPUTED_VALUE"""),1908.37)</f>
        <v>1908.37</v>
      </c>
      <c r="I906" s="5">
        <f>IFERROR(__xludf.DUMMYFUNCTION("""COMPUTED_VALUE"""),3103.06)</f>
        <v>3103.06</v>
      </c>
      <c r="J906" s="5">
        <f>IFERROR(__xludf.DUMMYFUNCTION("""COMPUTED_VALUE"""),1995.2)</f>
        <v>1995.2</v>
      </c>
      <c r="K906" s="5">
        <f>IFERROR(__xludf.DUMMYFUNCTION("""COMPUTED_VALUE"""),4127.58)</f>
        <v>4127.58</v>
      </c>
      <c r="L906" s="4">
        <f>IFERROR(__xludf.DUMMYFUNCTION("""COMPUTED_VALUE"""),18.0)</f>
        <v>18</v>
      </c>
      <c r="M906" s="4">
        <f>IFERROR(__xludf.DUMMYFUNCTION("""COMPUTED_VALUE"""),91.0)</f>
        <v>91</v>
      </c>
      <c r="N906" s="2" t="str">
        <f>IFERROR(__xludf.DUMMYFUNCTION("""COMPUTED_VALUE"""),"FALSO")</f>
        <v>FALSO</v>
      </c>
    </row>
    <row r="907">
      <c r="A907" s="2">
        <f>IFERROR(__xludf.DUMMYFUNCTION("""COMPUTED_VALUE"""),906.0)</f>
        <v>906</v>
      </c>
      <c r="B907" s="2" t="str">
        <f>IFERROR(__xludf.DUMMYFUNCTION("""COMPUTED_VALUE"""),"Ebeneser MacAnespie")</f>
        <v>Ebeneser MacAnespie</v>
      </c>
      <c r="C907" s="2" t="str">
        <f>IFERROR(__xludf.DUMMYFUNCTION("""COMPUTED_VALUE"""),"emacanespiep6@google.it")</f>
        <v>emacanespiep6@google.it</v>
      </c>
      <c r="D907" s="4">
        <f>IFERROR(__xludf.DUMMYFUNCTION("""COMPUTED_VALUE"""),150.0)</f>
        <v>150</v>
      </c>
      <c r="E907" s="4">
        <f>IFERROR(__xludf.DUMMYFUNCTION("""COMPUTED_VALUE"""),54.0)</f>
        <v>54</v>
      </c>
      <c r="F907" s="4">
        <f>IFERROR(__xludf.DUMMYFUNCTION("""COMPUTED_VALUE"""),5.0)</f>
        <v>5</v>
      </c>
      <c r="G907" s="4">
        <f>IFERROR(__xludf.DUMMYFUNCTION("""COMPUTED_VALUE"""),372.0)</f>
        <v>372</v>
      </c>
      <c r="H907" s="5">
        <f>IFERROR(__xludf.DUMMYFUNCTION("""COMPUTED_VALUE"""),9777.98)</f>
        <v>9777.98</v>
      </c>
      <c r="I907" s="5">
        <f>IFERROR(__xludf.DUMMYFUNCTION("""COMPUTED_VALUE"""),5141.41)</f>
        <v>5141.41</v>
      </c>
      <c r="J907" s="5">
        <f>IFERROR(__xludf.DUMMYFUNCTION("""COMPUTED_VALUE"""),1703.34)</f>
        <v>1703.34</v>
      </c>
      <c r="K907" s="5">
        <f>IFERROR(__xludf.DUMMYFUNCTION("""COMPUTED_VALUE"""),9782.4)</f>
        <v>9782.4</v>
      </c>
      <c r="L907" s="4">
        <f>IFERROR(__xludf.DUMMYFUNCTION("""COMPUTED_VALUE"""),7.0)</f>
        <v>7</v>
      </c>
      <c r="M907" s="4">
        <f>IFERROR(__xludf.DUMMYFUNCTION("""COMPUTED_VALUE"""),60.0)</f>
        <v>60</v>
      </c>
      <c r="N907" s="2" t="str">
        <f>IFERROR(__xludf.DUMMYFUNCTION("""COMPUTED_VALUE"""),"FALSO")</f>
        <v>FALSO</v>
      </c>
    </row>
    <row r="908">
      <c r="A908" s="2">
        <f>IFERROR(__xludf.DUMMYFUNCTION("""COMPUTED_VALUE"""),907.0)</f>
        <v>907</v>
      </c>
      <c r="B908" s="2" t="str">
        <f>IFERROR(__xludf.DUMMYFUNCTION("""COMPUTED_VALUE"""),"Morse Tuff")</f>
        <v>Morse Tuff</v>
      </c>
      <c r="C908" s="2" t="str">
        <f>IFERROR(__xludf.DUMMYFUNCTION("""COMPUTED_VALUE"""),"mtuffp7@google.com")</f>
        <v>mtuffp7@google.com</v>
      </c>
      <c r="D908" s="4">
        <f>IFERROR(__xludf.DUMMYFUNCTION("""COMPUTED_VALUE"""),17.0)</f>
        <v>17</v>
      </c>
      <c r="E908" s="4">
        <f>IFERROR(__xludf.DUMMYFUNCTION("""COMPUTED_VALUE"""),54.0)</f>
        <v>54</v>
      </c>
      <c r="F908" s="4">
        <f>IFERROR(__xludf.DUMMYFUNCTION("""COMPUTED_VALUE"""),9.0)</f>
        <v>9</v>
      </c>
      <c r="G908" s="4">
        <f>IFERROR(__xludf.DUMMYFUNCTION("""COMPUTED_VALUE"""),683.0)</f>
        <v>683</v>
      </c>
      <c r="H908" s="5">
        <f>IFERROR(__xludf.DUMMYFUNCTION("""COMPUTED_VALUE"""),7918.49)</f>
        <v>7918.49</v>
      </c>
      <c r="I908" s="5">
        <f>IFERROR(__xludf.DUMMYFUNCTION("""COMPUTED_VALUE"""),3639.6)</f>
        <v>3639.6</v>
      </c>
      <c r="J908" s="5">
        <f>IFERROR(__xludf.DUMMYFUNCTION("""COMPUTED_VALUE"""),3073.49)</f>
        <v>3073.49</v>
      </c>
      <c r="K908" s="5">
        <f>IFERROR(__xludf.DUMMYFUNCTION("""COMPUTED_VALUE"""),1302.99)</f>
        <v>1302.99</v>
      </c>
      <c r="L908" s="4">
        <f>IFERROR(__xludf.DUMMYFUNCTION("""COMPUTED_VALUE"""),20.0)</f>
        <v>20</v>
      </c>
      <c r="M908" s="4">
        <f>IFERROR(__xludf.DUMMYFUNCTION("""COMPUTED_VALUE"""),84.0)</f>
        <v>84</v>
      </c>
      <c r="N908" s="2" t="str">
        <f>IFERROR(__xludf.DUMMYFUNCTION("""COMPUTED_VALUE"""),"VERDADERO")</f>
        <v>VERDADERO</v>
      </c>
    </row>
    <row r="909">
      <c r="A909" s="2">
        <f>IFERROR(__xludf.DUMMYFUNCTION("""COMPUTED_VALUE"""),908.0)</f>
        <v>908</v>
      </c>
      <c r="B909" s="2" t="str">
        <f>IFERROR(__xludf.DUMMYFUNCTION("""COMPUTED_VALUE"""),"De Brecknell")</f>
        <v>De Brecknell</v>
      </c>
      <c r="C909" s="2" t="str">
        <f>IFERROR(__xludf.DUMMYFUNCTION("""COMPUTED_VALUE"""),"dbrecknellp8@posterous.com")</f>
        <v>dbrecknellp8@posterous.com</v>
      </c>
      <c r="D909" s="4">
        <f>IFERROR(__xludf.DUMMYFUNCTION("""COMPUTED_VALUE"""),73.0)</f>
        <v>73</v>
      </c>
      <c r="E909" s="4">
        <f>IFERROR(__xludf.DUMMYFUNCTION("""COMPUTED_VALUE"""),85.0)</f>
        <v>85</v>
      </c>
      <c r="F909" s="4">
        <f>IFERROR(__xludf.DUMMYFUNCTION("""COMPUTED_VALUE"""),3.0)</f>
        <v>3</v>
      </c>
      <c r="G909" s="4">
        <f>IFERROR(__xludf.DUMMYFUNCTION("""COMPUTED_VALUE"""),176.0)</f>
        <v>176</v>
      </c>
      <c r="H909" s="5">
        <f>IFERROR(__xludf.DUMMYFUNCTION("""COMPUTED_VALUE"""),1677.51)</f>
        <v>1677.51</v>
      </c>
      <c r="I909" s="5">
        <f>IFERROR(__xludf.DUMMYFUNCTION("""COMPUTED_VALUE"""),9023.73)</f>
        <v>9023.73</v>
      </c>
      <c r="J909" s="5">
        <f>IFERROR(__xludf.DUMMYFUNCTION("""COMPUTED_VALUE"""),9937.62)</f>
        <v>9937.62</v>
      </c>
      <c r="K909" s="5">
        <f>IFERROR(__xludf.DUMMYFUNCTION("""COMPUTED_VALUE"""),3113.03)</f>
        <v>3113.03</v>
      </c>
      <c r="L909" s="4">
        <f>IFERROR(__xludf.DUMMYFUNCTION("""COMPUTED_VALUE"""),4.0)</f>
        <v>4</v>
      </c>
      <c r="M909" s="4">
        <f>IFERROR(__xludf.DUMMYFUNCTION("""COMPUTED_VALUE"""),86.0)</f>
        <v>86</v>
      </c>
      <c r="N909" s="2" t="str">
        <f>IFERROR(__xludf.DUMMYFUNCTION("""COMPUTED_VALUE"""),"FALSO")</f>
        <v>FALSO</v>
      </c>
    </row>
    <row r="910">
      <c r="A910" s="2">
        <f>IFERROR(__xludf.DUMMYFUNCTION("""COMPUTED_VALUE"""),909.0)</f>
        <v>909</v>
      </c>
      <c r="B910" s="2" t="str">
        <f>IFERROR(__xludf.DUMMYFUNCTION("""COMPUTED_VALUE"""),"Nikita O'Cannavan")</f>
        <v>Nikita O'Cannavan</v>
      </c>
      <c r="C910" s="2" t="str">
        <f>IFERROR(__xludf.DUMMYFUNCTION("""COMPUTED_VALUE"""),"nocannavanp9@cbc.ca")</f>
        <v>nocannavanp9@cbc.ca</v>
      </c>
      <c r="D910" s="4">
        <f>IFERROR(__xludf.DUMMYFUNCTION("""COMPUTED_VALUE"""),49.0)</f>
        <v>49</v>
      </c>
      <c r="E910" s="4">
        <f>IFERROR(__xludf.DUMMYFUNCTION("""COMPUTED_VALUE"""),64.0)</f>
        <v>64</v>
      </c>
      <c r="F910" s="4">
        <f>IFERROR(__xludf.DUMMYFUNCTION("""COMPUTED_VALUE"""),4.0)</f>
        <v>4</v>
      </c>
      <c r="G910" s="4">
        <f>IFERROR(__xludf.DUMMYFUNCTION("""COMPUTED_VALUE"""),173.0)</f>
        <v>173</v>
      </c>
      <c r="H910" s="5">
        <f>IFERROR(__xludf.DUMMYFUNCTION("""COMPUTED_VALUE"""),4344.43)</f>
        <v>4344.43</v>
      </c>
      <c r="I910" s="5">
        <f>IFERROR(__xludf.DUMMYFUNCTION("""COMPUTED_VALUE"""),4969.99)</f>
        <v>4969.99</v>
      </c>
      <c r="J910" s="5">
        <f>IFERROR(__xludf.DUMMYFUNCTION("""COMPUTED_VALUE"""),1537.35)</f>
        <v>1537.35</v>
      </c>
      <c r="K910" s="5">
        <f>IFERROR(__xludf.DUMMYFUNCTION("""COMPUTED_VALUE"""),3182.65)</f>
        <v>3182.65</v>
      </c>
      <c r="L910" s="4">
        <f>IFERROR(__xludf.DUMMYFUNCTION("""COMPUTED_VALUE"""),12.0)</f>
        <v>12</v>
      </c>
      <c r="M910" s="4">
        <f>IFERROR(__xludf.DUMMYFUNCTION("""COMPUTED_VALUE"""),62.0)</f>
        <v>62</v>
      </c>
      <c r="N910" s="2" t="str">
        <f>IFERROR(__xludf.DUMMYFUNCTION("""COMPUTED_VALUE"""),"FALSO")</f>
        <v>FALSO</v>
      </c>
    </row>
    <row r="911">
      <c r="A911" s="2">
        <f>IFERROR(__xludf.DUMMYFUNCTION("""COMPUTED_VALUE"""),910.0)</f>
        <v>910</v>
      </c>
      <c r="B911" s="2" t="str">
        <f>IFERROR(__xludf.DUMMYFUNCTION("""COMPUTED_VALUE"""),"Dianna Schuler")</f>
        <v>Dianna Schuler</v>
      </c>
      <c r="C911" s="2" t="str">
        <f>IFERROR(__xludf.DUMMYFUNCTION("""COMPUTED_VALUE"""),"dschulerpa@sphinn.com")</f>
        <v>dschulerpa@sphinn.com</v>
      </c>
      <c r="D911" s="4">
        <f>IFERROR(__xludf.DUMMYFUNCTION("""COMPUTED_VALUE"""),15.0)</f>
        <v>15</v>
      </c>
      <c r="E911" s="4">
        <f>IFERROR(__xludf.DUMMYFUNCTION("""COMPUTED_VALUE"""),81.0)</f>
        <v>81</v>
      </c>
      <c r="F911" s="4">
        <f>IFERROR(__xludf.DUMMYFUNCTION("""COMPUTED_VALUE"""),2.0)</f>
        <v>2</v>
      </c>
      <c r="G911" s="4">
        <f>IFERROR(__xludf.DUMMYFUNCTION("""COMPUTED_VALUE"""),224.0)</f>
        <v>224</v>
      </c>
      <c r="H911" s="5">
        <f>IFERROR(__xludf.DUMMYFUNCTION("""COMPUTED_VALUE"""),1383.65)</f>
        <v>1383.65</v>
      </c>
      <c r="I911" s="5">
        <f>IFERROR(__xludf.DUMMYFUNCTION("""COMPUTED_VALUE"""),8679.46)</f>
        <v>8679.46</v>
      </c>
      <c r="J911" s="5">
        <f>IFERROR(__xludf.DUMMYFUNCTION("""COMPUTED_VALUE"""),9867.47)</f>
        <v>9867.47</v>
      </c>
      <c r="K911" s="5">
        <f>IFERROR(__xludf.DUMMYFUNCTION("""COMPUTED_VALUE"""),1904.04)</f>
        <v>1904.04</v>
      </c>
      <c r="L911" s="4">
        <f>IFERROR(__xludf.DUMMYFUNCTION("""COMPUTED_VALUE"""),10.0)</f>
        <v>10</v>
      </c>
      <c r="M911" s="4">
        <f>IFERROR(__xludf.DUMMYFUNCTION("""COMPUTED_VALUE"""),92.0)</f>
        <v>92</v>
      </c>
      <c r="N911" s="2" t="str">
        <f>IFERROR(__xludf.DUMMYFUNCTION("""COMPUTED_VALUE"""),"FALSO")</f>
        <v>FALSO</v>
      </c>
    </row>
    <row r="912">
      <c r="A912" s="2">
        <f>IFERROR(__xludf.DUMMYFUNCTION("""COMPUTED_VALUE"""),911.0)</f>
        <v>911</v>
      </c>
      <c r="B912" s="2" t="str">
        <f>IFERROR(__xludf.DUMMYFUNCTION("""COMPUTED_VALUE"""),"Rustie McCromley")</f>
        <v>Rustie McCromley</v>
      </c>
      <c r="C912" s="2" t="str">
        <f>IFERROR(__xludf.DUMMYFUNCTION("""COMPUTED_VALUE"""),"rmccromleypb@mashable.com")</f>
        <v>rmccromleypb@mashable.com</v>
      </c>
      <c r="D912" s="4">
        <f>IFERROR(__xludf.DUMMYFUNCTION("""COMPUTED_VALUE"""),85.0)</f>
        <v>85</v>
      </c>
      <c r="E912" s="4">
        <f>IFERROR(__xludf.DUMMYFUNCTION("""COMPUTED_VALUE"""),29.0)</f>
        <v>29</v>
      </c>
      <c r="F912" s="4">
        <f>IFERROR(__xludf.DUMMYFUNCTION("""COMPUTED_VALUE"""),11.0)</f>
        <v>11</v>
      </c>
      <c r="G912" s="4">
        <f>IFERROR(__xludf.DUMMYFUNCTION("""COMPUTED_VALUE"""),157.0)</f>
        <v>157</v>
      </c>
      <c r="H912" s="5">
        <f>IFERROR(__xludf.DUMMYFUNCTION("""COMPUTED_VALUE"""),7007.72)</f>
        <v>7007.72</v>
      </c>
      <c r="I912" s="5">
        <f>IFERROR(__xludf.DUMMYFUNCTION("""COMPUTED_VALUE"""),1784.6)</f>
        <v>1784.6</v>
      </c>
      <c r="J912" s="5">
        <f>IFERROR(__xludf.DUMMYFUNCTION("""COMPUTED_VALUE"""),9208.33)</f>
        <v>9208.33</v>
      </c>
      <c r="K912" s="5">
        <f>IFERROR(__xludf.DUMMYFUNCTION("""COMPUTED_VALUE"""),3280.87)</f>
        <v>3280.87</v>
      </c>
      <c r="L912" s="4">
        <f>IFERROR(__xludf.DUMMYFUNCTION("""COMPUTED_VALUE"""),13.0)</f>
        <v>13</v>
      </c>
      <c r="M912" s="4">
        <f>IFERROR(__xludf.DUMMYFUNCTION("""COMPUTED_VALUE"""),86.0)</f>
        <v>86</v>
      </c>
      <c r="N912" s="2" t="str">
        <f>IFERROR(__xludf.DUMMYFUNCTION("""COMPUTED_VALUE"""),"VERDADERO")</f>
        <v>VERDADERO</v>
      </c>
    </row>
    <row r="913">
      <c r="A913" s="2">
        <f>IFERROR(__xludf.DUMMYFUNCTION("""COMPUTED_VALUE"""),912.0)</f>
        <v>912</v>
      </c>
      <c r="B913" s="2" t="str">
        <f>IFERROR(__xludf.DUMMYFUNCTION("""COMPUTED_VALUE"""),"Murray Dalgarnocht")</f>
        <v>Murray Dalgarnocht</v>
      </c>
      <c r="C913" s="2" t="str">
        <f>IFERROR(__xludf.DUMMYFUNCTION("""COMPUTED_VALUE"""),"mdalgarnochtpc@4shared.com")</f>
        <v>mdalgarnochtpc@4shared.com</v>
      </c>
      <c r="D913" s="4">
        <f>IFERROR(__xludf.DUMMYFUNCTION("""COMPUTED_VALUE"""),120.0)</f>
        <v>120</v>
      </c>
      <c r="E913" s="4">
        <f>IFERROR(__xludf.DUMMYFUNCTION("""COMPUTED_VALUE"""),64.0)</f>
        <v>64</v>
      </c>
      <c r="F913" s="4">
        <f>IFERROR(__xludf.DUMMYFUNCTION("""COMPUTED_VALUE"""),4.0)</f>
        <v>4</v>
      </c>
      <c r="G913" s="4">
        <f>IFERROR(__xludf.DUMMYFUNCTION("""COMPUTED_VALUE"""),688.0)</f>
        <v>688</v>
      </c>
      <c r="H913" s="5">
        <f>IFERROR(__xludf.DUMMYFUNCTION("""COMPUTED_VALUE"""),5018.01)</f>
        <v>5018.01</v>
      </c>
      <c r="I913" s="5">
        <f>IFERROR(__xludf.DUMMYFUNCTION("""COMPUTED_VALUE"""),7557.5)</f>
        <v>7557.5</v>
      </c>
      <c r="J913" s="5">
        <f>IFERROR(__xludf.DUMMYFUNCTION("""COMPUTED_VALUE"""),9829.6)</f>
        <v>9829.6</v>
      </c>
      <c r="K913" s="5">
        <f>IFERROR(__xludf.DUMMYFUNCTION("""COMPUTED_VALUE"""),8899.74)</f>
        <v>8899.74</v>
      </c>
      <c r="L913" s="4">
        <f>IFERROR(__xludf.DUMMYFUNCTION("""COMPUTED_VALUE"""),4.0)</f>
        <v>4</v>
      </c>
      <c r="M913" s="4">
        <f>IFERROR(__xludf.DUMMYFUNCTION("""COMPUTED_VALUE"""),9.0)</f>
        <v>9</v>
      </c>
      <c r="N913" s="2" t="str">
        <f>IFERROR(__xludf.DUMMYFUNCTION("""COMPUTED_VALUE"""),"FALSO")</f>
        <v>FALSO</v>
      </c>
    </row>
    <row r="914">
      <c r="A914" s="2">
        <f>IFERROR(__xludf.DUMMYFUNCTION("""COMPUTED_VALUE"""),913.0)</f>
        <v>913</v>
      </c>
      <c r="B914" s="2" t="str">
        <f>IFERROR(__xludf.DUMMYFUNCTION("""COMPUTED_VALUE"""),"Ignacius Sommerfeld")</f>
        <v>Ignacius Sommerfeld</v>
      </c>
      <c r="C914" s="2" t="str">
        <f>IFERROR(__xludf.DUMMYFUNCTION("""COMPUTED_VALUE"""),"isommerfeldpd@berkeley.edu")</f>
        <v>isommerfeldpd@berkeley.edu</v>
      </c>
      <c r="D914" s="4">
        <f>IFERROR(__xludf.DUMMYFUNCTION("""COMPUTED_VALUE"""),128.0)</f>
        <v>128</v>
      </c>
      <c r="E914" s="4">
        <f>IFERROR(__xludf.DUMMYFUNCTION("""COMPUTED_VALUE"""),73.0)</f>
        <v>73</v>
      </c>
      <c r="F914" s="4">
        <f>IFERROR(__xludf.DUMMYFUNCTION("""COMPUTED_VALUE"""),3.0)</f>
        <v>3</v>
      </c>
      <c r="G914" s="4">
        <f>IFERROR(__xludf.DUMMYFUNCTION("""COMPUTED_VALUE"""),1363.0)</f>
        <v>1363</v>
      </c>
      <c r="H914" s="5">
        <f>IFERROR(__xludf.DUMMYFUNCTION("""COMPUTED_VALUE"""),1778.92)</f>
        <v>1778.92</v>
      </c>
      <c r="I914" s="5">
        <f>IFERROR(__xludf.DUMMYFUNCTION("""COMPUTED_VALUE"""),601.93)</f>
        <v>601.93</v>
      </c>
      <c r="J914" s="5">
        <f>IFERROR(__xludf.DUMMYFUNCTION("""COMPUTED_VALUE"""),7230.14)</f>
        <v>7230.14</v>
      </c>
      <c r="K914" s="5">
        <f>IFERROR(__xludf.DUMMYFUNCTION("""COMPUTED_VALUE"""),110.74)</f>
        <v>110.74</v>
      </c>
      <c r="L914" s="4">
        <f>IFERROR(__xludf.DUMMYFUNCTION("""COMPUTED_VALUE"""),16.0)</f>
        <v>16</v>
      </c>
      <c r="M914" s="4">
        <f>IFERROR(__xludf.DUMMYFUNCTION("""COMPUTED_VALUE"""),60.0)</f>
        <v>60</v>
      </c>
      <c r="N914" s="2" t="str">
        <f>IFERROR(__xludf.DUMMYFUNCTION("""COMPUTED_VALUE"""),"VERDADERO")</f>
        <v>VERDADERO</v>
      </c>
    </row>
    <row r="915">
      <c r="A915" s="2">
        <f>IFERROR(__xludf.DUMMYFUNCTION("""COMPUTED_VALUE"""),914.0)</f>
        <v>914</v>
      </c>
      <c r="B915" s="2" t="str">
        <f>IFERROR(__xludf.DUMMYFUNCTION("""COMPUTED_VALUE"""),"Wolf Waite")</f>
        <v>Wolf Waite</v>
      </c>
      <c r="C915" s="2" t="str">
        <f>IFERROR(__xludf.DUMMYFUNCTION("""COMPUTED_VALUE"""),"wwaitepe@slideshare.net")</f>
        <v>wwaitepe@slideshare.net</v>
      </c>
      <c r="D915" s="4">
        <f>IFERROR(__xludf.DUMMYFUNCTION("""COMPUTED_VALUE"""),17.0)</f>
        <v>17</v>
      </c>
      <c r="E915" s="4">
        <f>IFERROR(__xludf.DUMMYFUNCTION("""COMPUTED_VALUE"""),81.0)</f>
        <v>81</v>
      </c>
      <c r="F915" s="4">
        <f>IFERROR(__xludf.DUMMYFUNCTION("""COMPUTED_VALUE"""),2.0)</f>
        <v>2</v>
      </c>
      <c r="G915" s="4">
        <f>IFERROR(__xludf.DUMMYFUNCTION("""COMPUTED_VALUE"""),1504.0)</f>
        <v>1504</v>
      </c>
      <c r="H915" s="5">
        <f>IFERROR(__xludf.DUMMYFUNCTION("""COMPUTED_VALUE"""),6911.73)</f>
        <v>6911.73</v>
      </c>
      <c r="I915" s="5">
        <f>IFERROR(__xludf.DUMMYFUNCTION("""COMPUTED_VALUE"""),328.78)</f>
        <v>328.78</v>
      </c>
      <c r="J915" s="5">
        <f>IFERROR(__xludf.DUMMYFUNCTION("""COMPUTED_VALUE"""),8909.53)</f>
        <v>8909.53</v>
      </c>
      <c r="K915" s="5">
        <f>IFERROR(__xludf.DUMMYFUNCTION("""COMPUTED_VALUE"""),4126.51)</f>
        <v>4126.51</v>
      </c>
      <c r="L915" s="4">
        <f>IFERROR(__xludf.DUMMYFUNCTION("""COMPUTED_VALUE"""),8.0)</f>
        <v>8</v>
      </c>
      <c r="M915" s="4">
        <f>IFERROR(__xludf.DUMMYFUNCTION("""COMPUTED_VALUE"""),85.0)</f>
        <v>85</v>
      </c>
      <c r="N915" s="2" t="str">
        <f>IFERROR(__xludf.DUMMYFUNCTION("""COMPUTED_VALUE"""),"FALSO")</f>
        <v>FALSO</v>
      </c>
    </row>
    <row r="916">
      <c r="A916" s="2">
        <f>IFERROR(__xludf.DUMMYFUNCTION("""COMPUTED_VALUE"""),915.0)</f>
        <v>915</v>
      </c>
      <c r="B916" s="2" t="str">
        <f>IFERROR(__xludf.DUMMYFUNCTION("""COMPUTED_VALUE"""),"Helenelizabeth Upchurch")</f>
        <v>Helenelizabeth Upchurch</v>
      </c>
      <c r="C916" s="2" t="str">
        <f>IFERROR(__xludf.DUMMYFUNCTION("""COMPUTED_VALUE"""),"hupchurchpf@reuters.com")</f>
        <v>hupchurchpf@reuters.com</v>
      </c>
      <c r="D916" s="4">
        <f>IFERROR(__xludf.DUMMYFUNCTION("""COMPUTED_VALUE"""),124.0)</f>
        <v>124</v>
      </c>
      <c r="E916" s="4">
        <f>IFERROR(__xludf.DUMMYFUNCTION("""COMPUTED_VALUE"""),21.0)</f>
        <v>21</v>
      </c>
      <c r="F916" s="4">
        <f>IFERROR(__xludf.DUMMYFUNCTION("""COMPUTED_VALUE"""),4.0)</f>
        <v>4</v>
      </c>
      <c r="G916" s="4">
        <f>IFERROR(__xludf.DUMMYFUNCTION("""COMPUTED_VALUE"""),907.0)</f>
        <v>907</v>
      </c>
      <c r="H916" s="5">
        <f>IFERROR(__xludf.DUMMYFUNCTION("""COMPUTED_VALUE"""),2925.32)</f>
        <v>2925.32</v>
      </c>
      <c r="I916" s="5">
        <f>IFERROR(__xludf.DUMMYFUNCTION("""COMPUTED_VALUE"""),8060.6)</f>
        <v>8060.6</v>
      </c>
      <c r="J916" s="5">
        <f>IFERROR(__xludf.DUMMYFUNCTION("""COMPUTED_VALUE"""),7285.51)</f>
        <v>7285.51</v>
      </c>
      <c r="K916" s="5">
        <f>IFERROR(__xludf.DUMMYFUNCTION("""COMPUTED_VALUE"""),6710.15)</f>
        <v>6710.15</v>
      </c>
      <c r="L916" s="4">
        <f>IFERROR(__xludf.DUMMYFUNCTION("""COMPUTED_VALUE"""),16.0)</f>
        <v>16</v>
      </c>
      <c r="M916" s="4">
        <f>IFERROR(__xludf.DUMMYFUNCTION("""COMPUTED_VALUE"""),76.0)</f>
        <v>76</v>
      </c>
      <c r="N916" s="2" t="str">
        <f>IFERROR(__xludf.DUMMYFUNCTION("""COMPUTED_VALUE"""),"VERDADERO")</f>
        <v>VERDADERO</v>
      </c>
    </row>
    <row r="917">
      <c r="A917" s="2">
        <f>IFERROR(__xludf.DUMMYFUNCTION("""COMPUTED_VALUE"""),916.0)</f>
        <v>916</v>
      </c>
      <c r="B917" s="2" t="str">
        <f>IFERROR(__xludf.DUMMYFUNCTION("""COMPUTED_VALUE"""),"Lolly Howroyd")</f>
        <v>Lolly Howroyd</v>
      </c>
      <c r="C917" s="2" t="str">
        <f>IFERROR(__xludf.DUMMYFUNCTION("""COMPUTED_VALUE"""),"lhowroydpg@squarespace.com")</f>
        <v>lhowroydpg@squarespace.com</v>
      </c>
      <c r="D917" s="4">
        <f>IFERROR(__xludf.DUMMYFUNCTION("""COMPUTED_VALUE"""),29.0)</f>
        <v>29</v>
      </c>
      <c r="E917" s="4">
        <f>IFERROR(__xludf.DUMMYFUNCTION("""COMPUTED_VALUE"""),81.0)</f>
        <v>81</v>
      </c>
      <c r="F917" s="4">
        <f>IFERROR(__xludf.DUMMYFUNCTION("""COMPUTED_VALUE"""),2.0)</f>
        <v>2</v>
      </c>
      <c r="G917" s="4">
        <f>IFERROR(__xludf.DUMMYFUNCTION("""COMPUTED_VALUE"""),576.0)</f>
        <v>576</v>
      </c>
      <c r="H917" s="5">
        <f>IFERROR(__xludf.DUMMYFUNCTION("""COMPUTED_VALUE"""),2954.58)</f>
        <v>2954.58</v>
      </c>
      <c r="I917" s="5">
        <f>IFERROR(__xludf.DUMMYFUNCTION("""COMPUTED_VALUE"""),1931.29)</f>
        <v>1931.29</v>
      </c>
      <c r="J917" s="5">
        <f>IFERROR(__xludf.DUMMYFUNCTION("""COMPUTED_VALUE"""),3429.66)</f>
        <v>3429.66</v>
      </c>
      <c r="K917" s="5">
        <f>IFERROR(__xludf.DUMMYFUNCTION("""COMPUTED_VALUE"""),7957.32)</f>
        <v>7957.32</v>
      </c>
      <c r="L917" s="4">
        <f>IFERROR(__xludf.DUMMYFUNCTION("""COMPUTED_VALUE"""),9.0)</f>
        <v>9</v>
      </c>
      <c r="M917" s="4">
        <f>IFERROR(__xludf.DUMMYFUNCTION("""COMPUTED_VALUE"""),58.0)</f>
        <v>58</v>
      </c>
      <c r="N917" s="2" t="str">
        <f>IFERROR(__xludf.DUMMYFUNCTION("""COMPUTED_VALUE"""),"FALSO")</f>
        <v>FALSO</v>
      </c>
    </row>
    <row r="918">
      <c r="A918" s="2">
        <f>IFERROR(__xludf.DUMMYFUNCTION("""COMPUTED_VALUE"""),917.0)</f>
        <v>917</v>
      </c>
      <c r="B918" s="2" t="str">
        <f>IFERROR(__xludf.DUMMYFUNCTION("""COMPUTED_VALUE"""),"Eduino Regitz")</f>
        <v>Eduino Regitz</v>
      </c>
      <c r="C918" s="2" t="str">
        <f>IFERROR(__xludf.DUMMYFUNCTION("""COMPUTED_VALUE"""),"eregitzph@xrea.com")</f>
        <v>eregitzph@xrea.com</v>
      </c>
      <c r="D918" s="4">
        <f>IFERROR(__xludf.DUMMYFUNCTION("""COMPUTED_VALUE"""),29.0)</f>
        <v>29</v>
      </c>
      <c r="E918" s="4">
        <f>IFERROR(__xludf.DUMMYFUNCTION("""COMPUTED_VALUE"""),81.0)</f>
        <v>81</v>
      </c>
      <c r="F918" s="4">
        <f>IFERROR(__xludf.DUMMYFUNCTION("""COMPUTED_VALUE"""),2.0)</f>
        <v>2</v>
      </c>
      <c r="G918" s="4">
        <f>IFERROR(__xludf.DUMMYFUNCTION("""COMPUTED_VALUE"""),53.0)</f>
        <v>53</v>
      </c>
      <c r="H918" s="5">
        <f>IFERROR(__xludf.DUMMYFUNCTION("""COMPUTED_VALUE"""),131.47)</f>
        <v>131.47</v>
      </c>
      <c r="I918" s="5">
        <f>IFERROR(__xludf.DUMMYFUNCTION("""COMPUTED_VALUE"""),5524.44)</f>
        <v>5524.44</v>
      </c>
      <c r="J918" s="5">
        <f>IFERROR(__xludf.DUMMYFUNCTION("""COMPUTED_VALUE"""),7286.03)</f>
        <v>7286.03</v>
      </c>
      <c r="K918" s="5">
        <f>IFERROR(__xludf.DUMMYFUNCTION("""COMPUTED_VALUE"""),7455.6)</f>
        <v>7455.6</v>
      </c>
      <c r="L918" s="4">
        <f>IFERROR(__xludf.DUMMYFUNCTION("""COMPUTED_VALUE"""),6.0)</f>
        <v>6</v>
      </c>
      <c r="M918" s="4">
        <f>IFERROR(__xludf.DUMMYFUNCTION("""COMPUTED_VALUE"""),62.0)</f>
        <v>62</v>
      </c>
      <c r="N918" s="2" t="str">
        <f>IFERROR(__xludf.DUMMYFUNCTION("""COMPUTED_VALUE"""),"VERDADERO")</f>
        <v>VERDADERO</v>
      </c>
    </row>
    <row r="919">
      <c r="A919" s="2">
        <f>IFERROR(__xludf.DUMMYFUNCTION("""COMPUTED_VALUE"""),918.0)</f>
        <v>918</v>
      </c>
      <c r="B919" s="2" t="str">
        <f>IFERROR(__xludf.DUMMYFUNCTION("""COMPUTED_VALUE"""),"Cherilyn Jedraszczyk")</f>
        <v>Cherilyn Jedraszczyk</v>
      </c>
      <c r="C919" s="2" t="str">
        <f>IFERROR(__xludf.DUMMYFUNCTION("""COMPUTED_VALUE"""),"cjedraszczykpi@nhs.uk")</f>
        <v>cjedraszczykpi@nhs.uk</v>
      </c>
      <c r="D919" s="4">
        <f>IFERROR(__xludf.DUMMYFUNCTION("""COMPUTED_VALUE"""),153.0)</f>
        <v>153</v>
      </c>
      <c r="E919" s="4">
        <f>IFERROR(__xludf.DUMMYFUNCTION("""COMPUTED_VALUE"""),85.0)</f>
        <v>85</v>
      </c>
      <c r="F919" s="4">
        <f>IFERROR(__xludf.DUMMYFUNCTION("""COMPUTED_VALUE"""),3.0)</f>
        <v>3</v>
      </c>
      <c r="G919" s="4">
        <f>IFERROR(__xludf.DUMMYFUNCTION("""COMPUTED_VALUE"""),472.0)</f>
        <v>472</v>
      </c>
      <c r="H919" s="5">
        <f>IFERROR(__xludf.DUMMYFUNCTION("""COMPUTED_VALUE"""),9168.6)</f>
        <v>9168.6</v>
      </c>
      <c r="I919" s="5">
        <f>IFERROR(__xludf.DUMMYFUNCTION("""COMPUTED_VALUE"""),3588.0)</f>
        <v>3588</v>
      </c>
      <c r="J919" s="5">
        <f>IFERROR(__xludf.DUMMYFUNCTION("""COMPUTED_VALUE"""),7133.98)</f>
        <v>7133.98</v>
      </c>
      <c r="K919" s="5">
        <f>IFERROR(__xludf.DUMMYFUNCTION("""COMPUTED_VALUE"""),6745.55)</f>
        <v>6745.55</v>
      </c>
      <c r="L919" s="4">
        <f>IFERROR(__xludf.DUMMYFUNCTION("""COMPUTED_VALUE"""),2.0)</f>
        <v>2</v>
      </c>
      <c r="M919" s="4">
        <f>IFERROR(__xludf.DUMMYFUNCTION("""COMPUTED_VALUE"""),51.0)</f>
        <v>51</v>
      </c>
      <c r="N919" s="2" t="str">
        <f>IFERROR(__xludf.DUMMYFUNCTION("""COMPUTED_VALUE"""),"FALSO")</f>
        <v>FALSO</v>
      </c>
    </row>
    <row r="920">
      <c r="A920" s="2">
        <f>IFERROR(__xludf.DUMMYFUNCTION("""COMPUTED_VALUE"""),919.0)</f>
        <v>919</v>
      </c>
      <c r="B920" s="2" t="str">
        <f>IFERROR(__xludf.DUMMYFUNCTION("""COMPUTED_VALUE"""),"Maryrose Southall")</f>
        <v>Maryrose Southall</v>
      </c>
      <c r="C920" s="2" t="str">
        <f>IFERROR(__xludf.DUMMYFUNCTION("""COMPUTED_VALUE"""),"msouthallpj@mapy.cz")</f>
        <v>msouthallpj@mapy.cz</v>
      </c>
      <c r="D920" s="4">
        <f>IFERROR(__xludf.DUMMYFUNCTION("""COMPUTED_VALUE"""),48.0)</f>
        <v>48</v>
      </c>
      <c r="E920" s="4">
        <f>IFERROR(__xludf.DUMMYFUNCTION("""COMPUTED_VALUE"""),81.0)</f>
        <v>81</v>
      </c>
      <c r="F920" s="4">
        <f>IFERROR(__xludf.DUMMYFUNCTION("""COMPUTED_VALUE"""),2.0)</f>
        <v>2</v>
      </c>
      <c r="G920" s="4">
        <f>IFERROR(__xludf.DUMMYFUNCTION("""COMPUTED_VALUE"""),883.0)</f>
        <v>883</v>
      </c>
      <c r="H920" s="5">
        <f>IFERROR(__xludf.DUMMYFUNCTION("""COMPUTED_VALUE"""),6241.62)</f>
        <v>6241.62</v>
      </c>
      <c r="I920" s="5">
        <f>IFERROR(__xludf.DUMMYFUNCTION("""COMPUTED_VALUE"""),1881.29)</f>
        <v>1881.29</v>
      </c>
      <c r="J920" s="5">
        <f>IFERROR(__xludf.DUMMYFUNCTION("""COMPUTED_VALUE"""),9111.51)</f>
        <v>9111.51</v>
      </c>
      <c r="K920" s="5">
        <f>IFERROR(__xludf.DUMMYFUNCTION("""COMPUTED_VALUE"""),8846.21)</f>
        <v>8846.21</v>
      </c>
      <c r="L920" s="4">
        <f>IFERROR(__xludf.DUMMYFUNCTION("""COMPUTED_VALUE"""),10.0)</f>
        <v>10</v>
      </c>
      <c r="M920" s="4">
        <f>IFERROR(__xludf.DUMMYFUNCTION("""COMPUTED_VALUE"""),41.0)</f>
        <v>41</v>
      </c>
      <c r="N920" s="2" t="str">
        <f>IFERROR(__xludf.DUMMYFUNCTION("""COMPUTED_VALUE"""),"VERDADERO")</f>
        <v>VERDADERO</v>
      </c>
    </row>
    <row r="921">
      <c r="A921" s="2">
        <f>IFERROR(__xludf.DUMMYFUNCTION("""COMPUTED_VALUE"""),920.0)</f>
        <v>920</v>
      </c>
      <c r="B921" s="2" t="str">
        <f>IFERROR(__xludf.DUMMYFUNCTION("""COMPUTED_VALUE"""),"Diannne Beauly")</f>
        <v>Diannne Beauly</v>
      </c>
      <c r="C921" s="2" t="str">
        <f>IFERROR(__xludf.DUMMYFUNCTION("""COMPUTED_VALUE"""),"dbeaulypk@sciencedaily.com")</f>
        <v>dbeaulypk@sciencedaily.com</v>
      </c>
      <c r="D921" s="4">
        <f>IFERROR(__xludf.DUMMYFUNCTION("""COMPUTED_VALUE"""),29.0)</f>
        <v>29</v>
      </c>
      <c r="E921" s="4">
        <f>IFERROR(__xludf.DUMMYFUNCTION("""COMPUTED_VALUE"""),15.0)</f>
        <v>15</v>
      </c>
      <c r="F921" s="4">
        <f>IFERROR(__xludf.DUMMYFUNCTION("""COMPUTED_VALUE"""),6.0)</f>
        <v>6</v>
      </c>
      <c r="G921" s="4">
        <f>IFERROR(__xludf.DUMMYFUNCTION("""COMPUTED_VALUE"""),1080.0)</f>
        <v>1080</v>
      </c>
      <c r="H921" s="5">
        <f>IFERROR(__xludf.DUMMYFUNCTION("""COMPUTED_VALUE"""),6477.59)</f>
        <v>6477.59</v>
      </c>
      <c r="I921" s="5">
        <f>IFERROR(__xludf.DUMMYFUNCTION("""COMPUTED_VALUE"""),4908.26)</f>
        <v>4908.26</v>
      </c>
      <c r="J921" s="5">
        <f>IFERROR(__xludf.DUMMYFUNCTION("""COMPUTED_VALUE"""),6863.34)</f>
        <v>6863.34</v>
      </c>
      <c r="K921" s="5">
        <f>IFERROR(__xludf.DUMMYFUNCTION("""COMPUTED_VALUE"""),1620.79)</f>
        <v>1620.79</v>
      </c>
      <c r="L921" s="4">
        <f>IFERROR(__xludf.DUMMYFUNCTION("""COMPUTED_VALUE"""),2.0)</f>
        <v>2</v>
      </c>
      <c r="M921" s="4">
        <f>IFERROR(__xludf.DUMMYFUNCTION("""COMPUTED_VALUE"""),86.0)</f>
        <v>86</v>
      </c>
      <c r="N921" s="2" t="str">
        <f>IFERROR(__xludf.DUMMYFUNCTION("""COMPUTED_VALUE"""),"VERDADERO")</f>
        <v>VERDADERO</v>
      </c>
    </row>
    <row r="922">
      <c r="A922" s="2">
        <f>IFERROR(__xludf.DUMMYFUNCTION("""COMPUTED_VALUE"""),921.0)</f>
        <v>921</v>
      </c>
      <c r="B922" s="2" t="str">
        <f>IFERROR(__xludf.DUMMYFUNCTION("""COMPUTED_VALUE"""),"Lorianna Manthroppe")</f>
        <v>Lorianna Manthroppe</v>
      </c>
      <c r="C922" s="2" t="str">
        <f>IFERROR(__xludf.DUMMYFUNCTION("""COMPUTED_VALUE"""),"lmanthroppepl@homestead.com")</f>
        <v>lmanthroppepl@homestead.com</v>
      </c>
      <c r="D922" s="4">
        <f>IFERROR(__xludf.DUMMYFUNCTION("""COMPUTED_VALUE"""),5.0)</f>
        <v>5</v>
      </c>
      <c r="E922" s="4">
        <f>IFERROR(__xludf.DUMMYFUNCTION("""COMPUTED_VALUE"""),62.0)</f>
        <v>62</v>
      </c>
      <c r="F922" s="4">
        <f>IFERROR(__xludf.DUMMYFUNCTION("""COMPUTED_VALUE"""),4.0)</f>
        <v>4</v>
      </c>
      <c r="G922" s="4">
        <f>IFERROR(__xludf.DUMMYFUNCTION("""COMPUTED_VALUE"""),956.0)</f>
        <v>956</v>
      </c>
      <c r="H922" s="5">
        <f>IFERROR(__xludf.DUMMYFUNCTION("""COMPUTED_VALUE"""),3259.3)</f>
        <v>3259.3</v>
      </c>
      <c r="I922" s="5">
        <f>IFERROR(__xludf.DUMMYFUNCTION("""COMPUTED_VALUE"""),6163.11)</f>
        <v>6163.11</v>
      </c>
      <c r="J922" s="5">
        <f>IFERROR(__xludf.DUMMYFUNCTION("""COMPUTED_VALUE"""),2457.15)</f>
        <v>2457.15</v>
      </c>
      <c r="K922" s="5">
        <f>IFERROR(__xludf.DUMMYFUNCTION("""COMPUTED_VALUE"""),4750.23)</f>
        <v>4750.23</v>
      </c>
      <c r="L922" s="4">
        <f>IFERROR(__xludf.DUMMYFUNCTION("""COMPUTED_VALUE"""),20.0)</f>
        <v>20</v>
      </c>
      <c r="M922" s="4">
        <f>IFERROR(__xludf.DUMMYFUNCTION("""COMPUTED_VALUE"""),22.0)</f>
        <v>22</v>
      </c>
      <c r="N922" s="2" t="str">
        <f>IFERROR(__xludf.DUMMYFUNCTION("""COMPUTED_VALUE"""),"VERDADERO")</f>
        <v>VERDADERO</v>
      </c>
    </row>
    <row r="923">
      <c r="A923" s="2">
        <f>IFERROR(__xludf.DUMMYFUNCTION("""COMPUTED_VALUE"""),922.0)</f>
        <v>922</v>
      </c>
      <c r="B923" s="2" t="str">
        <f>IFERROR(__xludf.DUMMYFUNCTION("""COMPUTED_VALUE"""),"Brynna MacAindreis")</f>
        <v>Brynna MacAindreis</v>
      </c>
      <c r="C923" s="2" t="str">
        <f>IFERROR(__xludf.DUMMYFUNCTION("""COMPUTED_VALUE"""),"bmacaindreispm@wired.com")</f>
        <v>bmacaindreispm@wired.com</v>
      </c>
      <c r="D923" s="4">
        <f>IFERROR(__xludf.DUMMYFUNCTION("""COMPUTED_VALUE"""),65.0)</f>
        <v>65</v>
      </c>
      <c r="E923" s="4">
        <f>IFERROR(__xludf.DUMMYFUNCTION("""COMPUTED_VALUE"""),85.0)</f>
        <v>85</v>
      </c>
      <c r="F923" s="4">
        <f>IFERROR(__xludf.DUMMYFUNCTION("""COMPUTED_VALUE"""),3.0)</f>
        <v>3</v>
      </c>
      <c r="G923" s="4">
        <f>IFERROR(__xludf.DUMMYFUNCTION("""COMPUTED_VALUE"""),1534.0)</f>
        <v>1534</v>
      </c>
      <c r="H923" s="5">
        <f>IFERROR(__xludf.DUMMYFUNCTION("""COMPUTED_VALUE"""),2103.2)</f>
        <v>2103.2</v>
      </c>
      <c r="I923" s="5">
        <f>IFERROR(__xludf.DUMMYFUNCTION("""COMPUTED_VALUE"""),2964.54)</f>
        <v>2964.54</v>
      </c>
      <c r="J923" s="5">
        <f>IFERROR(__xludf.DUMMYFUNCTION("""COMPUTED_VALUE"""),3373.79)</f>
        <v>3373.79</v>
      </c>
      <c r="K923" s="5">
        <f>IFERROR(__xludf.DUMMYFUNCTION("""COMPUTED_VALUE"""),7162.74)</f>
        <v>7162.74</v>
      </c>
      <c r="L923" s="4">
        <f>IFERROR(__xludf.DUMMYFUNCTION("""COMPUTED_VALUE"""),10.0)</f>
        <v>10</v>
      </c>
      <c r="M923" s="4">
        <f>IFERROR(__xludf.DUMMYFUNCTION("""COMPUTED_VALUE"""),23.0)</f>
        <v>23</v>
      </c>
      <c r="N923" s="2" t="str">
        <f>IFERROR(__xludf.DUMMYFUNCTION("""COMPUTED_VALUE"""),"FALSO")</f>
        <v>FALSO</v>
      </c>
    </row>
    <row r="924">
      <c r="A924" s="2">
        <f>IFERROR(__xludf.DUMMYFUNCTION("""COMPUTED_VALUE"""),923.0)</f>
        <v>923</v>
      </c>
      <c r="B924" s="2" t="str">
        <f>IFERROR(__xludf.DUMMYFUNCTION("""COMPUTED_VALUE"""),"Josephina Riolfi")</f>
        <v>Josephina Riolfi</v>
      </c>
      <c r="C924" s="2" t="str">
        <f>IFERROR(__xludf.DUMMYFUNCTION("""COMPUTED_VALUE"""),"jriolfipn@psu.edu")</f>
        <v>jriolfipn@psu.edu</v>
      </c>
      <c r="D924" s="4">
        <f>IFERROR(__xludf.DUMMYFUNCTION("""COMPUTED_VALUE"""),29.0)</f>
        <v>29</v>
      </c>
      <c r="E924" s="4">
        <f>IFERROR(__xludf.DUMMYFUNCTION("""COMPUTED_VALUE"""),13.0)</f>
        <v>13</v>
      </c>
      <c r="F924" s="4">
        <f>IFERROR(__xludf.DUMMYFUNCTION("""COMPUTED_VALUE"""),6.0)</f>
        <v>6</v>
      </c>
      <c r="G924" s="4">
        <f>IFERROR(__xludf.DUMMYFUNCTION("""COMPUTED_VALUE"""),1155.0)</f>
        <v>1155</v>
      </c>
      <c r="H924" s="5">
        <f>IFERROR(__xludf.DUMMYFUNCTION("""COMPUTED_VALUE"""),5877.93)</f>
        <v>5877.93</v>
      </c>
      <c r="I924" s="5">
        <f>IFERROR(__xludf.DUMMYFUNCTION("""COMPUTED_VALUE"""),214.51)</f>
        <v>214.51</v>
      </c>
      <c r="J924" s="5">
        <f>IFERROR(__xludf.DUMMYFUNCTION("""COMPUTED_VALUE"""),7355.7)</f>
        <v>7355.7</v>
      </c>
      <c r="K924" s="5">
        <f>IFERROR(__xludf.DUMMYFUNCTION("""COMPUTED_VALUE"""),5593.58)</f>
        <v>5593.58</v>
      </c>
      <c r="L924" s="4">
        <f>IFERROR(__xludf.DUMMYFUNCTION("""COMPUTED_VALUE"""),14.0)</f>
        <v>14</v>
      </c>
      <c r="M924" s="4">
        <f>IFERROR(__xludf.DUMMYFUNCTION("""COMPUTED_VALUE"""),25.0)</f>
        <v>25</v>
      </c>
      <c r="N924" s="2" t="str">
        <f>IFERROR(__xludf.DUMMYFUNCTION("""COMPUTED_VALUE"""),"FALSO")</f>
        <v>FALSO</v>
      </c>
    </row>
    <row r="925">
      <c r="A925" s="2">
        <f>IFERROR(__xludf.DUMMYFUNCTION("""COMPUTED_VALUE"""),924.0)</f>
        <v>924</v>
      </c>
      <c r="B925" s="2" t="str">
        <f>IFERROR(__xludf.DUMMYFUNCTION("""COMPUTED_VALUE"""),"Slade Congdon")</f>
        <v>Slade Congdon</v>
      </c>
      <c r="C925" s="2" t="str">
        <f>IFERROR(__xludf.DUMMYFUNCTION("""COMPUTED_VALUE"""),"scongdonpo@nymag.com")</f>
        <v>scongdonpo@nymag.com</v>
      </c>
      <c r="D925" s="4">
        <f>IFERROR(__xludf.DUMMYFUNCTION("""COMPUTED_VALUE"""),137.0)</f>
        <v>137</v>
      </c>
      <c r="E925" s="4">
        <f>IFERROR(__xludf.DUMMYFUNCTION("""COMPUTED_VALUE"""),81.0)</f>
        <v>81</v>
      </c>
      <c r="F925" s="4">
        <f>IFERROR(__xludf.DUMMYFUNCTION("""COMPUTED_VALUE"""),2.0)</f>
        <v>2</v>
      </c>
      <c r="G925" s="4">
        <f>IFERROR(__xludf.DUMMYFUNCTION("""COMPUTED_VALUE"""),1146.0)</f>
        <v>1146</v>
      </c>
      <c r="H925" s="5">
        <f>IFERROR(__xludf.DUMMYFUNCTION("""COMPUTED_VALUE"""),8986.62)</f>
        <v>8986.62</v>
      </c>
      <c r="I925" s="5">
        <f>IFERROR(__xludf.DUMMYFUNCTION("""COMPUTED_VALUE"""),9284.88)</f>
        <v>9284.88</v>
      </c>
      <c r="J925" s="5">
        <f>IFERROR(__xludf.DUMMYFUNCTION("""COMPUTED_VALUE"""),3454.12)</f>
        <v>3454.12</v>
      </c>
      <c r="K925" s="5">
        <f>IFERROR(__xludf.DUMMYFUNCTION("""COMPUTED_VALUE"""),9316.53)</f>
        <v>9316.53</v>
      </c>
      <c r="L925" s="4">
        <f>IFERROR(__xludf.DUMMYFUNCTION("""COMPUTED_VALUE"""),1.0)</f>
        <v>1</v>
      </c>
      <c r="M925" s="4">
        <f>IFERROR(__xludf.DUMMYFUNCTION("""COMPUTED_VALUE"""),91.0)</f>
        <v>91</v>
      </c>
      <c r="N925" s="2" t="str">
        <f>IFERROR(__xludf.DUMMYFUNCTION("""COMPUTED_VALUE"""),"FALSO")</f>
        <v>FALSO</v>
      </c>
    </row>
    <row r="926">
      <c r="A926" s="2">
        <f>IFERROR(__xludf.DUMMYFUNCTION("""COMPUTED_VALUE"""),925.0)</f>
        <v>925</v>
      </c>
      <c r="B926" s="2" t="str">
        <f>IFERROR(__xludf.DUMMYFUNCTION("""COMPUTED_VALUE"""),"Minnnie Dawson")</f>
        <v>Minnnie Dawson</v>
      </c>
      <c r="C926" s="2" t="str">
        <f>IFERROR(__xludf.DUMMYFUNCTION("""COMPUTED_VALUE"""),"mdawsonpp@mashable.com")</f>
        <v>mdawsonpp@mashable.com</v>
      </c>
      <c r="D926" s="4">
        <f>IFERROR(__xludf.DUMMYFUNCTION("""COMPUTED_VALUE"""),19.0)</f>
        <v>19</v>
      </c>
      <c r="E926" s="4">
        <f>IFERROR(__xludf.DUMMYFUNCTION("""COMPUTED_VALUE"""),66.0)</f>
        <v>66</v>
      </c>
      <c r="F926" s="4">
        <f>IFERROR(__xludf.DUMMYFUNCTION("""COMPUTED_VALUE"""),6.0)</f>
        <v>6</v>
      </c>
      <c r="G926" s="4">
        <f>IFERROR(__xludf.DUMMYFUNCTION("""COMPUTED_VALUE"""),1591.0)</f>
        <v>1591</v>
      </c>
      <c r="H926" s="5">
        <f>IFERROR(__xludf.DUMMYFUNCTION("""COMPUTED_VALUE"""),202.54)</f>
        <v>202.54</v>
      </c>
      <c r="I926" s="5">
        <f>IFERROR(__xludf.DUMMYFUNCTION("""COMPUTED_VALUE"""),4101.69)</f>
        <v>4101.69</v>
      </c>
      <c r="J926" s="5">
        <f>IFERROR(__xludf.DUMMYFUNCTION("""COMPUTED_VALUE"""),563.82)</f>
        <v>563.82</v>
      </c>
      <c r="K926" s="5">
        <f>IFERROR(__xludf.DUMMYFUNCTION("""COMPUTED_VALUE"""),1246.88)</f>
        <v>1246.88</v>
      </c>
      <c r="L926" s="4">
        <f>IFERROR(__xludf.DUMMYFUNCTION("""COMPUTED_VALUE"""),11.0)</f>
        <v>11</v>
      </c>
      <c r="M926" s="4">
        <f>IFERROR(__xludf.DUMMYFUNCTION("""COMPUTED_VALUE"""),8.0)</f>
        <v>8</v>
      </c>
      <c r="N926" s="2" t="str">
        <f>IFERROR(__xludf.DUMMYFUNCTION("""COMPUTED_VALUE"""),"VERDADERO")</f>
        <v>VERDADERO</v>
      </c>
    </row>
    <row r="927">
      <c r="A927" s="2">
        <f>IFERROR(__xludf.DUMMYFUNCTION("""COMPUTED_VALUE"""),926.0)</f>
        <v>926</v>
      </c>
      <c r="B927" s="2" t="str">
        <f>IFERROR(__xludf.DUMMYFUNCTION("""COMPUTED_VALUE"""),"Rochell Atlee")</f>
        <v>Rochell Atlee</v>
      </c>
      <c r="C927" s="2" t="str">
        <f>IFERROR(__xludf.DUMMYFUNCTION("""COMPUTED_VALUE"""),"ratleepq@indiatimes.com")</f>
        <v>ratleepq@indiatimes.com</v>
      </c>
      <c r="D927" s="4">
        <f>IFERROR(__xludf.DUMMYFUNCTION("""COMPUTED_VALUE"""),120.0)</f>
        <v>120</v>
      </c>
      <c r="E927" s="4">
        <f>IFERROR(__xludf.DUMMYFUNCTION("""COMPUTED_VALUE"""),104.0)</f>
        <v>104</v>
      </c>
      <c r="F927" s="4">
        <f>IFERROR(__xludf.DUMMYFUNCTION("""COMPUTED_VALUE"""),11.0)</f>
        <v>11</v>
      </c>
      <c r="G927" s="4">
        <f>IFERROR(__xludf.DUMMYFUNCTION("""COMPUTED_VALUE"""),526.0)</f>
        <v>526</v>
      </c>
      <c r="H927" s="5">
        <f>IFERROR(__xludf.DUMMYFUNCTION("""COMPUTED_VALUE"""),1742.87)</f>
        <v>1742.87</v>
      </c>
      <c r="I927" s="5">
        <f>IFERROR(__xludf.DUMMYFUNCTION("""COMPUTED_VALUE"""),1749.19)</f>
        <v>1749.19</v>
      </c>
      <c r="J927" s="5">
        <f>IFERROR(__xludf.DUMMYFUNCTION("""COMPUTED_VALUE"""),624.24)</f>
        <v>624.24</v>
      </c>
      <c r="K927" s="5">
        <f>IFERROR(__xludf.DUMMYFUNCTION("""COMPUTED_VALUE"""),2208.13)</f>
        <v>2208.13</v>
      </c>
      <c r="L927" s="4">
        <f>IFERROR(__xludf.DUMMYFUNCTION("""COMPUTED_VALUE"""),14.0)</f>
        <v>14</v>
      </c>
      <c r="M927" s="4">
        <f>IFERROR(__xludf.DUMMYFUNCTION("""COMPUTED_VALUE"""),73.0)</f>
        <v>73</v>
      </c>
      <c r="N927" s="2" t="str">
        <f>IFERROR(__xludf.DUMMYFUNCTION("""COMPUTED_VALUE"""),"FALSO")</f>
        <v>FALSO</v>
      </c>
    </row>
    <row r="928">
      <c r="A928" s="2">
        <f>IFERROR(__xludf.DUMMYFUNCTION("""COMPUTED_VALUE"""),927.0)</f>
        <v>927</v>
      </c>
      <c r="B928" s="2" t="str">
        <f>IFERROR(__xludf.DUMMYFUNCTION("""COMPUTED_VALUE"""),"Peter Beamson")</f>
        <v>Peter Beamson</v>
      </c>
      <c r="C928" s="2" t="str">
        <f>IFERROR(__xludf.DUMMYFUNCTION("""COMPUTED_VALUE"""),"pbeamsonpr@ebay.co.uk")</f>
        <v>pbeamsonpr@ebay.co.uk</v>
      </c>
      <c r="D928" s="4">
        <f>IFERROR(__xludf.DUMMYFUNCTION("""COMPUTED_VALUE"""),153.0)</f>
        <v>153</v>
      </c>
      <c r="E928" s="4">
        <f>IFERROR(__xludf.DUMMYFUNCTION("""COMPUTED_VALUE"""),6.0)</f>
        <v>6</v>
      </c>
      <c r="F928" s="4">
        <f>IFERROR(__xludf.DUMMYFUNCTION("""COMPUTED_VALUE"""),13.0)</f>
        <v>13</v>
      </c>
      <c r="G928" s="4">
        <f>IFERROR(__xludf.DUMMYFUNCTION("""COMPUTED_VALUE"""),1200.0)</f>
        <v>1200</v>
      </c>
      <c r="H928" s="5">
        <f>IFERROR(__xludf.DUMMYFUNCTION("""COMPUTED_VALUE"""),2555.81)</f>
        <v>2555.81</v>
      </c>
      <c r="I928" s="5">
        <f>IFERROR(__xludf.DUMMYFUNCTION("""COMPUTED_VALUE"""),1858.68)</f>
        <v>1858.68</v>
      </c>
      <c r="J928" s="5">
        <f>IFERROR(__xludf.DUMMYFUNCTION("""COMPUTED_VALUE"""),5576.34)</f>
        <v>5576.34</v>
      </c>
      <c r="K928" s="5">
        <f>IFERROR(__xludf.DUMMYFUNCTION("""COMPUTED_VALUE"""),8874.42)</f>
        <v>8874.42</v>
      </c>
      <c r="L928" s="4">
        <f>IFERROR(__xludf.DUMMYFUNCTION("""COMPUTED_VALUE"""),7.0)</f>
        <v>7</v>
      </c>
      <c r="M928" s="4">
        <f>IFERROR(__xludf.DUMMYFUNCTION("""COMPUTED_VALUE"""),52.0)</f>
        <v>52</v>
      </c>
      <c r="N928" s="2" t="str">
        <f>IFERROR(__xludf.DUMMYFUNCTION("""COMPUTED_VALUE"""),"FALSO")</f>
        <v>FALSO</v>
      </c>
    </row>
    <row r="929">
      <c r="A929" s="2">
        <f>IFERROR(__xludf.DUMMYFUNCTION("""COMPUTED_VALUE"""),928.0)</f>
        <v>928</v>
      </c>
      <c r="B929" s="2" t="str">
        <f>IFERROR(__xludf.DUMMYFUNCTION("""COMPUTED_VALUE"""),"Zolly Habbin")</f>
        <v>Zolly Habbin</v>
      </c>
      <c r="C929" s="2" t="str">
        <f>IFERROR(__xludf.DUMMYFUNCTION("""COMPUTED_VALUE"""),"zhabbinps@wunderground.com")</f>
        <v>zhabbinps@wunderground.com</v>
      </c>
      <c r="D929" s="4">
        <f>IFERROR(__xludf.DUMMYFUNCTION("""COMPUTED_VALUE"""),73.0)</f>
        <v>73</v>
      </c>
      <c r="E929" s="4">
        <f>IFERROR(__xludf.DUMMYFUNCTION("""COMPUTED_VALUE"""),100.0)</f>
        <v>100</v>
      </c>
      <c r="F929" s="4">
        <f>IFERROR(__xludf.DUMMYFUNCTION("""COMPUTED_VALUE"""),9.0)</f>
        <v>9</v>
      </c>
      <c r="G929" s="4">
        <f>IFERROR(__xludf.DUMMYFUNCTION("""COMPUTED_VALUE"""),509.0)</f>
        <v>509</v>
      </c>
      <c r="H929" s="5">
        <f>IFERROR(__xludf.DUMMYFUNCTION("""COMPUTED_VALUE"""),3052.73)</f>
        <v>3052.73</v>
      </c>
      <c r="I929" s="5">
        <f>IFERROR(__xludf.DUMMYFUNCTION("""COMPUTED_VALUE"""),2314.85)</f>
        <v>2314.85</v>
      </c>
      <c r="J929" s="5">
        <f>IFERROR(__xludf.DUMMYFUNCTION("""COMPUTED_VALUE"""),7181.03)</f>
        <v>7181.03</v>
      </c>
      <c r="K929" s="5">
        <f>IFERROR(__xludf.DUMMYFUNCTION("""COMPUTED_VALUE"""),2086.53)</f>
        <v>2086.53</v>
      </c>
      <c r="L929" s="4">
        <f>IFERROR(__xludf.DUMMYFUNCTION("""COMPUTED_VALUE"""),9.0)</f>
        <v>9</v>
      </c>
      <c r="M929" s="4">
        <f>IFERROR(__xludf.DUMMYFUNCTION("""COMPUTED_VALUE"""),43.0)</f>
        <v>43</v>
      </c>
      <c r="N929" s="2" t="str">
        <f>IFERROR(__xludf.DUMMYFUNCTION("""COMPUTED_VALUE"""),"VERDADERO")</f>
        <v>VERDADERO</v>
      </c>
    </row>
    <row r="930">
      <c r="A930" s="2">
        <f>IFERROR(__xludf.DUMMYFUNCTION("""COMPUTED_VALUE"""),929.0)</f>
        <v>929</v>
      </c>
      <c r="B930" s="2" t="str">
        <f>IFERROR(__xludf.DUMMYFUNCTION("""COMPUTED_VALUE"""),"Nonna Grahame")</f>
        <v>Nonna Grahame</v>
      </c>
      <c r="C930" s="2" t="str">
        <f>IFERROR(__xludf.DUMMYFUNCTION("""COMPUTED_VALUE"""),"ngrahamept@tinypic.com")</f>
        <v>ngrahamept@tinypic.com</v>
      </c>
      <c r="D930" s="4">
        <f>IFERROR(__xludf.DUMMYFUNCTION("""COMPUTED_VALUE"""),98.0)</f>
        <v>98</v>
      </c>
      <c r="E930" s="4">
        <f>IFERROR(__xludf.DUMMYFUNCTION("""COMPUTED_VALUE"""),85.0)</f>
        <v>85</v>
      </c>
      <c r="F930" s="4">
        <f>IFERROR(__xludf.DUMMYFUNCTION("""COMPUTED_VALUE"""),3.0)</f>
        <v>3</v>
      </c>
      <c r="G930" s="4">
        <f>IFERROR(__xludf.DUMMYFUNCTION("""COMPUTED_VALUE"""),1109.0)</f>
        <v>1109</v>
      </c>
      <c r="H930" s="5">
        <f>IFERROR(__xludf.DUMMYFUNCTION("""COMPUTED_VALUE"""),4068.07)</f>
        <v>4068.07</v>
      </c>
      <c r="I930" s="5">
        <f>IFERROR(__xludf.DUMMYFUNCTION("""COMPUTED_VALUE"""),5555.13)</f>
        <v>5555.13</v>
      </c>
      <c r="J930" s="5">
        <f>IFERROR(__xludf.DUMMYFUNCTION("""COMPUTED_VALUE"""),458.27)</f>
        <v>458.27</v>
      </c>
      <c r="K930" s="5">
        <f>IFERROR(__xludf.DUMMYFUNCTION("""COMPUTED_VALUE"""),2801.73)</f>
        <v>2801.73</v>
      </c>
      <c r="L930" s="4">
        <f>IFERROR(__xludf.DUMMYFUNCTION("""COMPUTED_VALUE"""),3.0)</f>
        <v>3</v>
      </c>
      <c r="M930" s="4">
        <f>IFERROR(__xludf.DUMMYFUNCTION("""COMPUTED_VALUE"""),33.0)</f>
        <v>33</v>
      </c>
      <c r="N930" s="2" t="str">
        <f>IFERROR(__xludf.DUMMYFUNCTION("""COMPUTED_VALUE"""),"FALSO")</f>
        <v>FALSO</v>
      </c>
    </row>
    <row r="931">
      <c r="A931" s="2">
        <f>IFERROR(__xludf.DUMMYFUNCTION("""COMPUTED_VALUE"""),930.0)</f>
        <v>930</v>
      </c>
      <c r="B931" s="2" t="str">
        <f>IFERROR(__xludf.DUMMYFUNCTION("""COMPUTED_VALUE"""),"Wallas Britney")</f>
        <v>Wallas Britney</v>
      </c>
      <c r="C931" s="2" t="str">
        <f>IFERROR(__xludf.DUMMYFUNCTION("""COMPUTED_VALUE"""),"wbritneypu@cnet.com")</f>
        <v>wbritneypu@cnet.com</v>
      </c>
      <c r="D931" s="4">
        <f>IFERROR(__xludf.DUMMYFUNCTION("""COMPUTED_VALUE"""),54.0)</f>
        <v>54</v>
      </c>
      <c r="E931" s="4">
        <f>IFERROR(__xludf.DUMMYFUNCTION("""COMPUTED_VALUE"""),39.0)</f>
        <v>39</v>
      </c>
      <c r="F931" s="4">
        <f>IFERROR(__xludf.DUMMYFUNCTION("""COMPUTED_VALUE"""),11.0)</f>
        <v>11</v>
      </c>
      <c r="G931" s="4">
        <f>IFERROR(__xludf.DUMMYFUNCTION("""COMPUTED_VALUE"""),854.0)</f>
        <v>854</v>
      </c>
      <c r="H931" s="5">
        <f>IFERROR(__xludf.DUMMYFUNCTION("""COMPUTED_VALUE"""),4413.0)</f>
        <v>4413</v>
      </c>
      <c r="I931" s="5">
        <f>IFERROR(__xludf.DUMMYFUNCTION("""COMPUTED_VALUE"""),2152.21)</f>
        <v>2152.21</v>
      </c>
      <c r="J931" s="5">
        <f>IFERROR(__xludf.DUMMYFUNCTION("""COMPUTED_VALUE"""),4952.92)</f>
        <v>4952.92</v>
      </c>
      <c r="K931" s="5">
        <f>IFERROR(__xludf.DUMMYFUNCTION("""COMPUTED_VALUE"""),734.11)</f>
        <v>734.11</v>
      </c>
      <c r="L931" s="4">
        <f>IFERROR(__xludf.DUMMYFUNCTION("""COMPUTED_VALUE"""),14.0)</f>
        <v>14</v>
      </c>
      <c r="M931" s="4">
        <f>IFERROR(__xludf.DUMMYFUNCTION("""COMPUTED_VALUE"""),92.0)</f>
        <v>92</v>
      </c>
      <c r="N931" s="2" t="str">
        <f>IFERROR(__xludf.DUMMYFUNCTION("""COMPUTED_VALUE"""),"FALSO")</f>
        <v>FALSO</v>
      </c>
    </row>
    <row r="932">
      <c r="A932" s="2">
        <f>IFERROR(__xludf.DUMMYFUNCTION("""COMPUTED_VALUE"""),931.0)</f>
        <v>931</v>
      </c>
      <c r="B932" s="2" t="str">
        <f>IFERROR(__xludf.DUMMYFUNCTION("""COMPUTED_VALUE"""),"Chastity Iacovielli")</f>
        <v>Chastity Iacovielli</v>
      </c>
      <c r="C932" s="2" t="str">
        <f>IFERROR(__xludf.DUMMYFUNCTION("""COMPUTED_VALUE"""),"ciacoviellipv@cpanel.net")</f>
        <v>ciacoviellipv@cpanel.net</v>
      </c>
      <c r="D932" s="4">
        <f>IFERROR(__xludf.DUMMYFUNCTION("""COMPUTED_VALUE"""),41.0)</f>
        <v>41</v>
      </c>
      <c r="E932" s="4">
        <f>IFERROR(__xludf.DUMMYFUNCTION("""COMPUTED_VALUE"""),6.0)</f>
        <v>6</v>
      </c>
      <c r="F932" s="4">
        <f>IFERROR(__xludf.DUMMYFUNCTION("""COMPUTED_VALUE"""),13.0)</f>
        <v>13</v>
      </c>
      <c r="G932" s="4">
        <f>IFERROR(__xludf.DUMMYFUNCTION("""COMPUTED_VALUE"""),678.0)</f>
        <v>678</v>
      </c>
      <c r="H932" s="5">
        <f>IFERROR(__xludf.DUMMYFUNCTION("""COMPUTED_VALUE"""),270.4)</f>
        <v>270.4</v>
      </c>
      <c r="I932" s="5">
        <f>IFERROR(__xludf.DUMMYFUNCTION("""COMPUTED_VALUE"""),3205.67)</f>
        <v>3205.67</v>
      </c>
      <c r="J932" s="5">
        <f>IFERROR(__xludf.DUMMYFUNCTION("""COMPUTED_VALUE"""),4122.87)</f>
        <v>4122.87</v>
      </c>
      <c r="K932" s="5">
        <f>IFERROR(__xludf.DUMMYFUNCTION("""COMPUTED_VALUE"""),700.49)</f>
        <v>700.49</v>
      </c>
      <c r="L932" s="4">
        <f>IFERROR(__xludf.DUMMYFUNCTION("""COMPUTED_VALUE"""),5.0)</f>
        <v>5</v>
      </c>
      <c r="M932" s="4">
        <f>IFERROR(__xludf.DUMMYFUNCTION("""COMPUTED_VALUE"""),5.0)</f>
        <v>5</v>
      </c>
      <c r="N932" s="2" t="str">
        <f>IFERROR(__xludf.DUMMYFUNCTION("""COMPUTED_VALUE"""),"VERDADERO")</f>
        <v>VERDADERO</v>
      </c>
    </row>
    <row r="933">
      <c r="A933" s="2">
        <f>IFERROR(__xludf.DUMMYFUNCTION("""COMPUTED_VALUE"""),932.0)</f>
        <v>932</v>
      </c>
      <c r="B933" s="2" t="str">
        <f>IFERROR(__xludf.DUMMYFUNCTION("""COMPUTED_VALUE"""),"Corrine Trunchion")</f>
        <v>Corrine Trunchion</v>
      </c>
      <c r="C933" s="2" t="str">
        <f>IFERROR(__xludf.DUMMYFUNCTION("""COMPUTED_VALUE"""),"ctrunchionpw@example.com")</f>
        <v>ctrunchionpw@example.com</v>
      </c>
      <c r="D933" s="4">
        <f>IFERROR(__xludf.DUMMYFUNCTION("""COMPUTED_VALUE"""),54.0)</f>
        <v>54</v>
      </c>
      <c r="E933" s="4">
        <f>IFERROR(__xludf.DUMMYFUNCTION("""COMPUTED_VALUE"""),31.0)</f>
        <v>31</v>
      </c>
      <c r="F933" s="4">
        <f>IFERROR(__xludf.DUMMYFUNCTION("""COMPUTED_VALUE"""),8.0)</f>
        <v>8</v>
      </c>
      <c r="G933" s="4">
        <f>IFERROR(__xludf.DUMMYFUNCTION("""COMPUTED_VALUE"""),936.0)</f>
        <v>936</v>
      </c>
      <c r="H933" s="5">
        <f>IFERROR(__xludf.DUMMYFUNCTION("""COMPUTED_VALUE"""),3126.29)</f>
        <v>3126.29</v>
      </c>
      <c r="I933" s="5">
        <f>IFERROR(__xludf.DUMMYFUNCTION("""COMPUTED_VALUE"""),8350.2)</f>
        <v>8350.2</v>
      </c>
      <c r="J933" s="5">
        <f>IFERROR(__xludf.DUMMYFUNCTION("""COMPUTED_VALUE"""),95.68)</f>
        <v>95.68</v>
      </c>
      <c r="K933" s="5">
        <f>IFERROR(__xludf.DUMMYFUNCTION("""COMPUTED_VALUE"""),1300.68)</f>
        <v>1300.68</v>
      </c>
      <c r="L933" s="4">
        <f>IFERROR(__xludf.DUMMYFUNCTION("""COMPUTED_VALUE"""),4.0)</f>
        <v>4</v>
      </c>
      <c r="M933" s="4">
        <f>IFERROR(__xludf.DUMMYFUNCTION("""COMPUTED_VALUE"""),91.0)</f>
        <v>91</v>
      </c>
      <c r="N933" s="2" t="str">
        <f>IFERROR(__xludf.DUMMYFUNCTION("""COMPUTED_VALUE"""),"VERDADERO")</f>
        <v>VERDADERO</v>
      </c>
    </row>
    <row r="934">
      <c r="A934" s="2">
        <f>IFERROR(__xludf.DUMMYFUNCTION("""COMPUTED_VALUE"""),933.0)</f>
        <v>933</v>
      </c>
      <c r="B934" s="2" t="str">
        <f>IFERROR(__xludf.DUMMYFUNCTION("""COMPUTED_VALUE"""),"Hyatt Luberto")</f>
        <v>Hyatt Luberto</v>
      </c>
      <c r="C934" s="2" t="str">
        <f>IFERROR(__xludf.DUMMYFUNCTION("""COMPUTED_VALUE"""),"hlubertopx@discuz.net")</f>
        <v>hlubertopx@discuz.net</v>
      </c>
      <c r="D934" s="4">
        <f>IFERROR(__xludf.DUMMYFUNCTION("""COMPUTED_VALUE"""),65.0)</f>
        <v>65</v>
      </c>
      <c r="E934" s="4">
        <f>IFERROR(__xludf.DUMMYFUNCTION("""COMPUTED_VALUE"""),5.0)</f>
        <v>5</v>
      </c>
      <c r="F934" s="4">
        <f>IFERROR(__xludf.DUMMYFUNCTION("""COMPUTED_VALUE"""),7.0)</f>
        <v>7</v>
      </c>
      <c r="G934" s="4">
        <f>IFERROR(__xludf.DUMMYFUNCTION("""COMPUTED_VALUE"""),695.0)</f>
        <v>695</v>
      </c>
      <c r="H934" s="5">
        <f>IFERROR(__xludf.DUMMYFUNCTION("""COMPUTED_VALUE"""),5705.07)</f>
        <v>5705.07</v>
      </c>
      <c r="I934" s="5">
        <f>IFERROR(__xludf.DUMMYFUNCTION("""COMPUTED_VALUE"""),4019.43)</f>
        <v>4019.43</v>
      </c>
      <c r="J934" s="5">
        <f>IFERROR(__xludf.DUMMYFUNCTION("""COMPUTED_VALUE"""),6134.54)</f>
        <v>6134.54</v>
      </c>
      <c r="K934" s="5">
        <f>IFERROR(__xludf.DUMMYFUNCTION("""COMPUTED_VALUE"""),573.72)</f>
        <v>573.72</v>
      </c>
      <c r="L934" s="4">
        <f>IFERROR(__xludf.DUMMYFUNCTION("""COMPUTED_VALUE"""),8.0)</f>
        <v>8</v>
      </c>
      <c r="M934" s="4">
        <f>IFERROR(__xludf.DUMMYFUNCTION("""COMPUTED_VALUE"""),66.0)</f>
        <v>66</v>
      </c>
      <c r="N934" s="2" t="str">
        <f>IFERROR(__xludf.DUMMYFUNCTION("""COMPUTED_VALUE"""),"FALSO")</f>
        <v>FALSO</v>
      </c>
    </row>
    <row r="935">
      <c r="A935" s="2">
        <f>IFERROR(__xludf.DUMMYFUNCTION("""COMPUTED_VALUE"""),934.0)</f>
        <v>934</v>
      </c>
      <c r="B935" s="2" t="str">
        <f>IFERROR(__xludf.DUMMYFUNCTION("""COMPUTED_VALUE"""),"Rosella Falcus")</f>
        <v>Rosella Falcus</v>
      </c>
      <c r="C935" s="2" t="str">
        <f>IFERROR(__xludf.DUMMYFUNCTION("""COMPUTED_VALUE"""),"rfalcuspy@oakley.com")</f>
        <v>rfalcuspy@oakley.com</v>
      </c>
      <c r="D935" s="4">
        <f>IFERROR(__xludf.DUMMYFUNCTION("""COMPUTED_VALUE"""),29.0)</f>
        <v>29</v>
      </c>
      <c r="E935" s="4">
        <f>IFERROR(__xludf.DUMMYFUNCTION("""COMPUTED_VALUE"""),95.0)</f>
        <v>95</v>
      </c>
      <c r="F935" s="4">
        <f>IFERROR(__xludf.DUMMYFUNCTION("""COMPUTED_VALUE"""),13.0)</f>
        <v>13</v>
      </c>
      <c r="G935" s="4">
        <f>IFERROR(__xludf.DUMMYFUNCTION("""COMPUTED_VALUE"""),947.0)</f>
        <v>947</v>
      </c>
      <c r="H935" s="5">
        <f>IFERROR(__xludf.DUMMYFUNCTION("""COMPUTED_VALUE"""),8637.68)</f>
        <v>8637.68</v>
      </c>
      <c r="I935" s="5">
        <f>IFERROR(__xludf.DUMMYFUNCTION("""COMPUTED_VALUE"""),2999.18)</f>
        <v>2999.18</v>
      </c>
      <c r="J935" s="5">
        <f>IFERROR(__xludf.DUMMYFUNCTION("""COMPUTED_VALUE"""),9673.95)</f>
        <v>9673.95</v>
      </c>
      <c r="K935" s="5">
        <f>IFERROR(__xludf.DUMMYFUNCTION("""COMPUTED_VALUE"""),171.4)</f>
        <v>171.4</v>
      </c>
      <c r="L935" s="4">
        <f>IFERROR(__xludf.DUMMYFUNCTION("""COMPUTED_VALUE"""),16.0)</f>
        <v>16</v>
      </c>
      <c r="M935" s="4">
        <f>IFERROR(__xludf.DUMMYFUNCTION("""COMPUTED_VALUE"""),10.0)</f>
        <v>10</v>
      </c>
      <c r="N935" s="2" t="str">
        <f>IFERROR(__xludf.DUMMYFUNCTION("""COMPUTED_VALUE"""),"VERDADERO")</f>
        <v>VERDADERO</v>
      </c>
    </row>
    <row r="936">
      <c r="A936" s="2">
        <f>IFERROR(__xludf.DUMMYFUNCTION("""COMPUTED_VALUE"""),935.0)</f>
        <v>935</v>
      </c>
      <c r="B936" s="2" t="str">
        <f>IFERROR(__xludf.DUMMYFUNCTION("""COMPUTED_VALUE"""),"Andeee Amberg")</f>
        <v>Andeee Amberg</v>
      </c>
      <c r="C936" s="2" t="str">
        <f>IFERROR(__xludf.DUMMYFUNCTION("""COMPUTED_VALUE"""),"aambergpz@t-online.de")</f>
        <v>aambergpz@t-online.de</v>
      </c>
      <c r="D936" s="4">
        <f>IFERROR(__xludf.DUMMYFUNCTION("""COMPUTED_VALUE"""),29.0)</f>
        <v>29</v>
      </c>
      <c r="E936" s="4">
        <f>IFERROR(__xludf.DUMMYFUNCTION("""COMPUTED_VALUE"""),81.0)</f>
        <v>81</v>
      </c>
      <c r="F936" s="4">
        <f>IFERROR(__xludf.DUMMYFUNCTION("""COMPUTED_VALUE"""),2.0)</f>
        <v>2</v>
      </c>
      <c r="G936" s="4">
        <f>IFERROR(__xludf.DUMMYFUNCTION("""COMPUTED_VALUE"""),479.0)</f>
        <v>479</v>
      </c>
      <c r="H936" s="5">
        <f>IFERROR(__xludf.DUMMYFUNCTION("""COMPUTED_VALUE"""),7319.09)</f>
        <v>7319.09</v>
      </c>
      <c r="I936" s="5">
        <f>IFERROR(__xludf.DUMMYFUNCTION("""COMPUTED_VALUE"""),3506.84)</f>
        <v>3506.84</v>
      </c>
      <c r="J936" s="5">
        <f>IFERROR(__xludf.DUMMYFUNCTION("""COMPUTED_VALUE"""),231.33)</f>
        <v>231.33</v>
      </c>
      <c r="K936" s="5">
        <f>IFERROR(__xludf.DUMMYFUNCTION("""COMPUTED_VALUE"""),7811.57)</f>
        <v>7811.57</v>
      </c>
      <c r="L936" s="4">
        <f>IFERROR(__xludf.DUMMYFUNCTION("""COMPUTED_VALUE"""),10.0)</f>
        <v>10</v>
      </c>
      <c r="M936" s="4">
        <f>IFERROR(__xludf.DUMMYFUNCTION("""COMPUTED_VALUE"""),80.0)</f>
        <v>80</v>
      </c>
      <c r="N936" s="2" t="str">
        <f>IFERROR(__xludf.DUMMYFUNCTION("""COMPUTED_VALUE"""),"FALSO")</f>
        <v>FALSO</v>
      </c>
    </row>
    <row r="937">
      <c r="A937" s="2">
        <f>IFERROR(__xludf.DUMMYFUNCTION("""COMPUTED_VALUE"""),936.0)</f>
        <v>936</v>
      </c>
      <c r="B937" s="2" t="str">
        <f>IFERROR(__xludf.DUMMYFUNCTION("""COMPUTED_VALUE"""),"Luther Tomblin")</f>
        <v>Luther Tomblin</v>
      </c>
      <c r="C937" s="2" t="str">
        <f>IFERROR(__xludf.DUMMYFUNCTION("""COMPUTED_VALUE"""),"ltomblinq0@tumblr.com")</f>
        <v>ltomblinq0@tumblr.com</v>
      </c>
      <c r="D937" s="4">
        <f>IFERROR(__xludf.DUMMYFUNCTION("""COMPUTED_VALUE"""),65.0)</f>
        <v>65</v>
      </c>
      <c r="E937" s="4">
        <f>IFERROR(__xludf.DUMMYFUNCTION("""COMPUTED_VALUE"""),100.0)</f>
        <v>100</v>
      </c>
      <c r="F937" s="4">
        <f>IFERROR(__xludf.DUMMYFUNCTION("""COMPUTED_VALUE"""),9.0)</f>
        <v>9</v>
      </c>
      <c r="G937" s="4">
        <f>IFERROR(__xludf.DUMMYFUNCTION("""COMPUTED_VALUE"""),608.0)</f>
        <v>608</v>
      </c>
      <c r="H937" s="5">
        <f>IFERROR(__xludf.DUMMYFUNCTION("""COMPUTED_VALUE"""),7000.41)</f>
        <v>7000.41</v>
      </c>
      <c r="I937" s="5">
        <f>IFERROR(__xludf.DUMMYFUNCTION("""COMPUTED_VALUE"""),4197.99)</f>
        <v>4197.99</v>
      </c>
      <c r="J937" s="5">
        <f>IFERROR(__xludf.DUMMYFUNCTION("""COMPUTED_VALUE"""),4931.19)</f>
        <v>4931.19</v>
      </c>
      <c r="K937" s="5">
        <f>IFERROR(__xludf.DUMMYFUNCTION("""COMPUTED_VALUE"""),7520.49)</f>
        <v>7520.49</v>
      </c>
      <c r="L937" s="4">
        <f>IFERROR(__xludf.DUMMYFUNCTION("""COMPUTED_VALUE"""),19.0)</f>
        <v>19</v>
      </c>
      <c r="M937" s="4">
        <f>IFERROR(__xludf.DUMMYFUNCTION("""COMPUTED_VALUE"""),90.0)</f>
        <v>90</v>
      </c>
      <c r="N937" s="2" t="str">
        <f>IFERROR(__xludf.DUMMYFUNCTION("""COMPUTED_VALUE"""),"VERDADERO")</f>
        <v>VERDADERO</v>
      </c>
    </row>
    <row r="938">
      <c r="A938" s="2">
        <f>IFERROR(__xludf.DUMMYFUNCTION("""COMPUTED_VALUE"""),937.0)</f>
        <v>937</v>
      </c>
      <c r="B938" s="2" t="str">
        <f>IFERROR(__xludf.DUMMYFUNCTION("""COMPUTED_VALUE"""),"Chadd Sturdgess")</f>
        <v>Chadd Sturdgess</v>
      </c>
      <c r="C938" s="2" t="str">
        <f>IFERROR(__xludf.DUMMYFUNCTION("""COMPUTED_VALUE"""),"csturdgessq1@angelfire.com")</f>
        <v>csturdgessq1@angelfire.com</v>
      </c>
      <c r="D938" s="4">
        <f>IFERROR(__xludf.DUMMYFUNCTION("""COMPUTED_VALUE"""),17.0)</f>
        <v>17</v>
      </c>
      <c r="E938" s="4">
        <f>IFERROR(__xludf.DUMMYFUNCTION("""COMPUTED_VALUE"""),30.0)</f>
        <v>30</v>
      </c>
      <c r="F938" s="4">
        <f>IFERROR(__xludf.DUMMYFUNCTION("""COMPUTED_VALUE"""),11.0)</f>
        <v>11</v>
      </c>
      <c r="G938" s="4">
        <f>IFERROR(__xludf.DUMMYFUNCTION("""COMPUTED_VALUE"""),763.0)</f>
        <v>763</v>
      </c>
      <c r="H938" s="5">
        <f>IFERROR(__xludf.DUMMYFUNCTION("""COMPUTED_VALUE"""),7913.98)</f>
        <v>7913.98</v>
      </c>
      <c r="I938" s="5">
        <f>IFERROR(__xludf.DUMMYFUNCTION("""COMPUTED_VALUE"""),9217.28)</f>
        <v>9217.28</v>
      </c>
      <c r="J938" s="5">
        <f>IFERROR(__xludf.DUMMYFUNCTION("""COMPUTED_VALUE"""),4530.49)</f>
        <v>4530.49</v>
      </c>
      <c r="K938" s="5">
        <f>IFERROR(__xludf.DUMMYFUNCTION("""COMPUTED_VALUE"""),5582.55)</f>
        <v>5582.55</v>
      </c>
      <c r="L938" s="4">
        <f>IFERROR(__xludf.DUMMYFUNCTION("""COMPUTED_VALUE"""),12.0)</f>
        <v>12</v>
      </c>
      <c r="M938" s="4">
        <f>IFERROR(__xludf.DUMMYFUNCTION("""COMPUTED_VALUE"""),95.0)</f>
        <v>95</v>
      </c>
      <c r="N938" s="2" t="str">
        <f>IFERROR(__xludf.DUMMYFUNCTION("""COMPUTED_VALUE"""),"VERDADERO")</f>
        <v>VERDADERO</v>
      </c>
    </row>
    <row r="939">
      <c r="A939" s="2">
        <f>IFERROR(__xludf.DUMMYFUNCTION("""COMPUTED_VALUE"""),938.0)</f>
        <v>938</v>
      </c>
      <c r="B939" s="2" t="str">
        <f>IFERROR(__xludf.DUMMYFUNCTION("""COMPUTED_VALUE"""),"Debora Killock")</f>
        <v>Debora Killock</v>
      </c>
      <c r="C939" s="2" t="str">
        <f>IFERROR(__xludf.DUMMYFUNCTION("""COMPUTED_VALUE"""),"dkillockq2@baidu.com")</f>
        <v>dkillockq2@baidu.com</v>
      </c>
      <c r="D939" s="4">
        <f>IFERROR(__xludf.DUMMYFUNCTION("""COMPUTED_VALUE"""),29.0)</f>
        <v>29</v>
      </c>
      <c r="E939" s="4">
        <f>IFERROR(__xludf.DUMMYFUNCTION("""COMPUTED_VALUE"""),55.0)</f>
        <v>55</v>
      </c>
      <c r="F939" s="4">
        <f>IFERROR(__xludf.DUMMYFUNCTION("""COMPUTED_VALUE"""),8.0)</f>
        <v>8</v>
      </c>
      <c r="G939" s="4">
        <f>IFERROR(__xludf.DUMMYFUNCTION("""COMPUTED_VALUE"""),1434.0)</f>
        <v>1434</v>
      </c>
      <c r="H939" s="5">
        <f>IFERROR(__xludf.DUMMYFUNCTION("""COMPUTED_VALUE"""),3184.27)</f>
        <v>3184.27</v>
      </c>
      <c r="I939" s="5">
        <f>IFERROR(__xludf.DUMMYFUNCTION("""COMPUTED_VALUE"""),5881.92)</f>
        <v>5881.92</v>
      </c>
      <c r="J939" s="5">
        <f>IFERROR(__xludf.DUMMYFUNCTION("""COMPUTED_VALUE"""),439.35)</f>
        <v>439.35</v>
      </c>
      <c r="K939" s="5">
        <f>IFERROR(__xludf.DUMMYFUNCTION("""COMPUTED_VALUE"""),4908.67)</f>
        <v>4908.67</v>
      </c>
      <c r="L939" s="4">
        <f>IFERROR(__xludf.DUMMYFUNCTION("""COMPUTED_VALUE"""),8.0)</f>
        <v>8</v>
      </c>
      <c r="M939" s="4">
        <f>IFERROR(__xludf.DUMMYFUNCTION("""COMPUTED_VALUE"""),82.0)</f>
        <v>82</v>
      </c>
      <c r="N939" s="2" t="str">
        <f>IFERROR(__xludf.DUMMYFUNCTION("""COMPUTED_VALUE"""),"VERDADERO")</f>
        <v>VERDADERO</v>
      </c>
    </row>
    <row r="940">
      <c r="A940" s="2">
        <f>IFERROR(__xludf.DUMMYFUNCTION("""COMPUTED_VALUE"""),939.0)</f>
        <v>939</v>
      </c>
      <c r="B940" s="2" t="str">
        <f>IFERROR(__xludf.DUMMYFUNCTION("""COMPUTED_VALUE"""),"Lorilyn Mulbry")</f>
        <v>Lorilyn Mulbry</v>
      </c>
      <c r="C940" s="2" t="str">
        <f>IFERROR(__xludf.DUMMYFUNCTION("""COMPUTED_VALUE"""),"lmulbryq3@printfriendly.com")</f>
        <v>lmulbryq3@printfriendly.com</v>
      </c>
      <c r="D940" s="4">
        <f>IFERROR(__xludf.DUMMYFUNCTION("""COMPUTED_VALUE"""),120.0)</f>
        <v>120</v>
      </c>
      <c r="E940" s="4">
        <f>IFERROR(__xludf.DUMMYFUNCTION("""COMPUTED_VALUE"""),66.0)</f>
        <v>66</v>
      </c>
      <c r="F940" s="4">
        <f>IFERROR(__xludf.DUMMYFUNCTION("""COMPUTED_VALUE"""),6.0)</f>
        <v>6</v>
      </c>
      <c r="G940" s="4">
        <f>IFERROR(__xludf.DUMMYFUNCTION("""COMPUTED_VALUE"""),889.0)</f>
        <v>889</v>
      </c>
      <c r="H940" s="5">
        <f>IFERROR(__xludf.DUMMYFUNCTION("""COMPUTED_VALUE"""),2493.33)</f>
        <v>2493.33</v>
      </c>
      <c r="I940" s="5">
        <f>IFERROR(__xludf.DUMMYFUNCTION("""COMPUTED_VALUE"""),448.25)</f>
        <v>448.25</v>
      </c>
      <c r="J940" s="5">
        <f>IFERROR(__xludf.DUMMYFUNCTION("""COMPUTED_VALUE"""),4906.31)</f>
        <v>4906.31</v>
      </c>
      <c r="K940" s="5">
        <f>IFERROR(__xludf.DUMMYFUNCTION("""COMPUTED_VALUE"""),2706.21)</f>
        <v>2706.21</v>
      </c>
      <c r="L940" s="4">
        <f>IFERROR(__xludf.DUMMYFUNCTION("""COMPUTED_VALUE"""),5.0)</f>
        <v>5</v>
      </c>
      <c r="M940" s="4">
        <f>IFERROR(__xludf.DUMMYFUNCTION("""COMPUTED_VALUE"""),81.0)</f>
        <v>81</v>
      </c>
      <c r="N940" s="2" t="str">
        <f>IFERROR(__xludf.DUMMYFUNCTION("""COMPUTED_VALUE"""),"FALSO")</f>
        <v>FALSO</v>
      </c>
    </row>
    <row r="941">
      <c r="A941" s="2">
        <f>IFERROR(__xludf.DUMMYFUNCTION("""COMPUTED_VALUE"""),940.0)</f>
        <v>940</v>
      </c>
      <c r="B941" s="2" t="str">
        <f>IFERROR(__xludf.DUMMYFUNCTION("""COMPUTED_VALUE"""),"Jared Grichukhin")</f>
        <v>Jared Grichukhin</v>
      </c>
      <c r="C941" s="2" t="str">
        <f>IFERROR(__xludf.DUMMYFUNCTION("""COMPUTED_VALUE"""),"jgrichukhinq4@seattletimes.com")</f>
        <v>jgrichukhinq4@seattletimes.com</v>
      </c>
      <c r="D941" s="4">
        <f>IFERROR(__xludf.DUMMYFUNCTION("""COMPUTED_VALUE"""),29.0)</f>
        <v>29</v>
      </c>
      <c r="E941" s="4">
        <f>IFERROR(__xludf.DUMMYFUNCTION("""COMPUTED_VALUE"""),81.0)</f>
        <v>81</v>
      </c>
      <c r="F941" s="4">
        <f>IFERROR(__xludf.DUMMYFUNCTION("""COMPUTED_VALUE"""),2.0)</f>
        <v>2</v>
      </c>
      <c r="G941" s="4">
        <f>IFERROR(__xludf.DUMMYFUNCTION("""COMPUTED_VALUE"""),1551.0)</f>
        <v>1551</v>
      </c>
      <c r="H941" s="5">
        <f>IFERROR(__xludf.DUMMYFUNCTION("""COMPUTED_VALUE"""),2373.38)</f>
        <v>2373.38</v>
      </c>
      <c r="I941" s="5">
        <f>IFERROR(__xludf.DUMMYFUNCTION("""COMPUTED_VALUE"""),7449.2)</f>
        <v>7449.2</v>
      </c>
      <c r="J941" s="5">
        <f>IFERROR(__xludf.DUMMYFUNCTION("""COMPUTED_VALUE"""),3437.65)</f>
        <v>3437.65</v>
      </c>
      <c r="K941" s="5">
        <f>IFERROR(__xludf.DUMMYFUNCTION("""COMPUTED_VALUE"""),2141.21)</f>
        <v>2141.21</v>
      </c>
      <c r="L941" s="4">
        <f>IFERROR(__xludf.DUMMYFUNCTION("""COMPUTED_VALUE"""),7.0)</f>
        <v>7</v>
      </c>
      <c r="M941" s="4">
        <f>IFERROR(__xludf.DUMMYFUNCTION("""COMPUTED_VALUE"""),78.0)</f>
        <v>78</v>
      </c>
      <c r="N941" s="2" t="str">
        <f>IFERROR(__xludf.DUMMYFUNCTION("""COMPUTED_VALUE"""),"FALSO")</f>
        <v>FALSO</v>
      </c>
    </row>
    <row r="942">
      <c r="A942" s="2">
        <f>IFERROR(__xludf.DUMMYFUNCTION("""COMPUTED_VALUE"""),941.0)</f>
        <v>941</v>
      </c>
      <c r="B942" s="2" t="str">
        <f>IFERROR(__xludf.DUMMYFUNCTION("""COMPUTED_VALUE"""),"Prentiss Vankeev")</f>
        <v>Prentiss Vankeev</v>
      </c>
      <c r="C942" s="2" t="str">
        <f>IFERROR(__xludf.DUMMYFUNCTION("""COMPUTED_VALUE"""),"pvankeevq5@xrea.com")</f>
        <v>pvankeevq5@xrea.com</v>
      </c>
      <c r="D942" s="4">
        <f>IFERROR(__xludf.DUMMYFUNCTION("""COMPUTED_VALUE"""),2.0)</f>
        <v>2</v>
      </c>
      <c r="E942" s="4">
        <f>IFERROR(__xludf.DUMMYFUNCTION("""COMPUTED_VALUE"""),90.0)</f>
        <v>90</v>
      </c>
      <c r="F942" s="4">
        <f>IFERROR(__xludf.DUMMYFUNCTION("""COMPUTED_VALUE"""),5.0)</f>
        <v>5</v>
      </c>
      <c r="G942" s="4">
        <f>IFERROR(__xludf.DUMMYFUNCTION("""COMPUTED_VALUE"""),1329.0)</f>
        <v>1329</v>
      </c>
      <c r="H942" s="5">
        <f>IFERROR(__xludf.DUMMYFUNCTION("""COMPUTED_VALUE"""),3429.63)</f>
        <v>3429.63</v>
      </c>
      <c r="I942" s="5">
        <f>IFERROR(__xludf.DUMMYFUNCTION("""COMPUTED_VALUE"""),5916.63)</f>
        <v>5916.63</v>
      </c>
      <c r="J942" s="5">
        <f>IFERROR(__xludf.DUMMYFUNCTION("""COMPUTED_VALUE"""),9926.28)</f>
        <v>9926.28</v>
      </c>
      <c r="K942" s="5">
        <f>IFERROR(__xludf.DUMMYFUNCTION("""COMPUTED_VALUE"""),132.07)</f>
        <v>132.07</v>
      </c>
      <c r="L942" s="4">
        <f>IFERROR(__xludf.DUMMYFUNCTION("""COMPUTED_VALUE"""),8.0)</f>
        <v>8</v>
      </c>
      <c r="M942" s="4">
        <f>IFERROR(__xludf.DUMMYFUNCTION("""COMPUTED_VALUE"""),15.0)</f>
        <v>15</v>
      </c>
      <c r="N942" s="2" t="str">
        <f>IFERROR(__xludf.DUMMYFUNCTION("""COMPUTED_VALUE"""),"FALSO")</f>
        <v>FALSO</v>
      </c>
    </row>
    <row r="943">
      <c r="A943" s="2">
        <f>IFERROR(__xludf.DUMMYFUNCTION("""COMPUTED_VALUE"""),942.0)</f>
        <v>942</v>
      </c>
      <c r="B943" s="2" t="str">
        <f>IFERROR(__xludf.DUMMYFUNCTION("""COMPUTED_VALUE"""),"Lilli Jeannequin")</f>
        <v>Lilli Jeannequin</v>
      </c>
      <c r="C943" s="2" t="str">
        <f>IFERROR(__xludf.DUMMYFUNCTION("""COMPUTED_VALUE"""),"ljeannequinq6@twitpic.com")</f>
        <v>ljeannequinq6@twitpic.com</v>
      </c>
      <c r="D943" s="4">
        <f>IFERROR(__xludf.DUMMYFUNCTION("""COMPUTED_VALUE"""),49.0)</f>
        <v>49</v>
      </c>
      <c r="E943" s="4">
        <f>IFERROR(__xludf.DUMMYFUNCTION("""COMPUTED_VALUE"""),64.0)</f>
        <v>64</v>
      </c>
      <c r="F943" s="4">
        <f>IFERROR(__xludf.DUMMYFUNCTION("""COMPUTED_VALUE"""),4.0)</f>
        <v>4</v>
      </c>
      <c r="G943" s="4">
        <f>IFERROR(__xludf.DUMMYFUNCTION("""COMPUTED_VALUE"""),1248.0)</f>
        <v>1248</v>
      </c>
      <c r="H943" s="5">
        <f>IFERROR(__xludf.DUMMYFUNCTION("""COMPUTED_VALUE"""),2269.39)</f>
        <v>2269.39</v>
      </c>
      <c r="I943" s="5">
        <f>IFERROR(__xludf.DUMMYFUNCTION("""COMPUTED_VALUE"""),2429.24)</f>
        <v>2429.24</v>
      </c>
      <c r="J943" s="5">
        <f>IFERROR(__xludf.DUMMYFUNCTION("""COMPUTED_VALUE"""),3476.97)</f>
        <v>3476.97</v>
      </c>
      <c r="K943" s="5">
        <f>IFERROR(__xludf.DUMMYFUNCTION("""COMPUTED_VALUE"""),2993.46)</f>
        <v>2993.46</v>
      </c>
      <c r="L943" s="4">
        <f>IFERROR(__xludf.DUMMYFUNCTION("""COMPUTED_VALUE"""),13.0)</f>
        <v>13</v>
      </c>
      <c r="M943" s="4">
        <f>IFERROR(__xludf.DUMMYFUNCTION("""COMPUTED_VALUE"""),58.0)</f>
        <v>58</v>
      </c>
      <c r="N943" s="2" t="str">
        <f>IFERROR(__xludf.DUMMYFUNCTION("""COMPUTED_VALUE"""),"FALSO")</f>
        <v>FALSO</v>
      </c>
    </row>
    <row r="944">
      <c r="A944" s="2">
        <f>IFERROR(__xludf.DUMMYFUNCTION("""COMPUTED_VALUE"""),943.0)</f>
        <v>943</v>
      </c>
      <c r="B944" s="2" t="str">
        <f>IFERROR(__xludf.DUMMYFUNCTION("""COMPUTED_VALUE"""),"Trumann Lyon")</f>
        <v>Trumann Lyon</v>
      </c>
      <c r="C944" s="2" t="str">
        <f>IFERROR(__xludf.DUMMYFUNCTION("""COMPUTED_VALUE"""),"tlyonq7@eventbrite.com")</f>
        <v>tlyonq7@eventbrite.com</v>
      </c>
      <c r="D944" s="4">
        <f>IFERROR(__xludf.DUMMYFUNCTION("""COMPUTED_VALUE"""),120.0)</f>
        <v>120</v>
      </c>
      <c r="E944" s="4">
        <f>IFERROR(__xludf.DUMMYFUNCTION("""COMPUTED_VALUE"""),15.0)</f>
        <v>15</v>
      </c>
      <c r="F944" s="4">
        <f>IFERROR(__xludf.DUMMYFUNCTION("""COMPUTED_VALUE"""),6.0)</f>
        <v>6</v>
      </c>
      <c r="G944" s="4">
        <f>IFERROR(__xludf.DUMMYFUNCTION("""COMPUTED_VALUE"""),194.0)</f>
        <v>194</v>
      </c>
      <c r="H944" s="5">
        <f>IFERROR(__xludf.DUMMYFUNCTION("""COMPUTED_VALUE"""),8246.85)</f>
        <v>8246.85</v>
      </c>
      <c r="I944" s="5">
        <f>IFERROR(__xludf.DUMMYFUNCTION("""COMPUTED_VALUE"""),3786.91)</f>
        <v>3786.91</v>
      </c>
      <c r="J944" s="5">
        <f>IFERROR(__xludf.DUMMYFUNCTION("""COMPUTED_VALUE"""),6397.74)</f>
        <v>6397.74</v>
      </c>
      <c r="K944" s="5">
        <f>IFERROR(__xludf.DUMMYFUNCTION("""COMPUTED_VALUE"""),5144.31)</f>
        <v>5144.31</v>
      </c>
      <c r="L944" s="4">
        <f>IFERROR(__xludf.DUMMYFUNCTION("""COMPUTED_VALUE"""),8.0)</f>
        <v>8</v>
      </c>
      <c r="M944" s="4">
        <f>IFERROR(__xludf.DUMMYFUNCTION("""COMPUTED_VALUE"""),77.0)</f>
        <v>77</v>
      </c>
      <c r="N944" s="2" t="str">
        <f>IFERROR(__xludf.DUMMYFUNCTION("""COMPUTED_VALUE"""),"FALSO")</f>
        <v>FALSO</v>
      </c>
    </row>
    <row r="945">
      <c r="A945" s="2">
        <f>IFERROR(__xludf.DUMMYFUNCTION("""COMPUTED_VALUE"""),944.0)</f>
        <v>944</v>
      </c>
      <c r="B945" s="2" t="str">
        <f>IFERROR(__xludf.DUMMYFUNCTION("""COMPUTED_VALUE"""),"Lindi Eastup")</f>
        <v>Lindi Eastup</v>
      </c>
      <c r="C945" s="2" t="str">
        <f>IFERROR(__xludf.DUMMYFUNCTION("""COMPUTED_VALUE"""),"leastupq8@plala.or.jp")</f>
        <v>leastupq8@plala.or.jp</v>
      </c>
      <c r="D945" s="4">
        <f>IFERROR(__xludf.DUMMYFUNCTION("""COMPUTED_VALUE"""),137.0)</f>
        <v>137</v>
      </c>
      <c r="E945" s="4">
        <f>IFERROR(__xludf.DUMMYFUNCTION("""COMPUTED_VALUE"""),72.0)</f>
        <v>72</v>
      </c>
      <c r="F945" s="4">
        <f>IFERROR(__xludf.DUMMYFUNCTION("""COMPUTED_VALUE"""),6.0)</f>
        <v>6</v>
      </c>
      <c r="G945" s="4">
        <f>IFERROR(__xludf.DUMMYFUNCTION("""COMPUTED_VALUE"""),448.0)</f>
        <v>448</v>
      </c>
      <c r="H945" s="5">
        <f>IFERROR(__xludf.DUMMYFUNCTION("""COMPUTED_VALUE"""),5011.87)</f>
        <v>5011.87</v>
      </c>
      <c r="I945" s="5">
        <f>IFERROR(__xludf.DUMMYFUNCTION("""COMPUTED_VALUE"""),3152.69)</f>
        <v>3152.69</v>
      </c>
      <c r="J945" s="5">
        <f>IFERROR(__xludf.DUMMYFUNCTION("""COMPUTED_VALUE"""),7148.69)</f>
        <v>7148.69</v>
      </c>
      <c r="K945" s="5">
        <f>IFERROR(__xludf.DUMMYFUNCTION("""COMPUTED_VALUE"""),6681.14)</f>
        <v>6681.14</v>
      </c>
      <c r="L945" s="4">
        <f>IFERROR(__xludf.DUMMYFUNCTION("""COMPUTED_VALUE"""),6.0)</f>
        <v>6</v>
      </c>
      <c r="M945" s="4">
        <f>IFERROR(__xludf.DUMMYFUNCTION("""COMPUTED_VALUE"""),4.0)</f>
        <v>4</v>
      </c>
      <c r="N945" s="2" t="str">
        <f>IFERROR(__xludf.DUMMYFUNCTION("""COMPUTED_VALUE"""),"FALSO")</f>
        <v>FALSO</v>
      </c>
    </row>
    <row r="946">
      <c r="A946" s="2">
        <f>IFERROR(__xludf.DUMMYFUNCTION("""COMPUTED_VALUE"""),945.0)</f>
        <v>945</v>
      </c>
      <c r="B946" s="2" t="str">
        <f>IFERROR(__xludf.DUMMYFUNCTION("""COMPUTED_VALUE"""),"Terrie MacCostigan")</f>
        <v>Terrie MacCostigan</v>
      </c>
      <c r="C946" s="2" t="str">
        <f>IFERROR(__xludf.DUMMYFUNCTION("""COMPUTED_VALUE"""),"tmaccostiganq9@github.com")</f>
        <v>tmaccostiganq9@github.com</v>
      </c>
      <c r="D946" s="4">
        <f>IFERROR(__xludf.DUMMYFUNCTION("""COMPUTED_VALUE"""),29.0)</f>
        <v>29</v>
      </c>
      <c r="E946" s="4">
        <f>IFERROR(__xludf.DUMMYFUNCTION("""COMPUTED_VALUE"""),40.0)</f>
        <v>40</v>
      </c>
      <c r="F946" s="4">
        <f>IFERROR(__xludf.DUMMYFUNCTION("""COMPUTED_VALUE"""),1.0)</f>
        <v>1</v>
      </c>
      <c r="G946" s="4">
        <f>IFERROR(__xludf.DUMMYFUNCTION("""COMPUTED_VALUE"""),1313.0)</f>
        <v>1313</v>
      </c>
      <c r="H946" s="5">
        <f>IFERROR(__xludf.DUMMYFUNCTION("""COMPUTED_VALUE"""),5125.6)</f>
        <v>5125.6</v>
      </c>
      <c r="I946" s="5">
        <f>IFERROR(__xludf.DUMMYFUNCTION("""COMPUTED_VALUE"""),7057.1)</f>
        <v>7057.1</v>
      </c>
      <c r="J946" s="5">
        <f>IFERROR(__xludf.DUMMYFUNCTION("""COMPUTED_VALUE"""),1391.0)</f>
        <v>1391</v>
      </c>
      <c r="K946" s="5">
        <f>IFERROR(__xludf.DUMMYFUNCTION("""COMPUTED_VALUE"""),1328.32)</f>
        <v>1328.32</v>
      </c>
      <c r="L946" s="4">
        <f>IFERROR(__xludf.DUMMYFUNCTION("""COMPUTED_VALUE"""),20.0)</f>
        <v>20</v>
      </c>
      <c r="M946" s="4">
        <f>IFERROR(__xludf.DUMMYFUNCTION("""COMPUTED_VALUE"""),50.0)</f>
        <v>50</v>
      </c>
      <c r="N946" s="2" t="str">
        <f>IFERROR(__xludf.DUMMYFUNCTION("""COMPUTED_VALUE"""),"VERDADERO")</f>
        <v>VERDADERO</v>
      </c>
    </row>
    <row r="947">
      <c r="A947" s="2">
        <f>IFERROR(__xludf.DUMMYFUNCTION("""COMPUTED_VALUE"""),946.0)</f>
        <v>946</v>
      </c>
      <c r="B947" s="2" t="str">
        <f>IFERROR(__xludf.DUMMYFUNCTION("""COMPUTED_VALUE"""),"Ben Remon")</f>
        <v>Ben Remon</v>
      </c>
      <c r="C947" s="2" t="str">
        <f>IFERROR(__xludf.DUMMYFUNCTION("""COMPUTED_VALUE"""),"bremonqa@vimeo.com")</f>
        <v>bremonqa@vimeo.com</v>
      </c>
      <c r="D947" s="4">
        <f>IFERROR(__xludf.DUMMYFUNCTION("""COMPUTED_VALUE"""),68.0)</f>
        <v>68</v>
      </c>
      <c r="E947" s="4">
        <f>IFERROR(__xludf.DUMMYFUNCTION("""COMPUTED_VALUE"""),81.0)</f>
        <v>81</v>
      </c>
      <c r="F947" s="4">
        <f>IFERROR(__xludf.DUMMYFUNCTION("""COMPUTED_VALUE"""),2.0)</f>
        <v>2</v>
      </c>
      <c r="G947" s="4">
        <f>IFERROR(__xludf.DUMMYFUNCTION("""COMPUTED_VALUE"""),1130.0)</f>
        <v>1130</v>
      </c>
      <c r="H947" s="5">
        <f>IFERROR(__xludf.DUMMYFUNCTION("""COMPUTED_VALUE"""),3957.01)</f>
        <v>3957.01</v>
      </c>
      <c r="I947" s="5">
        <f>IFERROR(__xludf.DUMMYFUNCTION("""COMPUTED_VALUE"""),8026.11)</f>
        <v>8026.11</v>
      </c>
      <c r="J947" s="5">
        <f>IFERROR(__xludf.DUMMYFUNCTION("""COMPUTED_VALUE"""),3677.58)</f>
        <v>3677.58</v>
      </c>
      <c r="K947" s="5">
        <f>IFERROR(__xludf.DUMMYFUNCTION("""COMPUTED_VALUE"""),6998.84)</f>
        <v>6998.84</v>
      </c>
      <c r="L947" s="4">
        <f>IFERROR(__xludf.DUMMYFUNCTION("""COMPUTED_VALUE"""),10.0)</f>
        <v>10</v>
      </c>
      <c r="M947" s="4">
        <f>IFERROR(__xludf.DUMMYFUNCTION("""COMPUTED_VALUE"""),92.0)</f>
        <v>92</v>
      </c>
      <c r="N947" s="2" t="str">
        <f>IFERROR(__xludf.DUMMYFUNCTION("""COMPUTED_VALUE"""),"VERDADERO")</f>
        <v>VERDADERO</v>
      </c>
    </row>
    <row r="948">
      <c r="A948" s="2">
        <f>IFERROR(__xludf.DUMMYFUNCTION("""COMPUTED_VALUE"""),947.0)</f>
        <v>947</v>
      </c>
      <c r="B948" s="2" t="str">
        <f>IFERROR(__xludf.DUMMYFUNCTION("""COMPUTED_VALUE"""),"Aleksandr Bradwell")</f>
        <v>Aleksandr Bradwell</v>
      </c>
      <c r="C948" s="2" t="str">
        <f>IFERROR(__xludf.DUMMYFUNCTION("""COMPUTED_VALUE"""),"abradwellqb@odnoklassniki.ru")</f>
        <v>abradwellqb@odnoklassniki.ru</v>
      </c>
      <c r="D948" s="4">
        <f>IFERROR(__xludf.DUMMYFUNCTION("""COMPUTED_VALUE"""),17.0)</f>
        <v>17</v>
      </c>
      <c r="E948" s="4">
        <f>IFERROR(__xludf.DUMMYFUNCTION("""COMPUTED_VALUE"""),66.0)</f>
        <v>66</v>
      </c>
      <c r="F948" s="4">
        <f>IFERROR(__xludf.DUMMYFUNCTION("""COMPUTED_VALUE"""),6.0)</f>
        <v>6</v>
      </c>
      <c r="G948" s="4">
        <f>IFERROR(__xludf.DUMMYFUNCTION("""COMPUTED_VALUE"""),1172.0)</f>
        <v>1172</v>
      </c>
      <c r="H948" s="5">
        <f>IFERROR(__xludf.DUMMYFUNCTION("""COMPUTED_VALUE"""),3457.63)</f>
        <v>3457.63</v>
      </c>
      <c r="I948" s="5">
        <f>IFERROR(__xludf.DUMMYFUNCTION("""COMPUTED_VALUE"""),8393.06)</f>
        <v>8393.06</v>
      </c>
      <c r="J948" s="5">
        <f>IFERROR(__xludf.DUMMYFUNCTION("""COMPUTED_VALUE"""),7603.32)</f>
        <v>7603.32</v>
      </c>
      <c r="K948" s="5">
        <f>IFERROR(__xludf.DUMMYFUNCTION("""COMPUTED_VALUE"""),8507.71)</f>
        <v>8507.71</v>
      </c>
      <c r="L948" s="4">
        <f>IFERROR(__xludf.DUMMYFUNCTION("""COMPUTED_VALUE"""),18.0)</f>
        <v>18</v>
      </c>
      <c r="M948" s="4">
        <f>IFERROR(__xludf.DUMMYFUNCTION("""COMPUTED_VALUE"""),27.0)</f>
        <v>27</v>
      </c>
      <c r="N948" s="2" t="str">
        <f>IFERROR(__xludf.DUMMYFUNCTION("""COMPUTED_VALUE"""),"FALSO")</f>
        <v>FALSO</v>
      </c>
    </row>
    <row r="949">
      <c r="A949" s="2">
        <f>IFERROR(__xludf.DUMMYFUNCTION("""COMPUTED_VALUE"""),948.0)</f>
        <v>948</v>
      </c>
      <c r="B949" s="2" t="str">
        <f>IFERROR(__xludf.DUMMYFUNCTION("""COMPUTED_VALUE"""),"Harwilll Nutbean")</f>
        <v>Harwilll Nutbean</v>
      </c>
      <c r="C949" s="2" t="str">
        <f>IFERROR(__xludf.DUMMYFUNCTION("""COMPUTED_VALUE"""),"hnutbeanqc@over-blog.com")</f>
        <v>hnutbeanqc@over-blog.com</v>
      </c>
      <c r="D949" s="4">
        <f>IFERROR(__xludf.DUMMYFUNCTION("""COMPUTED_VALUE"""),120.0)</f>
        <v>120</v>
      </c>
      <c r="E949" s="4">
        <f>IFERROR(__xludf.DUMMYFUNCTION("""COMPUTED_VALUE"""),24.0)</f>
        <v>24</v>
      </c>
      <c r="F949" s="4">
        <f>IFERROR(__xludf.DUMMYFUNCTION("""COMPUTED_VALUE"""),3.0)</f>
        <v>3</v>
      </c>
      <c r="G949" s="4">
        <f>IFERROR(__xludf.DUMMYFUNCTION("""COMPUTED_VALUE"""),1099.0)</f>
        <v>1099</v>
      </c>
      <c r="H949" s="5">
        <f>IFERROR(__xludf.DUMMYFUNCTION("""COMPUTED_VALUE"""),7239.74)</f>
        <v>7239.74</v>
      </c>
      <c r="I949" s="5">
        <f>IFERROR(__xludf.DUMMYFUNCTION("""COMPUTED_VALUE"""),8667.75)</f>
        <v>8667.75</v>
      </c>
      <c r="J949" s="5">
        <f>IFERROR(__xludf.DUMMYFUNCTION("""COMPUTED_VALUE"""),2141.21)</f>
        <v>2141.21</v>
      </c>
      <c r="K949" s="5">
        <f>IFERROR(__xludf.DUMMYFUNCTION("""COMPUTED_VALUE"""),9040.89)</f>
        <v>9040.89</v>
      </c>
      <c r="L949" s="4">
        <f>IFERROR(__xludf.DUMMYFUNCTION("""COMPUTED_VALUE"""),4.0)</f>
        <v>4</v>
      </c>
      <c r="M949" s="4">
        <f>IFERROR(__xludf.DUMMYFUNCTION("""COMPUTED_VALUE"""),74.0)</f>
        <v>74</v>
      </c>
      <c r="N949" s="2" t="str">
        <f>IFERROR(__xludf.DUMMYFUNCTION("""COMPUTED_VALUE"""),"FALSO")</f>
        <v>FALSO</v>
      </c>
    </row>
    <row r="950">
      <c r="A950" s="2">
        <f>IFERROR(__xludf.DUMMYFUNCTION("""COMPUTED_VALUE"""),949.0)</f>
        <v>949</v>
      </c>
      <c r="B950" s="2" t="str">
        <f>IFERROR(__xludf.DUMMYFUNCTION("""COMPUTED_VALUE"""),"Jaime Petrecz")</f>
        <v>Jaime Petrecz</v>
      </c>
      <c r="C950" s="2" t="str">
        <f>IFERROR(__xludf.DUMMYFUNCTION("""COMPUTED_VALUE"""),"jpetreczqd@miibeian.gov.cn")</f>
        <v>jpetreczqd@miibeian.gov.cn</v>
      </c>
      <c r="D950" s="4">
        <f>IFERROR(__xludf.DUMMYFUNCTION("""COMPUTED_VALUE"""),29.0)</f>
        <v>29</v>
      </c>
      <c r="E950" s="4">
        <f>IFERROR(__xludf.DUMMYFUNCTION("""COMPUTED_VALUE"""),59.0)</f>
        <v>59</v>
      </c>
      <c r="F950" s="4">
        <f>IFERROR(__xludf.DUMMYFUNCTION("""COMPUTED_VALUE"""),8.0)</f>
        <v>8</v>
      </c>
      <c r="G950" s="4">
        <f>IFERROR(__xludf.DUMMYFUNCTION("""COMPUTED_VALUE"""),1062.0)</f>
        <v>1062</v>
      </c>
      <c r="H950" s="5">
        <f>IFERROR(__xludf.DUMMYFUNCTION("""COMPUTED_VALUE"""),1389.03)</f>
        <v>1389.03</v>
      </c>
      <c r="I950" s="5">
        <f>IFERROR(__xludf.DUMMYFUNCTION("""COMPUTED_VALUE"""),6614.0)</f>
        <v>6614</v>
      </c>
      <c r="J950" s="5">
        <f>IFERROR(__xludf.DUMMYFUNCTION("""COMPUTED_VALUE"""),9281.64)</f>
        <v>9281.64</v>
      </c>
      <c r="K950" s="5">
        <f>IFERROR(__xludf.DUMMYFUNCTION("""COMPUTED_VALUE"""),7274.49)</f>
        <v>7274.49</v>
      </c>
      <c r="L950" s="4">
        <f>IFERROR(__xludf.DUMMYFUNCTION("""COMPUTED_VALUE"""),19.0)</f>
        <v>19</v>
      </c>
      <c r="M950" s="4">
        <f>IFERROR(__xludf.DUMMYFUNCTION("""COMPUTED_VALUE"""),71.0)</f>
        <v>71</v>
      </c>
      <c r="N950" s="2" t="str">
        <f>IFERROR(__xludf.DUMMYFUNCTION("""COMPUTED_VALUE"""),"FALSO")</f>
        <v>FALSO</v>
      </c>
    </row>
    <row r="951">
      <c r="A951" s="2">
        <f>IFERROR(__xludf.DUMMYFUNCTION("""COMPUTED_VALUE"""),950.0)</f>
        <v>950</v>
      </c>
      <c r="B951" s="2" t="str">
        <f>IFERROR(__xludf.DUMMYFUNCTION("""COMPUTED_VALUE"""),"Appolonia Vardey")</f>
        <v>Appolonia Vardey</v>
      </c>
      <c r="C951" s="2" t="str">
        <f>IFERROR(__xludf.DUMMYFUNCTION("""COMPUTED_VALUE"""),"avardeyqe@thetimes.co.uk")</f>
        <v>avardeyqe@thetimes.co.uk</v>
      </c>
      <c r="D951" s="4">
        <f>IFERROR(__xludf.DUMMYFUNCTION("""COMPUTED_VALUE"""),94.0)</f>
        <v>94</v>
      </c>
      <c r="E951" s="4">
        <f>IFERROR(__xludf.DUMMYFUNCTION("""COMPUTED_VALUE"""),99.0)</f>
        <v>99</v>
      </c>
      <c r="F951" s="4">
        <f>IFERROR(__xludf.DUMMYFUNCTION("""COMPUTED_VALUE"""),1.0)</f>
        <v>1</v>
      </c>
      <c r="G951" s="4">
        <f>IFERROR(__xludf.DUMMYFUNCTION("""COMPUTED_VALUE"""),371.0)</f>
        <v>371</v>
      </c>
      <c r="H951" s="5">
        <f>IFERROR(__xludf.DUMMYFUNCTION("""COMPUTED_VALUE"""),698.19)</f>
        <v>698.19</v>
      </c>
      <c r="I951" s="5">
        <f>IFERROR(__xludf.DUMMYFUNCTION("""COMPUTED_VALUE"""),8301.63)</f>
        <v>8301.63</v>
      </c>
      <c r="J951" s="5">
        <f>IFERROR(__xludf.DUMMYFUNCTION("""COMPUTED_VALUE"""),4632.7)</f>
        <v>4632.7</v>
      </c>
      <c r="K951" s="5">
        <f>IFERROR(__xludf.DUMMYFUNCTION("""COMPUTED_VALUE"""),6938.75)</f>
        <v>6938.75</v>
      </c>
      <c r="L951" s="4">
        <f>IFERROR(__xludf.DUMMYFUNCTION("""COMPUTED_VALUE"""),20.0)</f>
        <v>20</v>
      </c>
      <c r="M951" s="4">
        <f>IFERROR(__xludf.DUMMYFUNCTION("""COMPUTED_VALUE"""),64.0)</f>
        <v>64</v>
      </c>
      <c r="N951" s="2" t="str">
        <f>IFERROR(__xludf.DUMMYFUNCTION("""COMPUTED_VALUE"""),"VERDADERO")</f>
        <v>VERDADERO</v>
      </c>
    </row>
    <row r="952">
      <c r="A952" s="2">
        <f>IFERROR(__xludf.DUMMYFUNCTION("""COMPUTED_VALUE"""),951.0)</f>
        <v>951</v>
      </c>
      <c r="B952" s="2" t="str">
        <f>IFERROR(__xludf.DUMMYFUNCTION("""COMPUTED_VALUE"""),"Nathalia Renner")</f>
        <v>Nathalia Renner</v>
      </c>
      <c r="C952" s="2" t="str">
        <f>IFERROR(__xludf.DUMMYFUNCTION("""COMPUTED_VALUE"""),"nrennerqf@spotify.com")</f>
        <v>nrennerqf@spotify.com</v>
      </c>
      <c r="D952" s="4">
        <f>IFERROR(__xludf.DUMMYFUNCTION("""COMPUTED_VALUE"""),46.0)</f>
        <v>46</v>
      </c>
      <c r="E952" s="4">
        <f>IFERROR(__xludf.DUMMYFUNCTION("""COMPUTED_VALUE"""),47.0)</f>
        <v>47</v>
      </c>
      <c r="F952" s="4">
        <f>IFERROR(__xludf.DUMMYFUNCTION("""COMPUTED_VALUE"""),4.0)</f>
        <v>4</v>
      </c>
      <c r="G952" s="4">
        <f>IFERROR(__xludf.DUMMYFUNCTION("""COMPUTED_VALUE"""),546.0)</f>
        <v>546</v>
      </c>
      <c r="H952" s="5">
        <f>IFERROR(__xludf.DUMMYFUNCTION("""COMPUTED_VALUE"""),3011.2)</f>
        <v>3011.2</v>
      </c>
      <c r="I952" s="5">
        <f>IFERROR(__xludf.DUMMYFUNCTION("""COMPUTED_VALUE"""),9544.96)</f>
        <v>9544.96</v>
      </c>
      <c r="J952" s="5">
        <f>IFERROR(__xludf.DUMMYFUNCTION("""COMPUTED_VALUE"""),8152.71)</f>
        <v>8152.71</v>
      </c>
      <c r="K952" s="5">
        <f>IFERROR(__xludf.DUMMYFUNCTION("""COMPUTED_VALUE"""),8423.74)</f>
        <v>8423.74</v>
      </c>
      <c r="L952" s="4">
        <f>IFERROR(__xludf.DUMMYFUNCTION("""COMPUTED_VALUE"""),9.0)</f>
        <v>9</v>
      </c>
      <c r="M952" s="4">
        <f>IFERROR(__xludf.DUMMYFUNCTION("""COMPUTED_VALUE"""),74.0)</f>
        <v>74</v>
      </c>
      <c r="N952" s="2" t="str">
        <f>IFERROR(__xludf.DUMMYFUNCTION("""COMPUTED_VALUE"""),"VERDADERO")</f>
        <v>VERDADERO</v>
      </c>
    </row>
    <row r="953">
      <c r="A953" s="2">
        <f>IFERROR(__xludf.DUMMYFUNCTION("""COMPUTED_VALUE"""),952.0)</f>
        <v>952</v>
      </c>
      <c r="B953" s="2" t="str">
        <f>IFERROR(__xludf.DUMMYFUNCTION("""COMPUTED_VALUE"""),"Nani Simkins")</f>
        <v>Nani Simkins</v>
      </c>
      <c r="C953" s="2" t="str">
        <f>IFERROR(__xludf.DUMMYFUNCTION("""COMPUTED_VALUE"""),"nsimkinsqg@house.gov")</f>
        <v>nsimkinsqg@house.gov</v>
      </c>
      <c r="D953" s="4">
        <f>IFERROR(__xludf.DUMMYFUNCTION("""COMPUTED_VALUE"""),120.0)</f>
        <v>120</v>
      </c>
      <c r="E953" s="4">
        <f>IFERROR(__xludf.DUMMYFUNCTION("""COMPUTED_VALUE"""),113.0)</f>
        <v>113</v>
      </c>
      <c r="F953" s="4">
        <f>IFERROR(__xludf.DUMMYFUNCTION("""COMPUTED_VALUE"""),5.0)</f>
        <v>5</v>
      </c>
      <c r="G953" s="4">
        <f>IFERROR(__xludf.DUMMYFUNCTION("""COMPUTED_VALUE"""),291.0)</f>
        <v>291</v>
      </c>
      <c r="H953" s="5">
        <f>IFERROR(__xludf.DUMMYFUNCTION("""COMPUTED_VALUE"""),1618.21)</f>
        <v>1618.21</v>
      </c>
      <c r="I953" s="5">
        <f>IFERROR(__xludf.DUMMYFUNCTION("""COMPUTED_VALUE"""),3145.04)</f>
        <v>3145.04</v>
      </c>
      <c r="J953" s="5">
        <f>IFERROR(__xludf.DUMMYFUNCTION("""COMPUTED_VALUE"""),921.46)</f>
        <v>921.46</v>
      </c>
      <c r="K953" s="5">
        <f>IFERROR(__xludf.DUMMYFUNCTION("""COMPUTED_VALUE"""),8423.26)</f>
        <v>8423.26</v>
      </c>
      <c r="L953" s="4">
        <f>IFERROR(__xludf.DUMMYFUNCTION("""COMPUTED_VALUE"""),1.0)</f>
        <v>1</v>
      </c>
      <c r="M953" s="4">
        <f>IFERROR(__xludf.DUMMYFUNCTION("""COMPUTED_VALUE"""),68.0)</f>
        <v>68</v>
      </c>
      <c r="N953" s="2" t="str">
        <f>IFERROR(__xludf.DUMMYFUNCTION("""COMPUTED_VALUE"""),"VERDADERO")</f>
        <v>VERDADERO</v>
      </c>
    </row>
    <row r="954">
      <c r="A954" s="2">
        <f>IFERROR(__xludf.DUMMYFUNCTION("""COMPUTED_VALUE"""),953.0)</f>
        <v>953</v>
      </c>
      <c r="B954" s="2" t="str">
        <f>IFERROR(__xludf.DUMMYFUNCTION("""COMPUTED_VALUE"""),"Baudoin Frantz")</f>
        <v>Baudoin Frantz</v>
      </c>
      <c r="C954" s="2" t="str">
        <f>IFERROR(__xludf.DUMMYFUNCTION("""COMPUTED_VALUE"""),"bfrantzqh@exblog.jp")</f>
        <v>bfrantzqh@exblog.jp</v>
      </c>
      <c r="D954" s="4">
        <f>IFERROR(__xludf.DUMMYFUNCTION("""COMPUTED_VALUE"""),120.0)</f>
        <v>120</v>
      </c>
      <c r="E954" s="4">
        <f>IFERROR(__xludf.DUMMYFUNCTION("""COMPUTED_VALUE"""),94.0)</f>
        <v>94</v>
      </c>
      <c r="F954" s="4">
        <f>IFERROR(__xludf.DUMMYFUNCTION("""COMPUTED_VALUE"""),9.0)</f>
        <v>9</v>
      </c>
      <c r="G954" s="4">
        <f>IFERROR(__xludf.DUMMYFUNCTION("""COMPUTED_VALUE"""),491.0)</f>
        <v>491</v>
      </c>
      <c r="H954" s="5">
        <f>IFERROR(__xludf.DUMMYFUNCTION("""COMPUTED_VALUE"""),3770.73)</f>
        <v>3770.73</v>
      </c>
      <c r="I954" s="5">
        <f>IFERROR(__xludf.DUMMYFUNCTION("""COMPUTED_VALUE"""),8920.47)</f>
        <v>8920.47</v>
      </c>
      <c r="J954" s="5">
        <f>IFERROR(__xludf.DUMMYFUNCTION("""COMPUTED_VALUE"""),3425.16)</f>
        <v>3425.16</v>
      </c>
      <c r="K954" s="5">
        <f>IFERROR(__xludf.DUMMYFUNCTION("""COMPUTED_VALUE"""),8545.93)</f>
        <v>8545.93</v>
      </c>
      <c r="L954" s="4">
        <f>IFERROR(__xludf.DUMMYFUNCTION("""COMPUTED_VALUE"""),4.0)</f>
        <v>4</v>
      </c>
      <c r="M954" s="4">
        <f>IFERROR(__xludf.DUMMYFUNCTION("""COMPUTED_VALUE"""),80.0)</f>
        <v>80</v>
      </c>
      <c r="N954" s="2" t="str">
        <f>IFERROR(__xludf.DUMMYFUNCTION("""COMPUTED_VALUE"""),"VERDADERO")</f>
        <v>VERDADERO</v>
      </c>
    </row>
    <row r="955">
      <c r="A955" s="2">
        <f>IFERROR(__xludf.DUMMYFUNCTION("""COMPUTED_VALUE"""),954.0)</f>
        <v>954</v>
      </c>
      <c r="B955" s="2" t="str">
        <f>IFERROR(__xludf.DUMMYFUNCTION("""COMPUTED_VALUE"""),"Florinda Alejandro")</f>
        <v>Florinda Alejandro</v>
      </c>
      <c r="C955" s="2" t="str">
        <f>IFERROR(__xludf.DUMMYFUNCTION("""COMPUTED_VALUE"""),"falejandroqi@ftc.gov")</f>
        <v>falejandroqi@ftc.gov</v>
      </c>
      <c r="D955" s="4">
        <f>IFERROR(__xludf.DUMMYFUNCTION("""COMPUTED_VALUE"""),120.0)</f>
        <v>120</v>
      </c>
      <c r="E955" s="4">
        <f>IFERROR(__xludf.DUMMYFUNCTION("""COMPUTED_VALUE"""),40.0)</f>
        <v>40</v>
      </c>
      <c r="F955" s="4">
        <f>IFERROR(__xludf.DUMMYFUNCTION("""COMPUTED_VALUE"""),1.0)</f>
        <v>1</v>
      </c>
      <c r="G955" s="4">
        <f>IFERROR(__xludf.DUMMYFUNCTION("""COMPUTED_VALUE"""),1152.0)</f>
        <v>1152</v>
      </c>
      <c r="H955" s="5">
        <f>IFERROR(__xludf.DUMMYFUNCTION("""COMPUTED_VALUE"""),764.03)</f>
        <v>764.03</v>
      </c>
      <c r="I955" s="5">
        <f>IFERROR(__xludf.DUMMYFUNCTION("""COMPUTED_VALUE"""),5693.44)</f>
        <v>5693.44</v>
      </c>
      <c r="J955" s="5">
        <f>IFERROR(__xludf.DUMMYFUNCTION("""COMPUTED_VALUE"""),1608.58)</f>
        <v>1608.58</v>
      </c>
      <c r="K955" s="5">
        <f>IFERROR(__xludf.DUMMYFUNCTION("""COMPUTED_VALUE"""),8182.51)</f>
        <v>8182.51</v>
      </c>
      <c r="L955" s="4">
        <f>IFERROR(__xludf.DUMMYFUNCTION("""COMPUTED_VALUE"""),2.0)</f>
        <v>2</v>
      </c>
      <c r="M955" s="4">
        <f>IFERROR(__xludf.DUMMYFUNCTION("""COMPUTED_VALUE"""),54.0)</f>
        <v>54</v>
      </c>
      <c r="N955" s="2" t="str">
        <f>IFERROR(__xludf.DUMMYFUNCTION("""COMPUTED_VALUE"""),"FALSO")</f>
        <v>FALSO</v>
      </c>
    </row>
    <row r="956">
      <c r="A956" s="2">
        <f>IFERROR(__xludf.DUMMYFUNCTION("""COMPUTED_VALUE"""),955.0)</f>
        <v>955</v>
      </c>
      <c r="B956" s="2" t="str">
        <f>IFERROR(__xludf.DUMMYFUNCTION("""COMPUTED_VALUE"""),"Ray Gamlyn")</f>
        <v>Ray Gamlyn</v>
      </c>
      <c r="C956" s="2" t="str">
        <f>IFERROR(__xludf.DUMMYFUNCTION("""COMPUTED_VALUE"""),"rgamlynqj@huffingtonpost.com")</f>
        <v>rgamlynqj@huffingtonpost.com</v>
      </c>
      <c r="D956" s="4">
        <f>IFERROR(__xludf.DUMMYFUNCTION("""COMPUTED_VALUE"""),29.0)</f>
        <v>29</v>
      </c>
      <c r="E956" s="4">
        <f>IFERROR(__xludf.DUMMYFUNCTION("""COMPUTED_VALUE"""),81.0)</f>
        <v>81</v>
      </c>
      <c r="F956" s="4">
        <f>IFERROR(__xludf.DUMMYFUNCTION("""COMPUTED_VALUE"""),2.0)</f>
        <v>2</v>
      </c>
      <c r="G956" s="4">
        <f>IFERROR(__xludf.DUMMYFUNCTION("""COMPUTED_VALUE"""),215.0)</f>
        <v>215</v>
      </c>
      <c r="H956" s="5">
        <f>IFERROR(__xludf.DUMMYFUNCTION("""COMPUTED_VALUE"""),2389.32)</f>
        <v>2389.32</v>
      </c>
      <c r="I956" s="5">
        <f>IFERROR(__xludf.DUMMYFUNCTION("""COMPUTED_VALUE"""),9584.53)</f>
        <v>9584.53</v>
      </c>
      <c r="J956" s="5">
        <f>IFERROR(__xludf.DUMMYFUNCTION("""COMPUTED_VALUE"""),1183.74)</f>
        <v>1183.74</v>
      </c>
      <c r="K956" s="5">
        <f>IFERROR(__xludf.DUMMYFUNCTION("""COMPUTED_VALUE"""),3495.09)</f>
        <v>3495.09</v>
      </c>
      <c r="L956" s="4">
        <f>IFERROR(__xludf.DUMMYFUNCTION("""COMPUTED_VALUE"""),16.0)</f>
        <v>16</v>
      </c>
      <c r="M956" s="4">
        <f>IFERROR(__xludf.DUMMYFUNCTION("""COMPUTED_VALUE"""),12.0)</f>
        <v>12</v>
      </c>
      <c r="N956" s="2" t="str">
        <f>IFERROR(__xludf.DUMMYFUNCTION("""COMPUTED_VALUE"""),"VERDADERO")</f>
        <v>VERDADERO</v>
      </c>
    </row>
    <row r="957">
      <c r="A957" s="2">
        <f>IFERROR(__xludf.DUMMYFUNCTION("""COMPUTED_VALUE"""),956.0)</f>
        <v>956</v>
      </c>
      <c r="B957" s="2" t="str">
        <f>IFERROR(__xludf.DUMMYFUNCTION("""COMPUTED_VALUE"""),"Verne Moline")</f>
        <v>Verne Moline</v>
      </c>
      <c r="C957" s="2" t="str">
        <f>IFERROR(__xludf.DUMMYFUNCTION("""COMPUTED_VALUE"""),"vmolineqk@springer.com")</f>
        <v>vmolineqk@springer.com</v>
      </c>
      <c r="D957" s="4">
        <f>IFERROR(__xludf.DUMMYFUNCTION("""COMPUTED_VALUE"""),35.0)</f>
        <v>35</v>
      </c>
      <c r="E957" s="4">
        <f>IFERROR(__xludf.DUMMYFUNCTION("""COMPUTED_VALUE"""),81.0)</f>
        <v>81</v>
      </c>
      <c r="F957" s="4">
        <f>IFERROR(__xludf.DUMMYFUNCTION("""COMPUTED_VALUE"""),2.0)</f>
        <v>2</v>
      </c>
      <c r="G957" s="4">
        <f>IFERROR(__xludf.DUMMYFUNCTION("""COMPUTED_VALUE"""),204.0)</f>
        <v>204</v>
      </c>
      <c r="H957" s="5">
        <f>IFERROR(__xludf.DUMMYFUNCTION("""COMPUTED_VALUE"""),2390.45)</f>
        <v>2390.45</v>
      </c>
      <c r="I957" s="5">
        <f>IFERROR(__xludf.DUMMYFUNCTION("""COMPUTED_VALUE"""),1238.91)</f>
        <v>1238.91</v>
      </c>
      <c r="J957" s="5">
        <f>IFERROR(__xludf.DUMMYFUNCTION("""COMPUTED_VALUE"""),4172.49)</f>
        <v>4172.49</v>
      </c>
      <c r="K957" s="5">
        <f>IFERROR(__xludf.DUMMYFUNCTION("""COMPUTED_VALUE"""),5054.64)</f>
        <v>5054.64</v>
      </c>
      <c r="L957" s="4">
        <f>IFERROR(__xludf.DUMMYFUNCTION("""COMPUTED_VALUE"""),4.0)</f>
        <v>4</v>
      </c>
      <c r="M957" s="4">
        <f>IFERROR(__xludf.DUMMYFUNCTION("""COMPUTED_VALUE"""),25.0)</f>
        <v>25</v>
      </c>
      <c r="N957" s="2" t="str">
        <f>IFERROR(__xludf.DUMMYFUNCTION("""COMPUTED_VALUE"""),"VERDADERO")</f>
        <v>VERDADERO</v>
      </c>
    </row>
    <row r="958">
      <c r="A958" s="2">
        <f>IFERROR(__xludf.DUMMYFUNCTION("""COMPUTED_VALUE"""),957.0)</f>
        <v>957</v>
      </c>
      <c r="B958" s="2" t="str">
        <f>IFERROR(__xludf.DUMMYFUNCTION("""COMPUTED_VALUE"""),"Max Twinborne")</f>
        <v>Max Twinborne</v>
      </c>
      <c r="C958" s="2" t="str">
        <f>IFERROR(__xludf.DUMMYFUNCTION("""COMPUTED_VALUE"""),"mtwinborneql@dagondesign.com")</f>
        <v>mtwinborneql@dagondesign.com</v>
      </c>
      <c r="D958" s="4">
        <f>IFERROR(__xludf.DUMMYFUNCTION("""COMPUTED_VALUE"""),100.0)</f>
        <v>100</v>
      </c>
      <c r="E958" s="4">
        <f>IFERROR(__xludf.DUMMYFUNCTION("""COMPUTED_VALUE"""),66.0)</f>
        <v>66</v>
      </c>
      <c r="F958" s="4">
        <f>IFERROR(__xludf.DUMMYFUNCTION("""COMPUTED_VALUE"""),6.0)</f>
        <v>6</v>
      </c>
      <c r="G958" s="4">
        <f>IFERROR(__xludf.DUMMYFUNCTION("""COMPUTED_VALUE"""),152.0)</f>
        <v>152</v>
      </c>
      <c r="H958" s="5">
        <f>IFERROR(__xludf.DUMMYFUNCTION("""COMPUTED_VALUE"""),3870.36)</f>
        <v>3870.36</v>
      </c>
      <c r="I958" s="5">
        <f>IFERROR(__xludf.DUMMYFUNCTION("""COMPUTED_VALUE"""),6918.24)</f>
        <v>6918.24</v>
      </c>
      <c r="J958" s="5">
        <f>IFERROR(__xludf.DUMMYFUNCTION("""COMPUTED_VALUE"""),8852.79)</f>
        <v>8852.79</v>
      </c>
      <c r="K958" s="5">
        <f>IFERROR(__xludf.DUMMYFUNCTION("""COMPUTED_VALUE"""),7631.3)</f>
        <v>7631.3</v>
      </c>
      <c r="L958" s="4">
        <f>IFERROR(__xludf.DUMMYFUNCTION("""COMPUTED_VALUE"""),2.0)</f>
        <v>2</v>
      </c>
      <c r="M958" s="4">
        <f>IFERROR(__xludf.DUMMYFUNCTION("""COMPUTED_VALUE"""),84.0)</f>
        <v>84</v>
      </c>
      <c r="N958" s="2" t="str">
        <f>IFERROR(__xludf.DUMMYFUNCTION("""COMPUTED_VALUE"""),"VERDADERO")</f>
        <v>VERDADERO</v>
      </c>
    </row>
    <row r="959">
      <c r="A959" s="2">
        <f>IFERROR(__xludf.DUMMYFUNCTION("""COMPUTED_VALUE"""),958.0)</f>
        <v>958</v>
      </c>
      <c r="B959" s="2" t="str">
        <f>IFERROR(__xludf.DUMMYFUNCTION("""COMPUTED_VALUE"""),"Bobbi Calken")</f>
        <v>Bobbi Calken</v>
      </c>
      <c r="C959" s="2" t="str">
        <f>IFERROR(__xludf.DUMMYFUNCTION("""COMPUTED_VALUE"""),"bcalkenqm@skype.com")</f>
        <v>bcalkenqm@skype.com</v>
      </c>
      <c r="D959" s="4">
        <f>IFERROR(__xludf.DUMMYFUNCTION("""COMPUTED_VALUE"""),92.0)</f>
        <v>92</v>
      </c>
      <c r="E959" s="4">
        <f>IFERROR(__xludf.DUMMYFUNCTION("""COMPUTED_VALUE"""),13.0)</f>
        <v>13</v>
      </c>
      <c r="F959" s="4">
        <f>IFERROR(__xludf.DUMMYFUNCTION("""COMPUTED_VALUE"""),6.0)</f>
        <v>6</v>
      </c>
      <c r="G959" s="4">
        <f>IFERROR(__xludf.DUMMYFUNCTION("""COMPUTED_VALUE"""),1371.0)</f>
        <v>1371</v>
      </c>
      <c r="H959" s="5">
        <f>IFERROR(__xludf.DUMMYFUNCTION("""COMPUTED_VALUE"""),1833.0)</f>
        <v>1833</v>
      </c>
      <c r="I959" s="5">
        <f>IFERROR(__xludf.DUMMYFUNCTION("""COMPUTED_VALUE"""),5268.79)</f>
        <v>5268.79</v>
      </c>
      <c r="J959" s="5">
        <f>IFERROR(__xludf.DUMMYFUNCTION("""COMPUTED_VALUE"""),1157.04)</f>
        <v>1157.04</v>
      </c>
      <c r="K959" s="5">
        <f>IFERROR(__xludf.DUMMYFUNCTION("""COMPUTED_VALUE"""),1137.35)</f>
        <v>1137.35</v>
      </c>
      <c r="L959" s="4">
        <f>IFERROR(__xludf.DUMMYFUNCTION("""COMPUTED_VALUE"""),7.0)</f>
        <v>7</v>
      </c>
      <c r="M959" s="4">
        <f>IFERROR(__xludf.DUMMYFUNCTION("""COMPUTED_VALUE"""),64.0)</f>
        <v>64</v>
      </c>
      <c r="N959" s="2" t="str">
        <f>IFERROR(__xludf.DUMMYFUNCTION("""COMPUTED_VALUE"""),"FALSO")</f>
        <v>FALSO</v>
      </c>
    </row>
    <row r="960">
      <c r="A960" s="2">
        <f>IFERROR(__xludf.DUMMYFUNCTION("""COMPUTED_VALUE"""),959.0)</f>
        <v>959</v>
      </c>
      <c r="B960" s="2" t="str">
        <f>IFERROR(__xludf.DUMMYFUNCTION("""COMPUTED_VALUE"""),"Malia Giraldez")</f>
        <v>Malia Giraldez</v>
      </c>
      <c r="C960" s="2" t="str">
        <f>IFERROR(__xludf.DUMMYFUNCTION("""COMPUTED_VALUE"""),"mgiraldezqn@dedecms.com")</f>
        <v>mgiraldezqn@dedecms.com</v>
      </c>
      <c r="D960" s="4">
        <f>IFERROR(__xludf.DUMMYFUNCTION("""COMPUTED_VALUE"""),49.0)</f>
        <v>49</v>
      </c>
      <c r="E960" s="4">
        <f>IFERROR(__xludf.DUMMYFUNCTION("""COMPUTED_VALUE"""),81.0)</f>
        <v>81</v>
      </c>
      <c r="F960" s="4">
        <f>IFERROR(__xludf.DUMMYFUNCTION("""COMPUTED_VALUE"""),2.0)</f>
        <v>2</v>
      </c>
      <c r="G960" s="4">
        <f>IFERROR(__xludf.DUMMYFUNCTION("""COMPUTED_VALUE"""),1144.0)</f>
        <v>1144</v>
      </c>
      <c r="H960" s="5">
        <f>IFERROR(__xludf.DUMMYFUNCTION("""COMPUTED_VALUE"""),6178.74)</f>
        <v>6178.74</v>
      </c>
      <c r="I960" s="5">
        <f>IFERROR(__xludf.DUMMYFUNCTION("""COMPUTED_VALUE"""),9294.18)</f>
        <v>9294.18</v>
      </c>
      <c r="J960" s="5">
        <f>IFERROR(__xludf.DUMMYFUNCTION("""COMPUTED_VALUE"""),7032.83)</f>
        <v>7032.83</v>
      </c>
      <c r="K960" s="5">
        <f>IFERROR(__xludf.DUMMYFUNCTION("""COMPUTED_VALUE"""),4244.18)</f>
        <v>4244.18</v>
      </c>
      <c r="L960" s="4">
        <f>IFERROR(__xludf.DUMMYFUNCTION("""COMPUTED_VALUE"""),17.0)</f>
        <v>17</v>
      </c>
      <c r="M960" s="4">
        <f>IFERROR(__xludf.DUMMYFUNCTION("""COMPUTED_VALUE"""),28.0)</f>
        <v>28</v>
      </c>
      <c r="N960" s="2" t="str">
        <f>IFERROR(__xludf.DUMMYFUNCTION("""COMPUTED_VALUE"""),"VERDADERO")</f>
        <v>VERDADERO</v>
      </c>
    </row>
    <row r="961">
      <c r="A961" s="2">
        <f>IFERROR(__xludf.DUMMYFUNCTION("""COMPUTED_VALUE"""),960.0)</f>
        <v>960</v>
      </c>
      <c r="B961" s="2" t="str">
        <f>IFERROR(__xludf.DUMMYFUNCTION("""COMPUTED_VALUE"""),"Timoteo Sweeten")</f>
        <v>Timoteo Sweeten</v>
      </c>
      <c r="C961" s="2" t="str">
        <f>IFERROR(__xludf.DUMMYFUNCTION("""COMPUTED_VALUE"""),"tsweetenqo@apple.com")</f>
        <v>tsweetenqo@apple.com</v>
      </c>
      <c r="D961" s="4">
        <f>IFERROR(__xludf.DUMMYFUNCTION("""COMPUTED_VALUE"""),37.0)</f>
        <v>37</v>
      </c>
      <c r="E961" s="4">
        <f>IFERROR(__xludf.DUMMYFUNCTION("""COMPUTED_VALUE"""),64.0)</f>
        <v>64</v>
      </c>
      <c r="F961" s="4">
        <f>IFERROR(__xludf.DUMMYFUNCTION("""COMPUTED_VALUE"""),4.0)</f>
        <v>4</v>
      </c>
      <c r="G961" s="4">
        <f>IFERROR(__xludf.DUMMYFUNCTION("""COMPUTED_VALUE"""),173.0)</f>
        <v>173</v>
      </c>
      <c r="H961" s="5">
        <f>IFERROR(__xludf.DUMMYFUNCTION("""COMPUTED_VALUE"""),304.38)</f>
        <v>304.38</v>
      </c>
      <c r="I961" s="5">
        <f>IFERROR(__xludf.DUMMYFUNCTION("""COMPUTED_VALUE"""),5211.84)</f>
        <v>5211.84</v>
      </c>
      <c r="J961" s="5">
        <f>IFERROR(__xludf.DUMMYFUNCTION("""COMPUTED_VALUE"""),6229.83)</f>
        <v>6229.83</v>
      </c>
      <c r="K961" s="5">
        <f>IFERROR(__xludf.DUMMYFUNCTION("""COMPUTED_VALUE"""),9733.43)</f>
        <v>9733.43</v>
      </c>
      <c r="L961" s="4">
        <f>IFERROR(__xludf.DUMMYFUNCTION("""COMPUTED_VALUE"""),20.0)</f>
        <v>20</v>
      </c>
      <c r="M961" s="4">
        <f>IFERROR(__xludf.DUMMYFUNCTION("""COMPUTED_VALUE"""),63.0)</f>
        <v>63</v>
      </c>
      <c r="N961" s="2" t="str">
        <f>IFERROR(__xludf.DUMMYFUNCTION("""COMPUTED_VALUE"""),"VERDADERO")</f>
        <v>VERDADERO</v>
      </c>
    </row>
    <row r="962">
      <c r="A962" s="2">
        <f>IFERROR(__xludf.DUMMYFUNCTION("""COMPUTED_VALUE"""),961.0)</f>
        <v>961</v>
      </c>
      <c r="B962" s="2" t="str">
        <f>IFERROR(__xludf.DUMMYFUNCTION("""COMPUTED_VALUE"""),"Breanne Cram")</f>
        <v>Breanne Cram</v>
      </c>
      <c r="C962" s="2" t="str">
        <f>IFERROR(__xludf.DUMMYFUNCTION("""COMPUTED_VALUE"""),"bcramqp@state.gov")</f>
        <v>bcramqp@state.gov</v>
      </c>
      <c r="D962" s="4">
        <f>IFERROR(__xludf.DUMMYFUNCTION("""COMPUTED_VALUE"""),29.0)</f>
        <v>29</v>
      </c>
      <c r="E962" s="4">
        <f>IFERROR(__xludf.DUMMYFUNCTION("""COMPUTED_VALUE"""),66.0)</f>
        <v>66</v>
      </c>
      <c r="F962" s="4">
        <f>IFERROR(__xludf.DUMMYFUNCTION("""COMPUTED_VALUE"""),6.0)</f>
        <v>6</v>
      </c>
      <c r="G962" s="4">
        <f>IFERROR(__xludf.DUMMYFUNCTION("""COMPUTED_VALUE"""),920.0)</f>
        <v>920</v>
      </c>
      <c r="H962" s="5">
        <f>IFERROR(__xludf.DUMMYFUNCTION("""COMPUTED_VALUE"""),2978.65)</f>
        <v>2978.65</v>
      </c>
      <c r="I962" s="5">
        <f>IFERROR(__xludf.DUMMYFUNCTION("""COMPUTED_VALUE"""),1584.29)</f>
        <v>1584.29</v>
      </c>
      <c r="J962" s="5">
        <f>IFERROR(__xludf.DUMMYFUNCTION("""COMPUTED_VALUE"""),3086.6)</f>
        <v>3086.6</v>
      </c>
      <c r="K962" s="5">
        <f>IFERROR(__xludf.DUMMYFUNCTION("""COMPUTED_VALUE"""),2553.85)</f>
        <v>2553.85</v>
      </c>
      <c r="L962" s="4">
        <f>IFERROR(__xludf.DUMMYFUNCTION("""COMPUTED_VALUE"""),4.0)</f>
        <v>4</v>
      </c>
      <c r="M962" s="4">
        <f>IFERROR(__xludf.DUMMYFUNCTION("""COMPUTED_VALUE"""),88.0)</f>
        <v>88</v>
      </c>
      <c r="N962" s="2" t="str">
        <f>IFERROR(__xludf.DUMMYFUNCTION("""COMPUTED_VALUE"""),"VERDADERO")</f>
        <v>VERDADERO</v>
      </c>
    </row>
    <row r="963">
      <c r="A963" s="2">
        <f>IFERROR(__xludf.DUMMYFUNCTION("""COMPUTED_VALUE"""),962.0)</f>
        <v>962</v>
      </c>
      <c r="B963" s="2" t="str">
        <f>IFERROR(__xludf.DUMMYFUNCTION("""COMPUTED_VALUE"""),"Daphne Sturton")</f>
        <v>Daphne Sturton</v>
      </c>
      <c r="C963" s="2" t="str">
        <f>IFERROR(__xludf.DUMMYFUNCTION("""COMPUTED_VALUE"""),"dsturtonqq@tripod.com")</f>
        <v>dsturtonqq@tripod.com</v>
      </c>
      <c r="D963" s="4">
        <f>IFERROR(__xludf.DUMMYFUNCTION("""COMPUTED_VALUE"""),29.0)</f>
        <v>29</v>
      </c>
      <c r="E963" s="4">
        <f>IFERROR(__xludf.DUMMYFUNCTION("""COMPUTED_VALUE"""),64.0)</f>
        <v>64</v>
      </c>
      <c r="F963" s="4">
        <f>IFERROR(__xludf.DUMMYFUNCTION("""COMPUTED_VALUE"""),4.0)</f>
        <v>4</v>
      </c>
      <c r="G963" s="4">
        <f>IFERROR(__xludf.DUMMYFUNCTION("""COMPUTED_VALUE"""),253.0)</f>
        <v>253</v>
      </c>
      <c r="H963" s="5">
        <f>IFERROR(__xludf.DUMMYFUNCTION("""COMPUTED_VALUE"""),5835.18)</f>
        <v>5835.18</v>
      </c>
      <c r="I963" s="5">
        <f>IFERROR(__xludf.DUMMYFUNCTION("""COMPUTED_VALUE"""),1692.74)</f>
        <v>1692.74</v>
      </c>
      <c r="J963" s="5">
        <f>IFERROR(__xludf.DUMMYFUNCTION("""COMPUTED_VALUE"""),1534.29)</f>
        <v>1534.29</v>
      </c>
      <c r="K963" s="5">
        <f>IFERROR(__xludf.DUMMYFUNCTION("""COMPUTED_VALUE"""),768.67)</f>
        <v>768.67</v>
      </c>
      <c r="L963" s="4">
        <f>IFERROR(__xludf.DUMMYFUNCTION("""COMPUTED_VALUE"""),4.0)</f>
        <v>4</v>
      </c>
      <c r="M963" s="4">
        <f>IFERROR(__xludf.DUMMYFUNCTION("""COMPUTED_VALUE"""),14.0)</f>
        <v>14</v>
      </c>
      <c r="N963" s="2" t="str">
        <f>IFERROR(__xludf.DUMMYFUNCTION("""COMPUTED_VALUE"""),"VERDADERO")</f>
        <v>VERDADERO</v>
      </c>
    </row>
    <row r="964">
      <c r="A964" s="2">
        <f>IFERROR(__xludf.DUMMYFUNCTION("""COMPUTED_VALUE"""),963.0)</f>
        <v>963</v>
      </c>
      <c r="B964" s="2" t="str">
        <f>IFERROR(__xludf.DUMMYFUNCTION("""COMPUTED_VALUE"""),"Welsh Mulcaster")</f>
        <v>Welsh Mulcaster</v>
      </c>
      <c r="C964" s="2" t="str">
        <f>IFERROR(__xludf.DUMMYFUNCTION("""COMPUTED_VALUE"""),"wmulcasterqr@lulu.com")</f>
        <v>wmulcasterqr@lulu.com</v>
      </c>
      <c r="D964" s="4">
        <f>IFERROR(__xludf.DUMMYFUNCTION("""COMPUTED_VALUE"""),37.0)</f>
        <v>37</v>
      </c>
      <c r="E964" s="4">
        <f>IFERROR(__xludf.DUMMYFUNCTION("""COMPUTED_VALUE"""),102.0)</f>
        <v>102</v>
      </c>
      <c r="F964" s="4">
        <f>IFERROR(__xludf.DUMMYFUNCTION("""COMPUTED_VALUE"""),4.0)</f>
        <v>4</v>
      </c>
      <c r="G964" s="4">
        <f>IFERROR(__xludf.DUMMYFUNCTION("""COMPUTED_VALUE"""),75.0)</f>
        <v>75</v>
      </c>
      <c r="H964" s="5">
        <f>IFERROR(__xludf.DUMMYFUNCTION("""COMPUTED_VALUE"""),1547.56)</f>
        <v>1547.56</v>
      </c>
      <c r="I964" s="5">
        <f>IFERROR(__xludf.DUMMYFUNCTION("""COMPUTED_VALUE"""),8885.49)</f>
        <v>8885.49</v>
      </c>
      <c r="J964" s="5">
        <f>IFERROR(__xludf.DUMMYFUNCTION("""COMPUTED_VALUE"""),8409.5)</f>
        <v>8409.5</v>
      </c>
      <c r="K964" s="5">
        <f>IFERROR(__xludf.DUMMYFUNCTION("""COMPUTED_VALUE"""),1995.12)</f>
        <v>1995.12</v>
      </c>
      <c r="L964" s="4">
        <f>IFERROR(__xludf.DUMMYFUNCTION("""COMPUTED_VALUE"""),6.0)</f>
        <v>6</v>
      </c>
      <c r="M964" s="4">
        <f>IFERROR(__xludf.DUMMYFUNCTION("""COMPUTED_VALUE"""),50.0)</f>
        <v>50</v>
      </c>
      <c r="N964" s="2" t="str">
        <f>IFERROR(__xludf.DUMMYFUNCTION("""COMPUTED_VALUE"""),"FALSO")</f>
        <v>FALSO</v>
      </c>
    </row>
    <row r="965">
      <c r="A965" s="2">
        <f>IFERROR(__xludf.DUMMYFUNCTION("""COMPUTED_VALUE"""),964.0)</f>
        <v>964</v>
      </c>
      <c r="B965" s="2" t="str">
        <f>IFERROR(__xludf.DUMMYFUNCTION("""COMPUTED_VALUE"""),"Rhianna Kupisz")</f>
        <v>Rhianna Kupisz</v>
      </c>
      <c r="C965" s="2" t="str">
        <f>IFERROR(__xludf.DUMMYFUNCTION("""COMPUTED_VALUE"""),"rkupiszqs@e-recht24.de")</f>
        <v>rkupiszqs@e-recht24.de</v>
      </c>
      <c r="D965" s="4">
        <f>IFERROR(__xludf.DUMMYFUNCTION("""COMPUTED_VALUE"""),154.0)</f>
        <v>154</v>
      </c>
      <c r="E965" s="4">
        <f>IFERROR(__xludf.DUMMYFUNCTION("""COMPUTED_VALUE"""),66.0)</f>
        <v>66</v>
      </c>
      <c r="F965" s="4">
        <f>IFERROR(__xludf.DUMMYFUNCTION("""COMPUTED_VALUE"""),6.0)</f>
        <v>6</v>
      </c>
      <c r="G965" s="4">
        <f>IFERROR(__xludf.DUMMYFUNCTION("""COMPUTED_VALUE"""),123.0)</f>
        <v>123</v>
      </c>
      <c r="H965" s="5">
        <f>IFERROR(__xludf.DUMMYFUNCTION("""COMPUTED_VALUE"""),2283.17)</f>
        <v>2283.17</v>
      </c>
      <c r="I965" s="5">
        <f>IFERROR(__xludf.DUMMYFUNCTION("""COMPUTED_VALUE"""),7574.85)</f>
        <v>7574.85</v>
      </c>
      <c r="J965" s="5">
        <f>IFERROR(__xludf.DUMMYFUNCTION("""COMPUTED_VALUE"""),9658.5)</f>
        <v>9658.5</v>
      </c>
      <c r="K965" s="5">
        <f>IFERROR(__xludf.DUMMYFUNCTION("""COMPUTED_VALUE"""),8566.41)</f>
        <v>8566.41</v>
      </c>
      <c r="L965" s="4">
        <f>IFERROR(__xludf.DUMMYFUNCTION("""COMPUTED_VALUE"""),6.0)</f>
        <v>6</v>
      </c>
      <c r="M965" s="4">
        <f>IFERROR(__xludf.DUMMYFUNCTION("""COMPUTED_VALUE"""),65.0)</f>
        <v>65</v>
      </c>
      <c r="N965" s="2" t="str">
        <f>IFERROR(__xludf.DUMMYFUNCTION("""COMPUTED_VALUE"""),"FALSO")</f>
        <v>FALSO</v>
      </c>
    </row>
    <row r="966">
      <c r="A966" s="2">
        <f>IFERROR(__xludf.DUMMYFUNCTION("""COMPUTED_VALUE"""),965.0)</f>
        <v>965</v>
      </c>
      <c r="B966" s="2" t="str">
        <f>IFERROR(__xludf.DUMMYFUNCTION("""COMPUTED_VALUE"""),"Johny Menhci")</f>
        <v>Johny Menhci</v>
      </c>
      <c r="C966" s="2" t="str">
        <f>IFERROR(__xludf.DUMMYFUNCTION("""COMPUTED_VALUE"""),"jmenhciqt@hatena.ne.jp")</f>
        <v>jmenhciqt@hatena.ne.jp</v>
      </c>
      <c r="D966" s="4">
        <f>IFERROR(__xludf.DUMMYFUNCTION("""COMPUTED_VALUE"""),2.0)</f>
        <v>2</v>
      </c>
      <c r="E966" s="4">
        <f>IFERROR(__xludf.DUMMYFUNCTION("""COMPUTED_VALUE"""),51.0)</f>
        <v>51</v>
      </c>
      <c r="F966" s="4">
        <f>IFERROR(__xludf.DUMMYFUNCTION("""COMPUTED_VALUE"""),13.0)</f>
        <v>13</v>
      </c>
      <c r="G966" s="4">
        <f>IFERROR(__xludf.DUMMYFUNCTION("""COMPUTED_VALUE"""),654.0)</f>
        <v>654</v>
      </c>
      <c r="H966" s="5">
        <f>IFERROR(__xludf.DUMMYFUNCTION("""COMPUTED_VALUE"""),1987.28)</f>
        <v>1987.28</v>
      </c>
      <c r="I966" s="5">
        <f>IFERROR(__xludf.DUMMYFUNCTION("""COMPUTED_VALUE"""),8304.47)</f>
        <v>8304.47</v>
      </c>
      <c r="J966" s="5">
        <f>IFERROR(__xludf.DUMMYFUNCTION("""COMPUTED_VALUE"""),891.79)</f>
        <v>891.79</v>
      </c>
      <c r="K966" s="5">
        <f>IFERROR(__xludf.DUMMYFUNCTION("""COMPUTED_VALUE"""),8767.38)</f>
        <v>8767.38</v>
      </c>
      <c r="L966" s="4">
        <f>IFERROR(__xludf.DUMMYFUNCTION("""COMPUTED_VALUE"""),17.0)</f>
        <v>17</v>
      </c>
      <c r="M966" s="4">
        <f>IFERROR(__xludf.DUMMYFUNCTION("""COMPUTED_VALUE"""),99.0)</f>
        <v>99</v>
      </c>
      <c r="N966" s="2" t="str">
        <f>IFERROR(__xludf.DUMMYFUNCTION("""COMPUTED_VALUE"""),"FALSO")</f>
        <v>FALSO</v>
      </c>
    </row>
    <row r="967">
      <c r="A967" s="2">
        <f>IFERROR(__xludf.DUMMYFUNCTION("""COMPUTED_VALUE"""),966.0)</f>
        <v>966</v>
      </c>
      <c r="B967" s="2" t="str">
        <f>IFERROR(__xludf.DUMMYFUNCTION("""COMPUTED_VALUE"""),"Sindee Terrill")</f>
        <v>Sindee Terrill</v>
      </c>
      <c r="C967" s="2" t="str">
        <f>IFERROR(__xludf.DUMMYFUNCTION("""COMPUTED_VALUE"""),"sterrillqu@is.gd")</f>
        <v>sterrillqu@is.gd</v>
      </c>
      <c r="D967" s="4">
        <f>IFERROR(__xludf.DUMMYFUNCTION("""COMPUTED_VALUE"""),120.0)</f>
        <v>120</v>
      </c>
      <c r="E967" s="4">
        <f>IFERROR(__xludf.DUMMYFUNCTION("""COMPUTED_VALUE"""),81.0)</f>
        <v>81</v>
      </c>
      <c r="F967" s="4">
        <f>IFERROR(__xludf.DUMMYFUNCTION("""COMPUTED_VALUE"""),2.0)</f>
        <v>2</v>
      </c>
      <c r="G967" s="4">
        <f>IFERROR(__xludf.DUMMYFUNCTION("""COMPUTED_VALUE"""),86.0)</f>
        <v>86</v>
      </c>
      <c r="H967" s="5">
        <f>IFERROR(__xludf.DUMMYFUNCTION("""COMPUTED_VALUE"""),4963.71)</f>
        <v>4963.71</v>
      </c>
      <c r="I967" s="5">
        <f>IFERROR(__xludf.DUMMYFUNCTION("""COMPUTED_VALUE"""),1793.98)</f>
        <v>1793.98</v>
      </c>
      <c r="J967" s="5">
        <f>IFERROR(__xludf.DUMMYFUNCTION("""COMPUTED_VALUE"""),327.52)</f>
        <v>327.52</v>
      </c>
      <c r="K967" s="5">
        <f>IFERROR(__xludf.DUMMYFUNCTION("""COMPUTED_VALUE"""),4824.31)</f>
        <v>4824.31</v>
      </c>
      <c r="L967" s="4">
        <f>IFERROR(__xludf.DUMMYFUNCTION("""COMPUTED_VALUE"""),17.0)</f>
        <v>17</v>
      </c>
      <c r="M967" s="4">
        <f>IFERROR(__xludf.DUMMYFUNCTION("""COMPUTED_VALUE"""),10.0)</f>
        <v>10</v>
      </c>
      <c r="N967" s="2" t="str">
        <f>IFERROR(__xludf.DUMMYFUNCTION("""COMPUTED_VALUE"""),"VERDADERO")</f>
        <v>VERDADERO</v>
      </c>
    </row>
    <row r="968">
      <c r="A968" s="2">
        <f>IFERROR(__xludf.DUMMYFUNCTION("""COMPUTED_VALUE"""),967.0)</f>
        <v>967</v>
      </c>
      <c r="B968" s="2" t="str">
        <f>IFERROR(__xludf.DUMMYFUNCTION("""COMPUTED_VALUE"""),"Zebadiah Carr")</f>
        <v>Zebadiah Carr</v>
      </c>
      <c r="C968" s="2" t="str">
        <f>IFERROR(__xludf.DUMMYFUNCTION("""COMPUTED_VALUE"""),"zcarrqv@hc360.com")</f>
        <v>zcarrqv@hc360.com</v>
      </c>
      <c r="D968" s="4">
        <f>IFERROR(__xludf.DUMMYFUNCTION("""COMPUTED_VALUE"""),120.0)</f>
        <v>120</v>
      </c>
      <c r="E968" s="4">
        <f>IFERROR(__xludf.DUMMYFUNCTION("""COMPUTED_VALUE"""),66.0)</f>
        <v>66</v>
      </c>
      <c r="F968" s="4">
        <f>IFERROR(__xludf.DUMMYFUNCTION("""COMPUTED_VALUE"""),6.0)</f>
        <v>6</v>
      </c>
      <c r="G968" s="4">
        <f>IFERROR(__xludf.DUMMYFUNCTION("""COMPUTED_VALUE"""),445.0)</f>
        <v>445</v>
      </c>
      <c r="H968" s="5">
        <f>IFERROR(__xludf.DUMMYFUNCTION("""COMPUTED_VALUE"""),6444.99)</f>
        <v>6444.99</v>
      </c>
      <c r="I968" s="5">
        <f>IFERROR(__xludf.DUMMYFUNCTION("""COMPUTED_VALUE"""),3443.55)</f>
        <v>3443.55</v>
      </c>
      <c r="J968" s="5">
        <f>IFERROR(__xludf.DUMMYFUNCTION("""COMPUTED_VALUE"""),6550.99)</f>
        <v>6550.99</v>
      </c>
      <c r="K968" s="5">
        <f>IFERROR(__xludf.DUMMYFUNCTION("""COMPUTED_VALUE"""),4480.75)</f>
        <v>4480.75</v>
      </c>
      <c r="L968" s="4">
        <f>IFERROR(__xludf.DUMMYFUNCTION("""COMPUTED_VALUE"""),6.0)</f>
        <v>6</v>
      </c>
      <c r="M968" s="4">
        <f>IFERROR(__xludf.DUMMYFUNCTION("""COMPUTED_VALUE"""),89.0)</f>
        <v>89</v>
      </c>
      <c r="N968" s="2" t="str">
        <f>IFERROR(__xludf.DUMMYFUNCTION("""COMPUTED_VALUE"""),"FALSO")</f>
        <v>FALSO</v>
      </c>
    </row>
    <row r="969">
      <c r="A969" s="2">
        <f>IFERROR(__xludf.DUMMYFUNCTION("""COMPUTED_VALUE"""),968.0)</f>
        <v>968</v>
      </c>
      <c r="B969" s="2" t="str">
        <f>IFERROR(__xludf.DUMMYFUNCTION("""COMPUTED_VALUE"""),"Dyann Nilles")</f>
        <v>Dyann Nilles</v>
      </c>
      <c r="C969" s="2" t="str">
        <f>IFERROR(__xludf.DUMMYFUNCTION("""COMPUTED_VALUE"""),"dnillesqw@sciencedaily.com")</f>
        <v>dnillesqw@sciencedaily.com</v>
      </c>
      <c r="D969" s="4">
        <f>IFERROR(__xludf.DUMMYFUNCTION("""COMPUTED_VALUE"""),17.0)</f>
        <v>17</v>
      </c>
      <c r="E969" s="4">
        <f>IFERROR(__xludf.DUMMYFUNCTION("""COMPUTED_VALUE"""),81.0)</f>
        <v>81</v>
      </c>
      <c r="F969" s="4">
        <f>IFERROR(__xludf.DUMMYFUNCTION("""COMPUTED_VALUE"""),2.0)</f>
        <v>2</v>
      </c>
      <c r="G969" s="4">
        <f>IFERROR(__xludf.DUMMYFUNCTION("""COMPUTED_VALUE"""),1462.0)</f>
        <v>1462</v>
      </c>
      <c r="H969" s="5">
        <f>IFERROR(__xludf.DUMMYFUNCTION("""COMPUTED_VALUE"""),415.4)</f>
        <v>415.4</v>
      </c>
      <c r="I969" s="5">
        <f>IFERROR(__xludf.DUMMYFUNCTION("""COMPUTED_VALUE"""),7597.41)</f>
        <v>7597.41</v>
      </c>
      <c r="J969" s="5">
        <f>IFERROR(__xludf.DUMMYFUNCTION("""COMPUTED_VALUE"""),5966.82)</f>
        <v>5966.82</v>
      </c>
      <c r="K969" s="5">
        <f>IFERROR(__xludf.DUMMYFUNCTION("""COMPUTED_VALUE"""),2009.33)</f>
        <v>2009.33</v>
      </c>
      <c r="L969" s="4">
        <f>IFERROR(__xludf.DUMMYFUNCTION("""COMPUTED_VALUE"""),2.0)</f>
        <v>2</v>
      </c>
      <c r="M969" s="4">
        <f>IFERROR(__xludf.DUMMYFUNCTION("""COMPUTED_VALUE"""),82.0)</f>
        <v>82</v>
      </c>
      <c r="N969" s="2" t="str">
        <f>IFERROR(__xludf.DUMMYFUNCTION("""COMPUTED_VALUE"""),"FALSO")</f>
        <v>FALSO</v>
      </c>
    </row>
    <row r="970">
      <c r="A970" s="2">
        <f>IFERROR(__xludf.DUMMYFUNCTION("""COMPUTED_VALUE"""),969.0)</f>
        <v>969</v>
      </c>
      <c r="B970" s="2" t="str">
        <f>IFERROR(__xludf.DUMMYFUNCTION("""COMPUTED_VALUE"""),"Mindy Saile")</f>
        <v>Mindy Saile</v>
      </c>
      <c r="C970" s="2" t="str">
        <f>IFERROR(__xludf.DUMMYFUNCTION("""COMPUTED_VALUE"""),"msaileqx@japanpost.jp")</f>
        <v>msaileqx@japanpost.jp</v>
      </c>
      <c r="D970" s="4">
        <f>IFERROR(__xludf.DUMMYFUNCTION("""COMPUTED_VALUE"""),122.0)</f>
        <v>122</v>
      </c>
      <c r="E970" s="4">
        <f>IFERROR(__xludf.DUMMYFUNCTION("""COMPUTED_VALUE"""),8.0)</f>
        <v>8</v>
      </c>
      <c r="F970" s="4">
        <f>IFERROR(__xludf.DUMMYFUNCTION("""COMPUTED_VALUE"""),8.0)</f>
        <v>8</v>
      </c>
      <c r="G970" s="4">
        <f>IFERROR(__xludf.DUMMYFUNCTION("""COMPUTED_VALUE"""),376.0)</f>
        <v>376</v>
      </c>
      <c r="H970" s="5">
        <f>IFERROR(__xludf.DUMMYFUNCTION("""COMPUTED_VALUE"""),5346.31)</f>
        <v>5346.31</v>
      </c>
      <c r="I970" s="5">
        <f>IFERROR(__xludf.DUMMYFUNCTION("""COMPUTED_VALUE"""),6510.04)</f>
        <v>6510.04</v>
      </c>
      <c r="J970" s="5">
        <f>IFERROR(__xludf.DUMMYFUNCTION("""COMPUTED_VALUE"""),9581.59)</f>
        <v>9581.59</v>
      </c>
      <c r="K970" s="5">
        <f>IFERROR(__xludf.DUMMYFUNCTION("""COMPUTED_VALUE"""),3299.07)</f>
        <v>3299.07</v>
      </c>
      <c r="L970" s="4">
        <f>IFERROR(__xludf.DUMMYFUNCTION("""COMPUTED_VALUE"""),18.0)</f>
        <v>18</v>
      </c>
      <c r="M970" s="4">
        <f>IFERROR(__xludf.DUMMYFUNCTION("""COMPUTED_VALUE"""),8.0)</f>
        <v>8</v>
      </c>
      <c r="N970" s="2" t="str">
        <f>IFERROR(__xludf.DUMMYFUNCTION("""COMPUTED_VALUE"""),"FALSO")</f>
        <v>FALSO</v>
      </c>
    </row>
    <row r="971">
      <c r="A971" s="2">
        <f>IFERROR(__xludf.DUMMYFUNCTION("""COMPUTED_VALUE"""),970.0)</f>
        <v>970</v>
      </c>
      <c r="B971" s="2" t="str">
        <f>IFERROR(__xludf.DUMMYFUNCTION("""COMPUTED_VALUE"""),"Brandais Wormell")</f>
        <v>Brandais Wormell</v>
      </c>
      <c r="C971" s="2" t="str">
        <f>IFERROR(__xludf.DUMMYFUNCTION("""COMPUTED_VALUE"""),"bwormellqy@sciencedaily.com")</f>
        <v>bwormellqy@sciencedaily.com</v>
      </c>
      <c r="D971" s="4">
        <f>IFERROR(__xludf.DUMMYFUNCTION("""COMPUTED_VALUE"""),29.0)</f>
        <v>29</v>
      </c>
      <c r="E971" s="4">
        <f>IFERROR(__xludf.DUMMYFUNCTION("""COMPUTED_VALUE"""),33.0)</f>
        <v>33</v>
      </c>
      <c r="F971" s="4">
        <f>IFERROR(__xludf.DUMMYFUNCTION("""COMPUTED_VALUE"""),5.0)</f>
        <v>5</v>
      </c>
      <c r="G971" s="4">
        <f>IFERROR(__xludf.DUMMYFUNCTION("""COMPUTED_VALUE"""),369.0)</f>
        <v>369</v>
      </c>
      <c r="H971" s="5">
        <f>IFERROR(__xludf.DUMMYFUNCTION("""COMPUTED_VALUE"""),1398.94)</f>
        <v>1398.94</v>
      </c>
      <c r="I971" s="5">
        <f>IFERROR(__xludf.DUMMYFUNCTION("""COMPUTED_VALUE"""),9967.77)</f>
        <v>9967.77</v>
      </c>
      <c r="J971" s="5">
        <f>IFERROR(__xludf.DUMMYFUNCTION("""COMPUTED_VALUE"""),6626.67)</f>
        <v>6626.67</v>
      </c>
      <c r="K971" s="5">
        <f>IFERROR(__xludf.DUMMYFUNCTION("""COMPUTED_VALUE"""),1503.39)</f>
        <v>1503.39</v>
      </c>
      <c r="L971" s="4">
        <f>IFERROR(__xludf.DUMMYFUNCTION("""COMPUTED_VALUE"""),4.0)</f>
        <v>4</v>
      </c>
      <c r="M971" s="4">
        <f>IFERROR(__xludf.DUMMYFUNCTION("""COMPUTED_VALUE"""),1.0)</f>
        <v>1</v>
      </c>
      <c r="N971" s="2" t="str">
        <f>IFERROR(__xludf.DUMMYFUNCTION("""COMPUTED_VALUE"""),"FALSO")</f>
        <v>FALSO</v>
      </c>
    </row>
    <row r="972">
      <c r="A972" s="2">
        <f>IFERROR(__xludf.DUMMYFUNCTION("""COMPUTED_VALUE"""),971.0)</f>
        <v>971</v>
      </c>
      <c r="B972" s="2" t="str">
        <f>IFERROR(__xludf.DUMMYFUNCTION("""COMPUTED_VALUE"""),"Palmer Mauvin")</f>
        <v>Palmer Mauvin</v>
      </c>
      <c r="C972" s="2" t="str">
        <f>IFERROR(__xludf.DUMMYFUNCTION("""COMPUTED_VALUE"""),"pmauvinqz@home.pl")</f>
        <v>pmauvinqz@home.pl</v>
      </c>
      <c r="D972" s="4">
        <f>IFERROR(__xludf.DUMMYFUNCTION("""COMPUTED_VALUE"""),38.0)</f>
        <v>38</v>
      </c>
      <c r="E972" s="4">
        <f>IFERROR(__xludf.DUMMYFUNCTION("""COMPUTED_VALUE"""),20.0)</f>
        <v>20</v>
      </c>
      <c r="F972" s="4">
        <f>IFERROR(__xludf.DUMMYFUNCTION("""COMPUTED_VALUE"""),8.0)</f>
        <v>8</v>
      </c>
      <c r="G972" s="4">
        <f>IFERROR(__xludf.DUMMYFUNCTION("""COMPUTED_VALUE"""),670.0)</f>
        <v>670</v>
      </c>
      <c r="H972" s="5">
        <f>IFERROR(__xludf.DUMMYFUNCTION("""COMPUTED_VALUE"""),4424.05)</f>
        <v>4424.05</v>
      </c>
      <c r="I972" s="5">
        <f>IFERROR(__xludf.DUMMYFUNCTION("""COMPUTED_VALUE"""),7982.45)</f>
        <v>7982.45</v>
      </c>
      <c r="J972" s="5">
        <f>IFERROR(__xludf.DUMMYFUNCTION("""COMPUTED_VALUE"""),3361.03)</f>
        <v>3361.03</v>
      </c>
      <c r="K972" s="5">
        <f>IFERROR(__xludf.DUMMYFUNCTION("""COMPUTED_VALUE"""),7898.41)</f>
        <v>7898.41</v>
      </c>
      <c r="L972" s="4">
        <f>IFERROR(__xludf.DUMMYFUNCTION("""COMPUTED_VALUE"""),16.0)</f>
        <v>16</v>
      </c>
      <c r="M972" s="4">
        <f>IFERROR(__xludf.DUMMYFUNCTION("""COMPUTED_VALUE"""),30.0)</f>
        <v>30</v>
      </c>
      <c r="N972" s="2" t="str">
        <f>IFERROR(__xludf.DUMMYFUNCTION("""COMPUTED_VALUE"""),"VERDADERO")</f>
        <v>VERDADERO</v>
      </c>
    </row>
    <row r="973">
      <c r="A973" s="2">
        <f>IFERROR(__xludf.DUMMYFUNCTION("""COMPUTED_VALUE"""),972.0)</f>
        <v>972</v>
      </c>
      <c r="B973" s="2" t="str">
        <f>IFERROR(__xludf.DUMMYFUNCTION("""COMPUTED_VALUE"""),"Nelie Belliveau")</f>
        <v>Nelie Belliveau</v>
      </c>
      <c r="C973" s="2" t="str">
        <f>IFERROR(__xludf.DUMMYFUNCTION("""COMPUTED_VALUE"""),"nbelliveaur0@hp.com")</f>
        <v>nbelliveaur0@hp.com</v>
      </c>
      <c r="D973" s="4">
        <f>IFERROR(__xludf.DUMMYFUNCTION("""COMPUTED_VALUE"""),65.0)</f>
        <v>65</v>
      </c>
      <c r="E973" s="4">
        <f>IFERROR(__xludf.DUMMYFUNCTION("""COMPUTED_VALUE"""),81.0)</f>
        <v>81</v>
      </c>
      <c r="F973" s="4">
        <f>IFERROR(__xludf.DUMMYFUNCTION("""COMPUTED_VALUE"""),2.0)</f>
        <v>2</v>
      </c>
      <c r="G973" s="4">
        <f>IFERROR(__xludf.DUMMYFUNCTION("""COMPUTED_VALUE"""),1552.0)</f>
        <v>1552</v>
      </c>
      <c r="H973" s="5">
        <f>IFERROR(__xludf.DUMMYFUNCTION("""COMPUTED_VALUE"""),9103.97)</f>
        <v>9103.97</v>
      </c>
      <c r="I973" s="5">
        <f>IFERROR(__xludf.DUMMYFUNCTION("""COMPUTED_VALUE"""),454.94)</f>
        <v>454.94</v>
      </c>
      <c r="J973" s="5">
        <f>IFERROR(__xludf.DUMMYFUNCTION("""COMPUTED_VALUE"""),6607.4)</f>
        <v>6607.4</v>
      </c>
      <c r="K973" s="5">
        <f>IFERROR(__xludf.DUMMYFUNCTION("""COMPUTED_VALUE"""),889.35)</f>
        <v>889.35</v>
      </c>
      <c r="L973" s="4">
        <f>IFERROR(__xludf.DUMMYFUNCTION("""COMPUTED_VALUE"""),9.0)</f>
        <v>9</v>
      </c>
      <c r="M973" s="4">
        <f>IFERROR(__xludf.DUMMYFUNCTION("""COMPUTED_VALUE"""),81.0)</f>
        <v>81</v>
      </c>
      <c r="N973" s="2" t="str">
        <f>IFERROR(__xludf.DUMMYFUNCTION("""COMPUTED_VALUE"""),"FALSO")</f>
        <v>FALSO</v>
      </c>
    </row>
    <row r="974">
      <c r="A974" s="2">
        <f>IFERROR(__xludf.DUMMYFUNCTION("""COMPUTED_VALUE"""),973.0)</f>
        <v>973</v>
      </c>
      <c r="B974" s="2" t="str">
        <f>IFERROR(__xludf.DUMMYFUNCTION("""COMPUTED_VALUE"""),"Kameko Compton")</f>
        <v>Kameko Compton</v>
      </c>
      <c r="C974" s="2" t="str">
        <f>IFERROR(__xludf.DUMMYFUNCTION("""COMPUTED_VALUE"""),"kcomptonr1@cargocollective.com")</f>
        <v>kcomptonr1@cargocollective.com</v>
      </c>
      <c r="D974" s="4">
        <f>IFERROR(__xludf.DUMMYFUNCTION("""COMPUTED_VALUE"""),104.0)</f>
        <v>104</v>
      </c>
      <c r="E974" s="4">
        <f>IFERROR(__xludf.DUMMYFUNCTION("""COMPUTED_VALUE"""),81.0)</f>
        <v>81</v>
      </c>
      <c r="F974" s="4">
        <f>IFERROR(__xludf.DUMMYFUNCTION("""COMPUTED_VALUE"""),2.0)</f>
        <v>2</v>
      </c>
      <c r="G974" s="4">
        <f>IFERROR(__xludf.DUMMYFUNCTION("""COMPUTED_VALUE"""),616.0)</f>
        <v>616</v>
      </c>
      <c r="H974" s="5">
        <f>IFERROR(__xludf.DUMMYFUNCTION("""COMPUTED_VALUE"""),4043.47)</f>
        <v>4043.47</v>
      </c>
      <c r="I974" s="5">
        <f>IFERROR(__xludf.DUMMYFUNCTION("""COMPUTED_VALUE"""),3799.6)</f>
        <v>3799.6</v>
      </c>
      <c r="J974" s="5">
        <f>IFERROR(__xludf.DUMMYFUNCTION("""COMPUTED_VALUE"""),1449.12)</f>
        <v>1449.12</v>
      </c>
      <c r="K974" s="5">
        <f>IFERROR(__xludf.DUMMYFUNCTION("""COMPUTED_VALUE"""),3208.93)</f>
        <v>3208.93</v>
      </c>
      <c r="L974" s="4">
        <f>IFERROR(__xludf.DUMMYFUNCTION("""COMPUTED_VALUE"""),4.0)</f>
        <v>4</v>
      </c>
      <c r="M974" s="4">
        <f>IFERROR(__xludf.DUMMYFUNCTION("""COMPUTED_VALUE"""),11.0)</f>
        <v>11</v>
      </c>
      <c r="N974" s="2" t="str">
        <f>IFERROR(__xludf.DUMMYFUNCTION("""COMPUTED_VALUE"""),"FALSO")</f>
        <v>FALSO</v>
      </c>
    </row>
    <row r="975">
      <c r="A975" s="2">
        <f>IFERROR(__xludf.DUMMYFUNCTION("""COMPUTED_VALUE"""),974.0)</f>
        <v>974</v>
      </c>
      <c r="B975" s="2" t="str">
        <f>IFERROR(__xludf.DUMMYFUNCTION("""COMPUTED_VALUE"""),"Antoni Collett")</f>
        <v>Antoni Collett</v>
      </c>
      <c r="C975" s="2" t="str">
        <f>IFERROR(__xludf.DUMMYFUNCTION("""COMPUTED_VALUE"""),"acollettr2@pen.io")</f>
        <v>acollettr2@pen.io</v>
      </c>
      <c r="D975" s="4">
        <f>IFERROR(__xludf.DUMMYFUNCTION("""COMPUTED_VALUE"""),73.0)</f>
        <v>73</v>
      </c>
      <c r="E975" s="4">
        <f>IFERROR(__xludf.DUMMYFUNCTION("""COMPUTED_VALUE"""),67.0)</f>
        <v>67</v>
      </c>
      <c r="F975" s="4">
        <f>IFERROR(__xludf.DUMMYFUNCTION("""COMPUTED_VALUE"""),7.0)</f>
        <v>7</v>
      </c>
      <c r="G975" s="4">
        <f>IFERROR(__xludf.DUMMYFUNCTION("""COMPUTED_VALUE"""),1415.0)</f>
        <v>1415</v>
      </c>
      <c r="H975" s="5">
        <f>IFERROR(__xludf.DUMMYFUNCTION("""COMPUTED_VALUE"""),8666.22)</f>
        <v>8666.22</v>
      </c>
      <c r="I975" s="5">
        <f>IFERROR(__xludf.DUMMYFUNCTION("""COMPUTED_VALUE"""),1077.76)</f>
        <v>1077.76</v>
      </c>
      <c r="J975" s="5">
        <f>IFERROR(__xludf.DUMMYFUNCTION("""COMPUTED_VALUE"""),611.75)</f>
        <v>611.75</v>
      </c>
      <c r="K975" s="5">
        <f>IFERROR(__xludf.DUMMYFUNCTION("""COMPUTED_VALUE"""),4386.08)</f>
        <v>4386.08</v>
      </c>
      <c r="L975" s="4">
        <f>IFERROR(__xludf.DUMMYFUNCTION("""COMPUTED_VALUE"""),19.0)</f>
        <v>19</v>
      </c>
      <c r="M975" s="4">
        <f>IFERROR(__xludf.DUMMYFUNCTION("""COMPUTED_VALUE"""),75.0)</f>
        <v>75</v>
      </c>
      <c r="N975" s="2" t="str">
        <f>IFERROR(__xludf.DUMMYFUNCTION("""COMPUTED_VALUE"""),"VERDADERO")</f>
        <v>VERDADERO</v>
      </c>
    </row>
    <row r="976">
      <c r="A976" s="2">
        <f>IFERROR(__xludf.DUMMYFUNCTION("""COMPUTED_VALUE"""),975.0)</f>
        <v>975</v>
      </c>
      <c r="B976" s="2" t="str">
        <f>IFERROR(__xludf.DUMMYFUNCTION("""COMPUTED_VALUE"""),"Annis Prigmore")</f>
        <v>Annis Prigmore</v>
      </c>
      <c r="C976" s="2" t="str">
        <f>IFERROR(__xludf.DUMMYFUNCTION("""COMPUTED_VALUE"""),"aprigmorer3@mtv.com")</f>
        <v>aprigmorer3@mtv.com</v>
      </c>
      <c r="D976" s="4">
        <f>IFERROR(__xludf.DUMMYFUNCTION("""COMPUTED_VALUE"""),79.0)</f>
        <v>79</v>
      </c>
      <c r="E976" s="4">
        <f>IFERROR(__xludf.DUMMYFUNCTION("""COMPUTED_VALUE"""),60.0)</f>
        <v>60</v>
      </c>
      <c r="F976" s="4">
        <f>IFERROR(__xludf.DUMMYFUNCTION("""COMPUTED_VALUE"""),3.0)</f>
        <v>3</v>
      </c>
      <c r="G976" s="4">
        <f>IFERROR(__xludf.DUMMYFUNCTION("""COMPUTED_VALUE"""),64.0)</f>
        <v>64</v>
      </c>
      <c r="H976" s="5">
        <f>IFERROR(__xludf.DUMMYFUNCTION("""COMPUTED_VALUE"""),8671.21)</f>
        <v>8671.21</v>
      </c>
      <c r="I976" s="5">
        <f>IFERROR(__xludf.DUMMYFUNCTION("""COMPUTED_VALUE"""),8392.2)</f>
        <v>8392.2</v>
      </c>
      <c r="J976" s="5">
        <f>IFERROR(__xludf.DUMMYFUNCTION("""COMPUTED_VALUE"""),3716.3)</f>
        <v>3716.3</v>
      </c>
      <c r="K976" s="5">
        <f>IFERROR(__xludf.DUMMYFUNCTION("""COMPUTED_VALUE"""),8737.92)</f>
        <v>8737.92</v>
      </c>
      <c r="L976" s="4">
        <f>IFERROR(__xludf.DUMMYFUNCTION("""COMPUTED_VALUE"""),7.0)</f>
        <v>7</v>
      </c>
      <c r="M976" s="4">
        <f>IFERROR(__xludf.DUMMYFUNCTION("""COMPUTED_VALUE"""),11.0)</f>
        <v>11</v>
      </c>
      <c r="N976" s="2" t="str">
        <f>IFERROR(__xludf.DUMMYFUNCTION("""COMPUTED_VALUE"""),"VERDADERO")</f>
        <v>VERDADERO</v>
      </c>
    </row>
    <row r="977">
      <c r="A977" s="2">
        <f>IFERROR(__xludf.DUMMYFUNCTION("""COMPUTED_VALUE"""),976.0)</f>
        <v>976</v>
      </c>
      <c r="B977" s="2" t="str">
        <f>IFERROR(__xludf.DUMMYFUNCTION("""COMPUTED_VALUE"""),"Linnell Picton")</f>
        <v>Linnell Picton</v>
      </c>
      <c r="C977" s="2" t="str">
        <f>IFERROR(__xludf.DUMMYFUNCTION("""COMPUTED_VALUE"""),"lpictonr4@gizmodo.com")</f>
        <v>lpictonr4@gizmodo.com</v>
      </c>
      <c r="D977" s="4">
        <f>IFERROR(__xludf.DUMMYFUNCTION("""COMPUTED_VALUE"""),65.0)</f>
        <v>65</v>
      </c>
      <c r="E977" s="4">
        <f>IFERROR(__xludf.DUMMYFUNCTION("""COMPUTED_VALUE"""),39.0)</f>
        <v>39</v>
      </c>
      <c r="F977" s="4">
        <f>IFERROR(__xludf.DUMMYFUNCTION("""COMPUTED_VALUE"""),11.0)</f>
        <v>11</v>
      </c>
      <c r="G977" s="4">
        <f>IFERROR(__xludf.DUMMYFUNCTION("""COMPUTED_VALUE"""),938.0)</f>
        <v>938</v>
      </c>
      <c r="H977" s="5">
        <f>IFERROR(__xludf.DUMMYFUNCTION("""COMPUTED_VALUE"""),286.24)</f>
        <v>286.24</v>
      </c>
      <c r="I977" s="5">
        <f>IFERROR(__xludf.DUMMYFUNCTION("""COMPUTED_VALUE"""),6480.75)</f>
        <v>6480.75</v>
      </c>
      <c r="J977" s="5">
        <f>IFERROR(__xludf.DUMMYFUNCTION("""COMPUTED_VALUE"""),9878.67)</f>
        <v>9878.67</v>
      </c>
      <c r="K977" s="5">
        <f>IFERROR(__xludf.DUMMYFUNCTION("""COMPUTED_VALUE"""),6883.02)</f>
        <v>6883.02</v>
      </c>
      <c r="L977" s="4">
        <f>IFERROR(__xludf.DUMMYFUNCTION("""COMPUTED_VALUE"""),14.0)</f>
        <v>14</v>
      </c>
      <c r="M977" s="4">
        <f>IFERROR(__xludf.DUMMYFUNCTION("""COMPUTED_VALUE"""),7.0)</f>
        <v>7</v>
      </c>
      <c r="N977" s="2" t="str">
        <f>IFERROR(__xludf.DUMMYFUNCTION("""COMPUTED_VALUE"""),"FALSO")</f>
        <v>FALSO</v>
      </c>
    </row>
    <row r="978">
      <c r="A978" s="2">
        <f>IFERROR(__xludf.DUMMYFUNCTION("""COMPUTED_VALUE"""),977.0)</f>
        <v>977</v>
      </c>
      <c r="B978" s="2" t="str">
        <f>IFERROR(__xludf.DUMMYFUNCTION("""COMPUTED_VALUE"""),"Dione Mattiessen")</f>
        <v>Dione Mattiessen</v>
      </c>
      <c r="C978" s="2" t="str">
        <f>IFERROR(__xludf.DUMMYFUNCTION("""COMPUTED_VALUE"""),"dmattiessenr5@tuttocitta.it")</f>
        <v>dmattiessenr5@tuttocitta.it</v>
      </c>
      <c r="D978" s="4">
        <f>IFERROR(__xludf.DUMMYFUNCTION("""COMPUTED_VALUE"""),124.0)</f>
        <v>124</v>
      </c>
      <c r="E978" s="4">
        <f>IFERROR(__xludf.DUMMYFUNCTION("""COMPUTED_VALUE"""),58.0)</f>
        <v>58</v>
      </c>
      <c r="F978" s="4">
        <f>IFERROR(__xludf.DUMMYFUNCTION("""COMPUTED_VALUE"""),8.0)</f>
        <v>8</v>
      </c>
      <c r="G978" s="4">
        <f>IFERROR(__xludf.DUMMYFUNCTION("""COMPUTED_VALUE"""),297.0)</f>
        <v>297</v>
      </c>
      <c r="H978" s="5">
        <f>IFERROR(__xludf.DUMMYFUNCTION("""COMPUTED_VALUE"""),9715.33)</f>
        <v>9715.33</v>
      </c>
      <c r="I978" s="5">
        <f>IFERROR(__xludf.DUMMYFUNCTION("""COMPUTED_VALUE"""),9083.91)</f>
        <v>9083.91</v>
      </c>
      <c r="J978" s="5">
        <f>IFERROR(__xludf.DUMMYFUNCTION("""COMPUTED_VALUE"""),9892.89)</f>
        <v>9892.89</v>
      </c>
      <c r="K978" s="5">
        <f>IFERROR(__xludf.DUMMYFUNCTION("""COMPUTED_VALUE"""),8929.57)</f>
        <v>8929.57</v>
      </c>
      <c r="L978" s="4">
        <f>IFERROR(__xludf.DUMMYFUNCTION("""COMPUTED_VALUE"""),11.0)</f>
        <v>11</v>
      </c>
      <c r="M978" s="4">
        <f>IFERROR(__xludf.DUMMYFUNCTION("""COMPUTED_VALUE"""),71.0)</f>
        <v>71</v>
      </c>
      <c r="N978" s="2" t="str">
        <f>IFERROR(__xludf.DUMMYFUNCTION("""COMPUTED_VALUE"""),"FALSO")</f>
        <v>FALSO</v>
      </c>
    </row>
    <row r="979">
      <c r="A979" s="2">
        <f>IFERROR(__xludf.DUMMYFUNCTION("""COMPUTED_VALUE"""),978.0)</f>
        <v>978</v>
      </c>
      <c r="B979" s="2" t="str">
        <f>IFERROR(__xludf.DUMMYFUNCTION("""COMPUTED_VALUE"""),"Velma Briscow")</f>
        <v>Velma Briscow</v>
      </c>
      <c r="C979" s="2" t="str">
        <f>IFERROR(__xludf.DUMMYFUNCTION("""COMPUTED_VALUE"""),"vbriscowr6@wisc.edu")</f>
        <v>vbriscowr6@wisc.edu</v>
      </c>
      <c r="D979" s="4">
        <f>IFERROR(__xludf.DUMMYFUNCTION("""COMPUTED_VALUE"""),17.0)</f>
        <v>17</v>
      </c>
      <c r="E979" s="4">
        <f>IFERROR(__xludf.DUMMYFUNCTION("""COMPUTED_VALUE"""),66.0)</f>
        <v>66</v>
      </c>
      <c r="F979" s="4">
        <f>IFERROR(__xludf.DUMMYFUNCTION("""COMPUTED_VALUE"""),6.0)</f>
        <v>6</v>
      </c>
      <c r="G979" s="4">
        <f>IFERROR(__xludf.DUMMYFUNCTION("""COMPUTED_VALUE"""),1324.0)</f>
        <v>1324</v>
      </c>
      <c r="H979" s="5">
        <f>IFERROR(__xludf.DUMMYFUNCTION("""COMPUTED_VALUE"""),1473.68)</f>
        <v>1473.68</v>
      </c>
      <c r="I979" s="5">
        <f>IFERROR(__xludf.DUMMYFUNCTION("""COMPUTED_VALUE"""),310.9)</f>
        <v>310.9</v>
      </c>
      <c r="J979" s="5">
        <f>IFERROR(__xludf.DUMMYFUNCTION("""COMPUTED_VALUE"""),3468.22)</f>
        <v>3468.22</v>
      </c>
      <c r="K979" s="5">
        <f>IFERROR(__xludf.DUMMYFUNCTION("""COMPUTED_VALUE"""),3501.47)</f>
        <v>3501.47</v>
      </c>
      <c r="L979" s="4">
        <f>IFERROR(__xludf.DUMMYFUNCTION("""COMPUTED_VALUE"""),18.0)</f>
        <v>18</v>
      </c>
      <c r="M979" s="4">
        <f>IFERROR(__xludf.DUMMYFUNCTION("""COMPUTED_VALUE"""),16.0)</f>
        <v>16</v>
      </c>
      <c r="N979" s="2" t="str">
        <f>IFERROR(__xludf.DUMMYFUNCTION("""COMPUTED_VALUE"""),"FALSO")</f>
        <v>FALSO</v>
      </c>
    </row>
    <row r="980">
      <c r="A980" s="2">
        <f>IFERROR(__xludf.DUMMYFUNCTION("""COMPUTED_VALUE"""),979.0)</f>
        <v>979</v>
      </c>
      <c r="B980" s="2" t="str">
        <f>IFERROR(__xludf.DUMMYFUNCTION("""COMPUTED_VALUE"""),"Florie Pryke")</f>
        <v>Florie Pryke</v>
      </c>
      <c r="C980" s="2" t="str">
        <f>IFERROR(__xludf.DUMMYFUNCTION("""COMPUTED_VALUE"""),"fpryker7@surveymonkey.com")</f>
        <v>fpryker7@surveymonkey.com</v>
      </c>
      <c r="D980" s="4">
        <f>IFERROR(__xludf.DUMMYFUNCTION("""COMPUTED_VALUE"""),2.0)</f>
        <v>2</v>
      </c>
      <c r="E980" s="4">
        <f>IFERROR(__xludf.DUMMYFUNCTION("""COMPUTED_VALUE"""),81.0)</f>
        <v>81</v>
      </c>
      <c r="F980" s="4">
        <f>IFERROR(__xludf.DUMMYFUNCTION("""COMPUTED_VALUE"""),2.0)</f>
        <v>2</v>
      </c>
      <c r="G980" s="4">
        <f>IFERROR(__xludf.DUMMYFUNCTION("""COMPUTED_VALUE"""),1007.0)</f>
        <v>1007</v>
      </c>
      <c r="H980" s="5">
        <f>IFERROR(__xludf.DUMMYFUNCTION("""COMPUTED_VALUE"""),8956.64)</f>
        <v>8956.64</v>
      </c>
      <c r="I980" s="5">
        <f>IFERROR(__xludf.DUMMYFUNCTION("""COMPUTED_VALUE"""),6992.41)</f>
        <v>6992.41</v>
      </c>
      <c r="J980" s="5">
        <f>IFERROR(__xludf.DUMMYFUNCTION("""COMPUTED_VALUE"""),7779.49)</f>
        <v>7779.49</v>
      </c>
      <c r="K980" s="5">
        <f>IFERROR(__xludf.DUMMYFUNCTION("""COMPUTED_VALUE"""),4592.46)</f>
        <v>4592.46</v>
      </c>
      <c r="L980" s="4">
        <f>IFERROR(__xludf.DUMMYFUNCTION("""COMPUTED_VALUE"""),19.0)</f>
        <v>19</v>
      </c>
      <c r="M980" s="4">
        <f>IFERROR(__xludf.DUMMYFUNCTION("""COMPUTED_VALUE"""),12.0)</f>
        <v>12</v>
      </c>
      <c r="N980" s="2" t="str">
        <f>IFERROR(__xludf.DUMMYFUNCTION("""COMPUTED_VALUE"""),"VERDADERO")</f>
        <v>VERDADERO</v>
      </c>
    </row>
    <row r="981">
      <c r="A981" s="2">
        <f>IFERROR(__xludf.DUMMYFUNCTION("""COMPUTED_VALUE"""),980.0)</f>
        <v>980</v>
      </c>
      <c r="B981" s="2" t="str">
        <f>IFERROR(__xludf.DUMMYFUNCTION("""COMPUTED_VALUE"""),"Eydie Jaxon")</f>
        <v>Eydie Jaxon</v>
      </c>
      <c r="C981" s="2" t="str">
        <f>IFERROR(__xludf.DUMMYFUNCTION("""COMPUTED_VALUE"""),"ejaxonr8@trellian.com")</f>
        <v>ejaxonr8@trellian.com</v>
      </c>
      <c r="D981" s="4">
        <f>IFERROR(__xludf.DUMMYFUNCTION("""COMPUTED_VALUE"""),48.0)</f>
        <v>48</v>
      </c>
      <c r="E981" s="4">
        <f>IFERROR(__xludf.DUMMYFUNCTION("""COMPUTED_VALUE"""),64.0)</f>
        <v>64</v>
      </c>
      <c r="F981" s="4">
        <f>IFERROR(__xludf.DUMMYFUNCTION("""COMPUTED_VALUE"""),4.0)</f>
        <v>4</v>
      </c>
      <c r="G981" s="4">
        <f>IFERROR(__xludf.DUMMYFUNCTION("""COMPUTED_VALUE"""),473.0)</f>
        <v>473</v>
      </c>
      <c r="H981" s="5">
        <f>IFERROR(__xludf.DUMMYFUNCTION("""COMPUTED_VALUE"""),8786.45)</f>
        <v>8786.45</v>
      </c>
      <c r="I981" s="5">
        <f>IFERROR(__xludf.DUMMYFUNCTION("""COMPUTED_VALUE"""),6794.64)</f>
        <v>6794.64</v>
      </c>
      <c r="J981" s="5">
        <f>IFERROR(__xludf.DUMMYFUNCTION("""COMPUTED_VALUE"""),6875.36)</f>
        <v>6875.36</v>
      </c>
      <c r="K981" s="5">
        <f>IFERROR(__xludf.DUMMYFUNCTION("""COMPUTED_VALUE"""),8988.94)</f>
        <v>8988.94</v>
      </c>
      <c r="L981" s="4">
        <f>IFERROR(__xludf.DUMMYFUNCTION("""COMPUTED_VALUE"""),17.0)</f>
        <v>17</v>
      </c>
      <c r="M981" s="4">
        <f>IFERROR(__xludf.DUMMYFUNCTION("""COMPUTED_VALUE"""),29.0)</f>
        <v>29</v>
      </c>
      <c r="N981" s="2" t="str">
        <f>IFERROR(__xludf.DUMMYFUNCTION("""COMPUTED_VALUE"""),"FALSO")</f>
        <v>FALSO</v>
      </c>
    </row>
    <row r="982">
      <c r="A982" s="2">
        <f>IFERROR(__xludf.DUMMYFUNCTION("""COMPUTED_VALUE"""),981.0)</f>
        <v>981</v>
      </c>
      <c r="B982" s="2" t="str">
        <f>IFERROR(__xludf.DUMMYFUNCTION("""COMPUTED_VALUE"""),"Raddy Stivens")</f>
        <v>Raddy Stivens</v>
      </c>
      <c r="C982" s="2" t="str">
        <f>IFERROR(__xludf.DUMMYFUNCTION("""COMPUTED_VALUE"""),"rstivensr9@webnode.com")</f>
        <v>rstivensr9@webnode.com</v>
      </c>
      <c r="D982" s="4">
        <f>IFERROR(__xludf.DUMMYFUNCTION("""COMPUTED_VALUE"""),57.0)</f>
        <v>57</v>
      </c>
      <c r="E982" s="4">
        <f>IFERROR(__xludf.DUMMYFUNCTION("""COMPUTED_VALUE"""),16.0)</f>
        <v>16</v>
      </c>
      <c r="F982" s="4">
        <f>IFERROR(__xludf.DUMMYFUNCTION("""COMPUTED_VALUE"""),8.0)</f>
        <v>8</v>
      </c>
      <c r="G982" s="4">
        <f>IFERROR(__xludf.DUMMYFUNCTION("""COMPUTED_VALUE"""),594.0)</f>
        <v>594</v>
      </c>
      <c r="H982" s="5">
        <f>IFERROR(__xludf.DUMMYFUNCTION("""COMPUTED_VALUE"""),2364.24)</f>
        <v>2364.24</v>
      </c>
      <c r="I982" s="5">
        <f>IFERROR(__xludf.DUMMYFUNCTION("""COMPUTED_VALUE"""),8121.4)</f>
        <v>8121.4</v>
      </c>
      <c r="J982" s="5">
        <f>IFERROR(__xludf.DUMMYFUNCTION("""COMPUTED_VALUE"""),112.33)</f>
        <v>112.33</v>
      </c>
      <c r="K982" s="5">
        <f>IFERROR(__xludf.DUMMYFUNCTION("""COMPUTED_VALUE"""),9573.26)</f>
        <v>9573.26</v>
      </c>
      <c r="L982" s="4">
        <f>IFERROR(__xludf.DUMMYFUNCTION("""COMPUTED_VALUE"""),16.0)</f>
        <v>16</v>
      </c>
      <c r="M982" s="4">
        <f>IFERROR(__xludf.DUMMYFUNCTION("""COMPUTED_VALUE"""),74.0)</f>
        <v>74</v>
      </c>
      <c r="N982" s="2" t="str">
        <f>IFERROR(__xludf.DUMMYFUNCTION("""COMPUTED_VALUE"""),"FALSO")</f>
        <v>FALSO</v>
      </c>
    </row>
    <row r="983">
      <c r="A983" s="2">
        <f>IFERROR(__xludf.DUMMYFUNCTION("""COMPUTED_VALUE"""),982.0)</f>
        <v>982</v>
      </c>
      <c r="B983" s="2" t="str">
        <f>IFERROR(__xludf.DUMMYFUNCTION("""COMPUTED_VALUE"""),"Helga McKeowon")</f>
        <v>Helga McKeowon</v>
      </c>
      <c r="C983" s="2" t="str">
        <f>IFERROR(__xludf.DUMMYFUNCTION("""COMPUTED_VALUE"""),"hmckeowonra@people.com.cn")</f>
        <v>hmckeowonra@people.com.cn</v>
      </c>
      <c r="D983" s="4">
        <f>IFERROR(__xludf.DUMMYFUNCTION("""COMPUTED_VALUE"""),65.0)</f>
        <v>65</v>
      </c>
      <c r="E983" s="4">
        <f>IFERROR(__xludf.DUMMYFUNCTION("""COMPUTED_VALUE"""),90.0)</f>
        <v>90</v>
      </c>
      <c r="F983" s="4">
        <f>IFERROR(__xludf.DUMMYFUNCTION("""COMPUTED_VALUE"""),5.0)</f>
        <v>5</v>
      </c>
      <c r="G983" s="4">
        <f>IFERROR(__xludf.DUMMYFUNCTION("""COMPUTED_VALUE"""),612.0)</f>
        <v>612</v>
      </c>
      <c r="H983" s="5">
        <f>IFERROR(__xludf.DUMMYFUNCTION("""COMPUTED_VALUE"""),8889.85)</f>
        <v>8889.85</v>
      </c>
      <c r="I983" s="5">
        <f>IFERROR(__xludf.DUMMYFUNCTION("""COMPUTED_VALUE"""),4522.96)</f>
        <v>4522.96</v>
      </c>
      <c r="J983" s="5">
        <f>IFERROR(__xludf.DUMMYFUNCTION("""COMPUTED_VALUE"""),4464.26)</f>
        <v>4464.26</v>
      </c>
      <c r="K983" s="5">
        <f>IFERROR(__xludf.DUMMYFUNCTION("""COMPUTED_VALUE"""),7982.51)</f>
        <v>7982.51</v>
      </c>
      <c r="L983" s="4">
        <f>IFERROR(__xludf.DUMMYFUNCTION("""COMPUTED_VALUE"""),12.0)</f>
        <v>12</v>
      </c>
      <c r="M983" s="4">
        <f>IFERROR(__xludf.DUMMYFUNCTION("""COMPUTED_VALUE"""),5.0)</f>
        <v>5</v>
      </c>
      <c r="N983" s="2" t="str">
        <f>IFERROR(__xludf.DUMMYFUNCTION("""COMPUTED_VALUE"""),"FALSO")</f>
        <v>FALSO</v>
      </c>
    </row>
    <row r="984">
      <c r="A984" s="2">
        <f>IFERROR(__xludf.DUMMYFUNCTION("""COMPUTED_VALUE"""),983.0)</f>
        <v>983</v>
      </c>
      <c r="B984" s="2" t="str">
        <f>IFERROR(__xludf.DUMMYFUNCTION("""COMPUTED_VALUE"""),"Howie Murcott")</f>
        <v>Howie Murcott</v>
      </c>
      <c r="C984" s="2" t="str">
        <f>IFERROR(__xludf.DUMMYFUNCTION("""COMPUTED_VALUE"""),"hmurcottrb@gizmodo.com")</f>
        <v>hmurcottrb@gizmodo.com</v>
      </c>
      <c r="D984" s="4">
        <f>IFERROR(__xludf.DUMMYFUNCTION("""COMPUTED_VALUE"""),29.0)</f>
        <v>29</v>
      </c>
      <c r="E984" s="4">
        <f>IFERROR(__xludf.DUMMYFUNCTION("""COMPUTED_VALUE"""),100.0)</f>
        <v>100</v>
      </c>
      <c r="F984" s="4">
        <f>IFERROR(__xludf.DUMMYFUNCTION("""COMPUTED_VALUE"""),9.0)</f>
        <v>9</v>
      </c>
      <c r="G984" s="4">
        <f>IFERROR(__xludf.DUMMYFUNCTION("""COMPUTED_VALUE"""),247.0)</f>
        <v>247</v>
      </c>
      <c r="H984" s="5">
        <f>IFERROR(__xludf.DUMMYFUNCTION("""COMPUTED_VALUE"""),4985.25)</f>
        <v>4985.25</v>
      </c>
      <c r="I984" s="5">
        <f>IFERROR(__xludf.DUMMYFUNCTION("""COMPUTED_VALUE"""),1741.42)</f>
        <v>1741.42</v>
      </c>
      <c r="J984" s="5">
        <f>IFERROR(__xludf.DUMMYFUNCTION("""COMPUTED_VALUE"""),4532.24)</f>
        <v>4532.24</v>
      </c>
      <c r="K984" s="5">
        <f>IFERROR(__xludf.DUMMYFUNCTION("""COMPUTED_VALUE"""),6701.47)</f>
        <v>6701.47</v>
      </c>
      <c r="L984" s="4">
        <f>IFERROR(__xludf.DUMMYFUNCTION("""COMPUTED_VALUE"""),16.0)</f>
        <v>16</v>
      </c>
      <c r="M984" s="4">
        <f>IFERROR(__xludf.DUMMYFUNCTION("""COMPUTED_VALUE"""),13.0)</f>
        <v>13</v>
      </c>
      <c r="N984" s="2" t="str">
        <f>IFERROR(__xludf.DUMMYFUNCTION("""COMPUTED_VALUE"""),"FALSO")</f>
        <v>FALSO</v>
      </c>
    </row>
    <row r="985">
      <c r="A985" s="2">
        <f>IFERROR(__xludf.DUMMYFUNCTION("""COMPUTED_VALUE"""),984.0)</f>
        <v>984</v>
      </c>
      <c r="B985" s="2" t="str">
        <f>IFERROR(__xludf.DUMMYFUNCTION("""COMPUTED_VALUE"""),"Karoly Bassom")</f>
        <v>Karoly Bassom</v>
      </c>
      <c r="C985" s="2" t="str">
        <f>IFERROR(__xludf.DUMMYFUNCTION("""COMPUTED_VALUE"""),"kbassomrc@cmu.edu")</f>
        <v>kbassomrc@cmu.edu</v>
      </c>
      <c r="D985" s="4">
        <f>IFERROR(__xludf.DUMMYFUNCTION("""COMPUTED_VALUE"""),17.0)</f>
        <v>17</v>
      </c>
      <c r="E985" s="4">
        <f>IFERROR(__xludf.DUMMYFUNCTION("""COMPUTED_VALUE"""),18.0)</f>
        <v>18</v>
      </c>
      <c r="F985" s="4">
        <f>IFERROR(__xludf.DUMMYFUNCTION("""COMPUTED_VALUE"""),8.0)</f>
        <v>8</v>
      </c>
      <c r="G985" s="4">
        <f>IFERROR(__xludf.DUMMYFUNCTION("""COMPUTED_VALUE"""),399.0)</f>
        <v>399</v>
      </c>
      <c r="H985" s="5">
        <f>IFERROR(__xludf.DUMMYFUNCTION("""COMPUTED_VALUE"""),4381.45)</f>
        <v>4381.45</v>
      </c>
      <c r="I985" s="5">
        <f>IFERROR(__xludf.DUMMYFUNCTION("""COMPUTED_VALUE"""),8999.75)</f>
        <v>8999.75</v>
      </c>
      <c r="J985" s="5">
        <f>IFERROR(__xludf.DUMMYFUNCTION("""COMPUTED_VALUE"""),7070.37)</f>
        <v>7070.37</v>
      </c>
      <c r="K985" s="5">
        <f>IFERROR(__xludf.DUMMYFUNCTION("""COMPUTED_VALUE"""),3516.04)</f>
        <v>3516.04</v>
      </c>
      <c r="L985" s="4">
        <f>IFERROR(__xludf.DUMMYFUNCTION("""COMPUTED_VALUE"""),2.0)</f>
        <v>2</v>
      </c>
      <c r="M985" s="4">
        <f>IFERROR(__xludf.DUMMYFUNCTION("""COMPUTED_VALUE"""),98.0)</f>
        <v>98</v>
      </c>
      <c r="N985" s="2" t="str">
        <f>IFERROR(__xludf.DUMMYFUNCTION("""COMPUTED_VALUE"""),"FALSO")</f>
        <v>FALSO</v>
      </c>
    </row>
    <row r="986">
      <c r="A986" s="2">
        <f>IFERROR(__xludf.DUMMYFUNCTION("""COMPUTED_VALUE"""),985.0)</f>
        <v>985</v>
      </c>
      <c r="B986" s="2" t="str">
        <f>IFERROR(__xludf.DUMMYFUNCTION("""COMPUTED_VALUE"""),"Cointon Pryer")</f>
        <v>Cointon Pryer</v>
      </c>
      <c r="C986" s="2" t="str">
        <f>IFERROR(__xludf.DUMMYFUNCTION("""COMPUTED_VALUE"""),"cpryerrd@elegantthemes.com")</f>
        <v>cpryerrd@elegantthemes.com</v>
      </c>
      <c r="D986" s="4">
        <f>IFERROR(__xludf.DUMMYFUNCTION("""COMPUTED_VALUE"""),37.0)</f>
        <v>37</v>
      </c>
      <c r="E986" s="4">
        <f>IFERROR(__xludf.DUMMYFUNCTION("""COMPUTED_VALUE"""),28.0)</f>
        <v>28</v>
      </c>
      <c r="F986" s="4">
        <f>IFERROR(__xludf.DUMMYFUNCTION("""COMPUTED_VALUE"""),11.0)</f>
        <v>11</v>
      </c>
      <c r="G986" s="4">
        <f>IFERROR(__xludf.DUMMYFUNCTION("""COMPUTED_VALUE"""),1425.0)</f>
        <v>1425</v>
      </c>
      <c r="H986" s="5">
        <f>IFERROR(__xludf.DUMMYFUNCTION("""COMPUTED_VALUE"""),7089.26)</f>
        <v>7089.26</v>
      </c>
      <c r="I986" s="5">
        <f>IFERROR(__xludf.DUMMYFUNCTION("""COMPUTED_VALUE"""),3770.82)</f>
        <v>3770.82</v>
      </c>
      <c r="J986" s="5">
        <f>IFERROR(__xludf.DUMMYFUNCTION("""COMPUTED_VALUE"""),2560.66)</f>
        <v>2560.66</v>
      </c>
      <c r="K986" s="5">
        <f>IFERROR(__xludf.DUMMYFUNCTION("""COMPUTED_VALUE"""),7404.88)</f>
        <v>7404.88</v>
      </c>
      <c r="L986" s="4">
        <f>IFERROR(__xludf.DUMMYFUNCTION("""COMPUTED_VALUE"""),8.0)</f>
        <v>8</v>
      </c>
      <c r="M986" s="4">
        <f>IFERROR(__xludf.DUMMYFUNCTION("""COMPUTED_VALUE"""),59.0)</f>
        <v>59</v>
      </c>
      <c r="N986" s="2" t="str">
        <f>IFERROR(__xludf.DUMMYFUNCTION("""COMPUTED_VALUE"""),"VERDADERO")</f>
        <v>VERDADERO</v>
      </c>
    </row>
    <row r="987">
      <c r="A987" s="2">
        <f>IFERROR(__xludf.DUMMYFUNCTION("""COMPUTED_VALUE"""),986.0)</f>
        <v>986</v>
      </c>
      <c r="B987" s="2" t="str">
        <f>IFERROR(__xludf.DUMMYFUNCTION("""COMPUTED_VALUE"""),"Kayley Bourget")</f>
        <v>Kayley Bourget</v>
      </c>
      <c r="C987" s="2" t="str">
        <f>IFERROR(__xludf.DUMMYFUNCTION("""COMPUTED_VALUE"""),"kbourgetre@usnews.com")</f>
        <v>kbourgetre@usnews.com</v>
      </c>
      <c r="D987" s="4">
        <f>IFERROR(__xludf.DUMMYFUNCTION("""COMPUTED_VALUE"""),2.0)</f>
        <v>2</v>
      </c>
      <c r="E987" s="4">
        <f>IFERROR(__xludf.DUMMYFUNCTION("""COMPUTED_VALUE"""),71.0)</f>
        <v>71</v>
      </c>
      <c r="F987" s="4">
        <f>IFERROR(__xludf.DUMMYFUNCTION("""COMPUTED_VALUE"""),6.0)</f>
        <v>6</v>
      </c>
      <c r="G987" s="4">
        <f>IFERROR(__xludf.DUMMYFUNCTION("""COMPUTED_VALUE"""),729.0)</f>
        <v>729</v>
      </c>
      <c r="H987" s="5">
        <f>IFERROR(__xludf.DUMMYFUNCTION("""COMPUTED_VALUE"""),4355.27)</f>
        <v>4355.27</v>
      </c>
      <c r="I987" s="5">
        <f>IFERROR(__xludf.DUMMYFUNCTION("""COMPUTED_VALUE"""),6257.73)</f>
        <v>6257.73</v>
      </c>
      <c r="J987" s="5">
        <f>IFERROR(__xludf.DUMMYFUNCTION("""COMPUTED_VALUE"""),67.63)</f>
        <v>67.63</v>
      </c>
      <c r="K987" s="5">
        <f>IFERROR(__xludf.DUMMYFUNCTION("""COMPUTED_VALUE"""),122.17)</f>
        <v>122.17</v>
      </c>
      <c r="L987" s="4">
        <f>IFERROR(__xludf.DUMMYFUNCTION("""COMPUTED_VALUE"""),9.0)</f>
        <v>9</v>
      </c>
      <c r="M987" s="4">
        <f>IFERROR(__xludf.DUMMYFUNCTION("""COMPUTED_VALUE"""),33.0)</f>
        <v>33</v>
      </c>
      <c r="N987" s="2" t="str">
        <f>IFERROR(__xludf.DUMMYFUNCTION("""COMPUTED_VALUE"""),"FALSO")</f>
        <v>FALSO</v>
      </c>
    </row>
    <row r="988">
      <c r="A988" s="2">
        <f>IFERROR(__xludf.DUMMYFUNCTION("""COMPUTED_VALUE"""),987.0)</f>
        <v>987</v>
      </c>
      <c r="B988" s="2" t="str">
        <f>IFERROR(__xludf.DUMMYFUNCTION("""COMPUTED_VALUE"""),"Verne Grummitt")</f>
        <v>Verne Grummitt</v>
      </c>
      <c r="C988" s="2" t="str">
        <f>IFERROR(__xludf.DUMMYFUNCTION("""COMPUTED_VALUE"""),"vgrummittrf@fema.gov")</f>
        <v>vgrummittrf@fema.gov</v>
      </c>
      <c r="D988" s="4">
        <f>IFERROR(__xludf.DUMMYFUNCTION("""COMPUTED_VALUE"""),17.0)</f>
        <v>17</v>
      </c>
      <c r="E988" s="4">
        <f>IFERROR(__xludf.DUMMYFUNCTION("""COMPUTED_VALUE"""),107.0)</f>
        <v>107</v>
      </c>
      <c r="F988" s="4">
        <f>IFERROR(__xludf.DUMMYFUNCTION("""COMPUTED_VALUE"""),5.0)</f>
        <v>5</v>
      </c>
      <c r="G988" s="4">
        <f>IFERROR(__xludf.DUMMYFUNCTION("""COMPUTED_VALUE"""),1156.0)</f>
        <v>1156</v>
      </c>
      <c r="H988" s="5">
        <f>IFERROR(__xludf.DUMMYFUNCTION("""COMPUTED_VALUE"""),605.61)</f>
        <v>605.61</v>
      </c>
      <c r="I988" s="5">
        <f>IFERROR(__xludf.DUMMYFUNCTION("""COMPUTED_VALUE"""),7304.01)</f>
        <v>7304.01</v>
      </c>
      <c r="J988" s="5">
        <f>IFERROR(__xludf.DUMMYFUNCTION("""COMPUTED_VALUE"""),8778.62)</f>
        <v>8778.62</v>
      </c>
      <c r="K988" s="5">
        <f>IFERROR(__xludf.DUMMYFUNCTION("""COMPUTED_VALUE"""),2463.34)</f>
        <v>2463.34</v>
      </c>
      <c r="L988" s="4">
        <f>IFERROR(__xludf.DUMMYFUNCTION("""COMPUTED_VALUE"""),4.0)</f>
        <v>4</v>
      </c>
      <c r="M988" s="4">
        <f>IFERROR(__xludf.DUMMYFUNCTION("""COMPUTED_VALUE"""),38.0)</f>
        <v>38</v>
      </c>
      <c r="N988" s="2" t="str">
        <f>IFERROR(__xludf.DUMMYFUNCTION("""COMPUTED_VALUE"""),"FALSO")</f>
        <v>FALSO</v>
      </c>
    </row>
    <row r="989">
      <c r="A989" s="2">
        <f>IFERROR(__xludf.DUMMYFUNCTION("""COMPUTED_VALUE"""),988.0)</f>
        <v>988</v>
      </c>
      <c r="B989" s="2" t="str">
        <f>IFERROR(__xludf.DUMMYFUNCTION("""COMPUTED_VALUE"""),"Melvin Pilch")</f>
        <v>Melvin Pilch</v>
      </c>
      <c r="C989" s="2" t="str">
        <f>IFERROR(__xludf.DUMMYFUNCTION("""COMPUTED_VALUE"""),"mpilchrg@apache.org")</f>
        <v>mpilchrg@apache.org</v>
      </c>
      <c r="D989" s="4">
        <f>IFERROR(__xludf.DUMMYFUNCTION("""COMPUTED_VALUE"""),29.0)</f>
        <v>29</v>
      </c>
      <c r="E989" s="4">
        <f>IFERROR(__xludf.DUMMYFUNCTION("""COMPUTED_VALUE"""),21.0)</f>
        <v>21</v>
      </c>
      <c r="F989" s="4">
        <f>IFERROR(__xludf.DUMMYFUNCTION("""COMPUTED_VALUE"""),12.0)</f>
        <v>12</v>
      </c>
      <c r="G989" s="4">
        <f>IFERROR(__xludf.DUMMYFUNCTION("""COMPUTED_VALUE"""),948.0)</f>
        <v>948</v>
      </c>
      <c r="H989" s="5">
        <f>IFERROR(__xludf.DUMMYFUNCTION("""COMPUTED_VALUE"""),2085.38)</f>
        <v>2085.38</v>
      </c>
      <c r="I989" s="5">
        <f>IFERROR(__xludf.DUMMYFUNCTION("""COMPUTED_VALUE"""),256.4)</f>
        <v>256.4</v>
      </c>
      <c r="J989" s="5">
        <f>IFERROR(__xludf.DUMMYFUNCTION("""COMPUTED_VALUE"""),4440.39)</f>
        <v>4440.39</v>
      </c>
      <c r="K989" s="5">
        <f>IFERROR(__xludf.DUMMYFUNCTION("""COMPUTED_VALUE"""),998.75)</f>
        <v>998.75</v>
      </c>
      <c r="L989" s="4">
        <f>IFERROR(__xludf.DUMMYFUNCTION("""COMPUTED_VALUE"""),4.0)</f>
        <v>4</v>
      </c>
      <c r="M989" s="4">
        <f>IFERROR(__xludf.DUMMYFUNCTION("""COMPUTED_VALUE"""),7.0)</f>
        <v>7</v>
      </c>
      <c r="N989" s="2" t="str">
        <f>IFERROR(__xludf.DUMMYFUNCTION("""COMPUTED_VALUE"""),"VERDADERO")</f>
        <v>VERDADERO</v>
      </c>
    </row>
    <row r="990">
      <c r="A990" s="2">
        <f>IFERROR(__xludf.DUMMYFUNCTION("""COMPUTED_VALUE"""),989.0)</f>
        <v>989</v>
      </c>
      <c r="B990" s="2" t="str">
        <f>IFERROR(__xludf.DUMMYFUNCTION("""COMPUTED_VALUE"""),"Jude Ballefant")</f>
        <v>Jude Ballefant</v>
      </c>
      <c r="C990" s="2" t="str">
        <f>IFERROR(__xludf.DUMMYFUNCTION("""COMPUTED_VALUE"""),"jballefantrh@vkontakte.ru")</f>
        <v>jballefantrh@vkontakte.ru</v>
      </c>
      <c r="D990" s="4">
        <f>IFERROR(__xludf.DUMMYFUNCTION("""COMPUTED_VALUE"""),120.0)</f>
        <v>120</v>
      </c>
      <c r="E990" s="4">
        <f>IFERROR(__xludf.DUMMYFUNCTION("""COMPUTED_VALUE"""),81.0)</f>
        <v>81</v>
      </c>
      <c r="F990" s="4">
        <f>IFERROR(__xludf.DUMMYFUNCTION("""COMPUTED_VALUE"""),2.0)</f>
        <v>2</v>
      </c>
      <c r="G990" s="4">
        <f>IFERROR(__xludf.DUMMYFUNCTION("""COMPUTED_VALUE"""),984.0)</f>
        <v>984</v>
      </c>
      <c r="H990" s="5">
        <f>IFERROR(__xludf.DUMMYFUNCTION("""COMPUTED_VALUE"""),5485.21)</f>
        <v>5485.21</v>
      </c>
      <c r="I990" s="5">
        <f>IFERROR(__xludf.DUMMYFUNCTION("""COMPUTED_VALUE"""),9175.68)</f>
        <v>9175.68</v>
      </c>
      <c r="J990" s="5">
        <f>IFERROR(__xludf.DUMMYFUNCTION("""COMPUTED_VALUE"""),9781.0)</f>
        <v>9781</v>
      </c>
      <c r="K990" s="5">
        <f>IFERROR(__xludf.DUMMYFUNCTION("""COMPUTED_VALUE"""),4027.83)</f>
        <v>4027.83</v>
      </c>
      <c r="L990" s="4">
        <f>IFERROR(__xludf.DUMMYFUNCTION("""COMPUTED_VALUE"""),19.0)</f>
        <v>19</v>
      </c>
      <c r="M990" s="4">
        <f>IFERROR(__xludf.DUMMYFUNCTION("""COMPUTED_VALUE"""),51.0)</f>
        <v>51</v>
      </c>
      <c r="N990" s="2" t="str">
        <f>IFERROR(__xludf.DUMMYFUNCTION("""COMPUTED_VALUE"""),"VERDADERO")</f>
        <v>VERDADERO</v>
      </c>
    </row>
    <row r="991">
      <c r="A991" s="2">
        <f>IFERROR(__xludf.DUMMYFUNCTION("""COMPUTED_VALUE"""),990.0)</f>
        <v>990</v>
      </c>
      <c r="B991" s="2" t="str">
        <f>IFERROR(__xludf.DUMMYFUNCTION("""COMPUTED_VALUE"""),"Issiah Bracco")</f>
        <v>Issiah Bracco</v>
      </c>
      <c r="C991" s="2" t="str">
        <f>IFERROR(__xludf.DUMMYFUNCTION("""COMPUTED_VALUE"""),"ibraccori@nps.gov")</f>
        <v>ibraccori@nps.gov</v>
      </c>
      <c r="D991" s="4">
        <f>IFERROR(__xludf.DUMMYFUNCTION("""COMPUTED_VALUE"""),122.0)</f>
        <v>122</v>
      </c>
      <c r="E991" s="4">
        <f>IFERROR(__xludf.DUMMYFUNCTION("""COMPUTED_VALUE"""),49.0)</f>
        <v>49</v>
      </c>
      <c r="F991" s="4">
        <f>IFERROR(__xludf.DUMMYFUNCTION("""COMPUTED_VALUE"""),4.0)</f>
        <v>4</v>
      </c>
      <c r="G991" s="4">
        <f>IFERROR(__xludf.DUMMYFUNCTION("""COMPUTED_VALUE"""),1.0)</f>
        <v>1</v>
      </c>
      <c r="H991" s="5">
        <f>IFERROR(__xludf.DUMMYFUNCTION("""COMPUTED_VALUE"""),6718.0)</f>
        <v>6718</v>
      </c>
      <c r="I991" s="5">
        <f>IFERROR(__xludf.DUMMYFUNCTION("""COMPUTED_VALUE"""),889.53)</f>
        <v>889.53</v>
      </c>
      <c r="J991" s="5">
        <f>IFERROR(__xludf.DUMMYFUNCTION("""COMPUTED_VALUE"""),7922.49)</f>
        <v>7922.49</v>
      </c>
      <c r="K991" s="5">
        <f>IFERROR(__xludf.DUMMYFUNCTION("""COMPUTED_VALUE"""),4653.14)</f>
        <v>4653.14</v>
      </c>
      <c r="L991" s="4">
        <f>IFERROR(__xludf.DUMMYFUNCTION("""COMPUTED_VALUE"""),17.0)</f>
        <v>17</v>
      </c>
      <c r="M991" s="4">
        <f>IFERROR(__xludf.DUMMYFUNCTION("""COMPUTED_VALUE"""),69.0)</f>
        <v>69</v>
      </c>
      <c r="N991" s="2" t="str">
        <f>IFERROR(__xludf.DUMMYFUNCTION("""COMPUTED_VALUE"""),"VERDADERO")</f>
        <v>VERDADERO</v>
      </c>
    </row>
    <row r="992">
      <c r="A992" s="2">
        <f>IFERROR(__xludf.DUMMYFUNCTION("""COMPUTED_VALUE"""),991.0)</f>
        <v>991</v>
      </c>
      <c r="B992" s="2" t="str">
        <f>IFERROR(__xludf.DUMMYFUNCTION("""COMPUTED_VALUE"""),"Herby Meineking")</f>
        <v>Herby Meineking</v>
      </c>
      <c r="C992" s="2" t="str">
        <f>IFERROR(__xludf.DUMMYFUNCTION("""COMPUTED_VALUE"""),"hmeinekingrj@aol.com")</f>
        <v>hmeinekingrj@aol.com</v>
      </c>
      <c r="D992" s="4">
        <f>IFERROR(__xludf.DUMMYFUNCTION("""COMPUTED_VALUE"""),34.0)</f>
        <v>34</v>
      </c>
      <c r="E992" s="4">
        <f>IFERROR(__xludf.DUMMYFUNCTION("""COMPUTED_VALUE"""),123.0)</f>
        <v>123</v>
      </c>
      <c r="F992" s="4">
        <f>IFERROR(__xludf.DUMMYFUNCTION("""COMPUTED_VALUE"""),7.0)</f>
        <v>7</v>
      </c>
      <c r="G992" s="4">
        <f>IFERROR(__xludf.DUMMYFUNCTION("""COMPUTED_VALUE"""),391.0)</f>
        <v>391</v>
      </c>
      <c r="H992" s="5">
        <f>IFERROR(__xludf.DUMMYFUNCTION("""COMPUTED_VALUE"""),1067.86)</f>
        <v>1067.86</v>
      </c>
      <c r="I992" s="5">
        <f>IFERROR(__xludf.DUMMYFUNCTION("""COMPUTED_VALUE"""),758.72)</f>
        <v>758.72</v>
      </c>
      <c r="J992" s="5">
        <f>IFERROR(__xludf.DUMMYFUNCTION("""COMPUTED_VALUE"""),66.92)</f>
        <v>66.92</v>
      </c>
      <c r="K992" s="5">
        <f>IFERROR(__xludf.DUMMYFUNCTION("""COMPUTED_VALUE"""),8462.18)</f>
        <v>8462.18</v>
      </c>
      <c r="L992" s="4">
        <f>IFERROR(__xludf.DUMMYFUNCTION("""COMPUTED_VALUE"""),17.0)</f>
        <v>17</v>
      </c>
      <c r="M992" s="4">
        <f>IFERROR(__xludf.DUMMYFUNCTION("""COMPUTED_VALUE"""),75.0)</f>
        <v>75</v>
      </c>
      <c r="N992" s="2" t="str">
        <f>IFERROR(__xludf.DUMMYFUNCTION("""COMPUTED_VALUE"""),"FALSO")</f>
        <v>FALSO</v>
      </c>
    </row>
    <row r="993">
      <c r="A993" s="2">
        <f>IFERROR(__xludf.DUMMYFUNCTION("""COMPUTED_VALUE"""),992.0)</f>
        <v>992</v>
      </c>
      <c r="B993" s="2" t="str">
        <f>IFERROR(__xludf.DUMMYFUNCTION("""COMPUTED_VALUE"""),"Charmain MacFaell")</f>
        <v>Charmain MacFaell</v>
      </c>
      <c r="C993" s="2" t="str">
        <f>IFERROR(__xludf.DUMMYFUNCTION("""COMPUTED_VALUE"""),"cmacfaellrk@acquirethisname.com")</f>
        <v>cmacfaellrk@acquirethisname.com</v>
      </c>
      <c r="D993" s="4">
        <f>IFERROR(__xludf.DUMMYFUNCTION("""COMPUTED_VALUE"""),111.0)</f>
        <v>111</v>
      </c>
      <c r="E993" s="4">
        <f>IFERROR(__xludf.DUMMYFUNCTION("""COMPUTED_VALUE"""),81.0)</f>
        <v>81</v>
      </c>
      <c r="F993" s="4">
        <f>IFERROR(__xludf.DUMMYFUNCTION("""COMPUTED_VALUE"""),2.0)</f>
        <v>2</v>
      </c>
      <c r="G993" s="4">
        <f>IFERROR(__xludf.DUMMYFUNCTION("""COMPUTED_VALUE"""),217.0)</f>
        <v>217</v>
      </c>
      <c r="H993" s="5">
        <f>IFERROR(__xludf.DUMMYFUNCTION("""COMPUTED_VALUE"""),3368.94)</f>
        <v>3368.94</v>
      </c>
      <c r="I993" s="5">
        <f>IFERROR(__xludf.DUMMYFUNCTION("""COMPUTED_VALUE"""),7586.52)</f>
        <v>7586.52</v>
      </c>
      <c r="J993" s="5">
        <f>IFERROR(__xludf.DUMMYFUNCTION("""COMPUTED_VALUE"""),8217.38)</f>
        <v>8217.38</v>
      </c>
      <c r="K993" s="5">
        <f>IFERROR(__xludf.DUMMYFUNCTION("""COMPUTED_VALUE"""),7887.93)</f>
        <v>7887.93</v>
      </c>
      <c r="L993" s="4">
        <f>IFERROR(__xludf.DUMMYFUNCTION("""COMPUTED_VALUE"""),12.0)</f>
        <v>12</v>
      </c>
      <c r="M993" s="4">
        <f>IFERROR(__xludf.DUMMYFUNCTION("""COMPUTED_VALUE"""),46.0)</f>
        <v>46</v>
      </c>
      <c r="N993" s="2" t="str">
        <f>IFERROR(__xludf.DUMMYFUNCTION("""COMPUTED_VALUE"""),"VERDADERO")</f>
        <v>VERDADERO</v>
      </c>
    </row>
    <row r="994">
      <c r="A994" s="2">
        <f>IFERROR(__xludf.DUMMYFUNCTION("""COMPUTED_VALUE"""),993.0)</f>
        <v>993</v>
      </c>
      <c r="B994" s="2" t="str">
        <f>IFERROR(__xludf.DUMMYFUNCTION("""COMPUTED_VALUE"""),"Andrus Douthwaite")</f>
        <v>Andrus Douthwaite</v>
      </c>
      <c r="C994" s="2" t="str">
        <f>IFERROR(__xludf.DUMMYFUNCTION("""COMPUTED_VALUE"""),"adouthwaiterl@wordpress.com")</f>
        <v>adouthwaiterl@wordpress.com</v>
      </c>
      <c r="D994" s="4">
        <f>IFERROR(__xludf.DUMMYFUNCTION("""COMPUTED_VALUE"""),29.0)</f>
        <v>29</v>
      </c>
      <c r="E994" s="4">
        <f>IFERROR(__xludf.DUMMYFUNCTION("""COMPUTED_VALUE"""),80.0)</f>
        <v>80</v>
      </c>
      <c r="F994" s="4">
        <f>IFERROR(__xludf.DUMMYFUNCTION("""COMPUTED_VALUE"""),12.0)</f>
        <v>12</v>
      </c>
      <c r="G994" s="4">
        <f>IFERROR(__xludf.DUMMYFUNCTION("""COMPUTED_VALUE"""),793.0)</f>
        <v>793</v>
      </c>
      <c r="H994" s="5">
        <f>IFERROR(__xludf.DUMMYFUNCTION("""COMPUTED_VALUE"""),5932.68)</f>
        <v>5932.68</v>
      </c>
      <c r="I994" s="5">
        <f>IFERROR(__xludf.DUMMYFUNCTION("""COMPUTED_VALUE"""),5790.63)</f>
        <v>5790.63</v>
      </c>
      <c r="J994" s="5">
        <f>IFERROR(__xludf.DUMMYFUNCTION("""COMPUTED_VALUE"""),6796.28)</f>
        <v>6796.28</v>
      </c>
      <c r="K994" s="5">
        <f>IFERROR(__xludf.DUMMYFUNCTION("""COMPUTED_VALUE"""),1649.6)</f>
        <v>1649.6</v>
      </c>
      <c r="L994" s="4">
        <f>IFERROR(__xludf.DUMMYFUNCTION("""COMPUTED_VALUE"""),16.0)</f>
        <v>16</v>
      </c>
      <c r="M994" s="4">
        <f>IFERROR(__xludf.DUMMYFUNCTION("""COMPUTED_VALUE"""),74.0)</f>
        <v>74</v>
      </c>
      <c r="N994" s="2" t="str">
        <f>IFERROR(__xludf.DUMMYFUNCTION("""COMPUTED_VALUE"""),"VERDADERO")</f>
        <v>VERDADERO</v>
      </c>
    </row>
    <row r="995">
      <c r="A995" s="2">
        <f>IFERROR(__xludf.DUMMYFUNCTION("""COMPUTED_VALUE"""),994.0)</f>
        <v>994</v>
      </c>
      <c r="B995" s="2" t="str">
        <f>IFERROR(__xludf.DUMMYFUNCTION("""COMPUTED_VALUE"""),"Garrik Fowles")</f>
        <v>Garrik Fowles</v>
      </c>
      <c r="C995" s="2" t="str">
        <f>IFERROR(__xludf.DUMMYFUNCTION("""COMPUTED_VALUE"""),"gfowlesrm@scribd.com")</f>
        <v>gfowlesrm@scribd.com</v>
      </c>
      <c r="D995" s="4">
        <f>IFERROR(__xludf.DUMMYFUNCTION("""COMPUTED_VALUE"""),37.0)</f>
        <v>37</v>
      </c>
      <c r="E995" s="4">
        <f>IFERROR(__xludf.DUMMYFUNCTION("""COMPUTED_VALUE"""),53.0)</f>
        <v>53</v>
      </c>
      <c r="F995" s="4">
        <f>IFERROR(__xludf.DUMMYFUNCTION("""COMPUTED_VALUE"""),9.0)</f>
        <v>9</v>
      </c>
      <c r="G995" s="4">
        <f>IFERROR(__xludf.DUMMYFUNCTION("""COMPUTED_VALUE"""),437.0)</f>
        <v>437</v>
      </c>
      <c r="H995" s="5">
        <f>IFERROR(__xludf.DUMMYFUNCTION("""COMPUTED_VALUE"""),8429.74)</f>
        <v>8429.74</v>
      </c>
      <c r="I995" s="5">
        <f>IFERROR(__xludf.DUMMYFUNCTION("""COMPUTED_VALUE"""),7508.28)</f>
        <v>7508.28</v>
      </c>
      <c r="J995" s="5">
        <f>IFERROR(__xludf.DUMMYFUNCTION("""COMPUTED_VALUE"""),1333.3)</f>
        <v>1333.3</v>
      </c>
      <c r="K995" s="5">
        <f>IFERROR(__xludf.DUMMYFUNCTION("""COMPUTED_VALUE"""),1708.62)</f>
        <v>1708.62</v>
      </c>
      <c r="L995" s="4">
        <f>IFERROR(__xludf.DUMMYFUNCTION("""COMPUTED_VALUE"""),7.0)</f>
        <v>7</v>
      </c>
      <c r="M995" s="4">
        <f>IFERROR(__xludf.DUMMYFUNCTION("""COMPUTED_VALUE"""),31.0)</f>
        <v>31</v>
      </c>
      <c r="N995" s="2" t="str">
        <f>IFERROR(__xludf.DUMMYFUNCTION("""COMPUTED_VALUE"""),"FALSO")</f>
        <v>FALSO</v>
      </c>
    </row>
    <row r="996">
      <c r="A996" s="2">
        <f>IFERROR(__xludf.DUMMYFUNCTION("""COMPUTED_VALUE"""),995.0)</f>
        <v>995</v>
      </c>
      <c r="B996" s="2" t="str">
        <f>IFERROR(__xludf.DUMMYFUNCTION("""COMPUTED_VALUE"""),"Marjorie Ashbey")</f>
        <v>Marjorie Ashbey</v>
      </c>
      <c r="C996" s="2" t="str">
        <f>IFERROR(__xludf.DUMMYFUNCTION("""COMPUTED_VALUE"""),"mashbeyrn@mapquest.com")</f>
        <v>mashbeyrn@mapquest.com</v>
      </c>
      <c r="D996" s="4">
        <f>IFERROR(__xludf.DUMMYFUNCTION("""COMPUTED_VALUE"""),103.0)</f>
        <v>103</v>
      </c>
      <c r="E996" s="4">
        <f>IFERROR(__xludf.DUMMYFUNCTION("""COMPUTED_VALUE"""),15.0)</f>
        <v>15</v>
      </c>
      <c r="F996" s="4">
        <f>IFERROR(__xludf.DUMMYFUNCTION("""COMPUTED_VALUE"""),6.0)</f>
        <v>6</v>
      </c>
      <c r="G996" s="4">
        <f>IFERROR(__xludf.DUMMYFUNCTION("""COMPUTED_VALUE"""),739.0)</f>
        <v>739</v>
      </c>
      <c r="H996" s="5">
        <f>IFERROR(__xludf.DUMMYFUNCTION("""COMPUTED_VALUE"""),9236.56)</f>
        <v>9236.56</v>
      </c>
      <c r="I996" s="5">
        <f>IFERROR(__xludf.DUMMYFUNCTION("""COMPUTED_VALUE"""),996.98)</f>
        <v>996.98</v>
      </c>
      <c r="J996" s="5">
        <f>IFERROR(__xludf.DUMMYFUNCTION("""COMPUTED_VALUE"""),1607.68)</f>
        <v>1607.68</v>
      </c>
      <c r="K996" s="5">
        <f>IFERROR(__xludf.DUMMYFUNCTION("""COMPUTED_VALUE"""),3810.05)</f>
        <v>3810.05</v>
      </c>
      <c r="L996" s="4">
        <f>IFERROR(__xludf.DUMMYFUNCTION("""COMPUTED_VALUE"""),8.0)</f>
        <v>8</v>
      </c>
      <c r="M996" s="4">
        <f>IFERROR(__xludf.DUMMYFUNCTION("""COMPUTED_VALUE"""),67.0)</f>
        <v>67</v>
      </c>
      <c r="N996" s="2" t="str">
        <f>IFERROR(__xludf.DUMMYFUNCTION("""COMPUTED_VALUE"""),"FALSO")</f>
        <v>FALSO</v>
      </c>
    </row>
    <row r="997">
      <c r="A997" s="2">
        <f>IFERROR(__xludf.DUMMYFUNCTION("""COMPUTED_VALUE"""),996.0)</f>
        <v>996</v>
      </c>
      <c r="B997" s="2" t="str">
        <f>IFERROR(__xludf.DUMMYFUNCTION("""COMPUTED_VALUE"""),"Fern Castelain")</f>
        <v>Fern Castelain</v>
      </c>
      <c r="C997" s="2" t="str">
        <f>IFERROR(__xludf.DUMMYFUNCTION("""COMPUTED_VALUE"""),"fcastelainro@nytimes.com")</f>
        <v>fcastelainro@nytimes.com</v>
      </c>
      <c r="D997" s="4">
        <f>IFERROR(__xludf.DUMMYFUNCTION("""COMPUTED_VALUE"""),134.0)</f>
        <v>134</v>
      </c>
      <c r="E997" s="4">
        <f>IFERROR(__xludf.DUMMYFUNCTION("""COMPUTED_VALUE"""),81.0)</f>
        <v>81</v>
      </c>
      <c r="F997" s="4">
        <f>IFERROR(__xludf.DUMMYFUNCTION("""COMPUTED_VALUE"""),2.0)</f>
        <v>2</v>
      </c>
      <c r="G997" s="4">
        <f>IFERROR(__xludf.DUMMYFUNCTION("""COMPUTED_VALUE"""),1486.0)</f>
        <v>1486</v>
      </c>
      <c r="H997" s="5">
        <f>IFERROR(__xludf.DUMMYFUNCTION("""COMPUTED_VALUE"""),8377.36)</f>
        <v>8377.36</v>
      </c>
      <c r="I997" s="5">
        <f>IFERROR(__xludf.DUMMYFUNCTION("""COMPUTED_VALUE"""),2517.94)</f>
        <v>2517.94</v>
      </c>
      <c r="J997" s="5">
        <f>IFERROR(__xludf.DUMMYFUNCTION("""COMPUTED_VALUE"""),6119.0)</f>
        <v>6119</v>
      </c>
      <c r="K997" s="5">
        <f>IFERROR(__xludf.DUMMYFUNCTION("""COMPUTED_VALUE"""),3664.52)</f>
        <v>3664.52</v>
      </c>
      <c r="L997" s="4">
        <f>IFERROR(__xludf.DUMMYFUNCTION("""COMPUTED_VALUE"""),6.0)</f>
        <v>6</v>
      </c>
      <c r="M997" s="4">
        <f>IFERROR(__xludf.DUMMYFUNCTION("""COMPUTED_VALUE"""),11.0)</f>
        <v>11</v>
      </c>
      <c r="N997" s="2" t="str">
        <f>IFERROR(__xludf.DUMMYFUNCTION("""COMPUTED_VALUE"""),"VERDADERO")</f>
        <v>VERDADERO</v>
      </c>
    </row>
    <row r="998">
      <c r="A998" s="2">
        <f>IFERROR(__xludf.DUMMYFUNCTION("""COMPUTED_VALUE"""),997.0)</f>
        <v>997</v>
      </c>
      <c r="B998" s="2" t="str">
        <f>IFERROR(__xludf.DUMMYFUNCTION("""COMPUTED_VALUE"""),"Yves Lehemann")</f>
        <v>Yves Lehemann</v>
      </c>
      <c r="C998" s="2" t="str">
        <f>IFERROR(__xludf.DUMMYFUNCTION("""COMPUTED_VALUE"""),"ylehemannrp@senate.gov")</f>
        <v>ylehemannrp@senate.gov</v>
      </c>
      <c r="D998" s="4">
        <f>IFERROR(__xludf.DUMMYFUNCTION("""COMPUTED_VALUE"""),134.0)</f>
        <v>134</v>
      </c>
      <c r="E998" s="4">
        <f>IFERROR(__xludf.DUMMYFUNCTION("""COMPUTED_VALUE"""),111.0)</f>
        <v>111</v>
      </c>
      <c r="F998" s="4">
        <f>IFERROR(__xludf.DUMMYFUNCTION("""COMPUTED_VALUE"""),4.0)</f>
        <v>4</v>
      </c>
      <c r="G998" s="4">
        <f>IFERROR(__xludf.DUMMYFUNCTION("""COMPUTED_VALUE"""),333.0)</f>
        <v>333</v>
      </c>
      <c r="H998" s="5">
        <f>IFERROR(__xludf.DUMMYFUNCTION("""COMPUTED_VALUE"""),9683.63)</f>
        <v>9683.63</v>
      </c>
      <c r="I998" s="5">
        <f>IFERROR(__xludf.DUMMYFUNCTION("""COMPUTED_VALUE"""),9135.91)</f>
        <v>9135.91</v>
      </c>
      <c r="J998" s="5">
        <f>IFERROR(__xludf.DUMMYFUNCTION("""COMPUTED_VALUE"""),9447.28)</f>
        <v>9447.28</v>
      </c>
      <c r="K998" s="5">
        <f>IFERROR(__xludf.DUMMYFUNCTION("""COMPUTED_VALUE"""),4597.23)</f>
        <v>4597.23</v>
      </c>
      <c r="L998" s="4">
        <f>IFERROR(__xludf.DUMMYFUNCTION("""COMPUTED_VALUE"""),2.0)</f>
        <v>2</v>
      </c>
      <c r="M998" s="4">
        <f>IFERROR(__xludf.DUMMYFUNCTION("""COMPUTED_VALUE"""),67.0)</f>
        <v>67</v>
      </c>
      <c r="N998" s="2" t="str">
        <f>IFERROR(__xludf.DUMMYFUNCTION("""COMPUTED_VALUE"""),"FALSO")</f>
        <v>FALSO</v>
      </c>
    </row>
    <row r="999">
      <c r="A999" s="2">
        <f>IFERROR(__xludf.DUMMYFUNCTION("""COMPUTED_VALUE"""),998.0)</f>
        <v>998</v>
      </c>
      <c r="B999" s="2" t="str">
        <f>IFERROR(__xludf.DUMMYFUNCTION("""COMPUTED_VALUE"""),"Ambur Titt")</f>
        <v>Ambur Titt</v>
      </c>
      <c r="C999" s="2" t="str">
        <f>IFERROR(__xludf.DUMMYFUNCTION("""COMPUTED_VALUE"""),"atittrq@amazon.co.uk")</f>
        <v>atittrq@amazon.co.uk</v>
      </c>
      <c r="D999" s="4">
        <f>IFERROR(__xludf.DUMMYFUNCTION("""COMPUTED_VALUE"""),65.0)</f>
        <v>65</v>
      </c>
      <c r="E999" s="4">
        <f>IFERROR(__xludf.DUMMYFUNCTION("""COMPUTED_VALUE"""),21.0)</f>
        <v>21</v>
      </c>
      <c r="F999" s="4">
        <f>IFERROR(__xludf.DUMMYFUNCTION("""COMPUTED_VALUE"""),4.0)</f>
        <v>4</v>
      </c>
      <c r="G999" s="4">
        <f>IFERROR(__xludf.DUMMYFUNCTION("""COMPUTED_VALUE"""),1084.0)</f>
        <v>1084</v>
      </c>
      <c r="H999" s="5">
        <f>IFERROR(__xludf.DUMMYFUNCTION("""COMPUTED_VALUE"""),5333.44)</f>
        <v>5333.44</v>
      </c>
      <c r="I999" s="5">
        <f>IFERROR(__xludf.DUMMYFUNCTION("""COMPUTED_VALUE"""),9466.75)</f>
        <v>9466.75</v>
      </c>
      <c r="J999" s="5">
        <f>IFERROR(__xludf.DUMMYFUNCTION("""COMPUTED_VALUE"""),5506.12)</f>
        <v>5506.12</v>
      </c>
      <c r="K999" s="5">
        <f>IFERROR(__xludf.DUMMYFUNCTION("""COMPUTED_VALUE"""),509.93)</f>
        <v>509.93</v>
      </c>
      <c r="L999" s="4">
        <f>IFERROR(__xludf.DUMMYFUNCTION("""COMPUTED_VALUE"""),12.0)</f>
        <v>12</v>
      </c>
      <c r="M999" s="4">
        <f>IFERROR(__xludf.DUMMYFUNCTION("""COMPUTED_VALUE"""),7.0)</f>
        <v>7</v>
      </c>
      <c r="N999" s="2" t="str">
        <f>IFERROR(__xludf.DUMMYFUNCTION("""COMPUTED_VALUE"""),"FALSO")</f>
        <v>FALSO</v>
      </c>
    </row>
    <row r="1000">
      <c r="A1000" s="2">
        <f>IFERROR(__xludf.DUMMYFUNCTION("""COMPUTED_VALUE"""),999.0)</f>
        <v>999</v>
      </c>
      <c r="B1000" s="2" t="str">
        <f>IFERROR(__xludf.DUMMYFUNCTION("""COMPUTED_VALUE"""),"Wake Stoop")</f>
        <v>Wake Stoop</v>
      </c>
      <c r="C1000" s="2" t="str">
        <f>IFERROR(__xludf.DUMMYFUNCTION("""COMPUTED_VALUE"""),"wstooprr@tuttocitta.it")</f>
        <v>wstooprr@tuttocitta.it</v>
      </c>
      <c r="D1000" s="4">
        <f>IFERROR(__xludf.DUMMYFUNCTION("""COMPUTED_VALUE"""),121.0)</f>
        <v>121</v>
      </c>
      <c r="E1000" s="4">
        <f>IFERROR(__xludf.DUMMYFUNCTION("""COMPUTED_VALUE"""),21.0)</f>
        <v>21</v>
      </c>
      <c r="F1000" s="4">
        <f>IFERROR(__xludf.DUMMYFUNCTION("""COMPUTED_VALUE"""),12.0)</f>
        <v>12</v>
      </c>
      <c r="G1000" s="4">
        <f>IFERROR(__xludf.DUMMYFUNCTION("""COMPUTED_VALUE"""),1126.0)</f>
        <v>1126</v>
      </c>
      <c r="H1000" s="5">
        <f>IFERROR(__xludf.DUMMYFUNCTION("""COMPUTED_VALUE"""),4315.88)</f>
        <v>4315.88</v>
      </c>
      <c r="I1000" s="5">
        <f>IFERROR(__xludf.DUMMYFUNCTION("""COMPUTED_VALUE"""),9309.14)</f>
        <v>9309.14</v>
      </c>
      <c r="J1000" s="5">
        <f>IFERROR(__xludf.DUMMYFUNCTION("""COMPUTED_VALUE"""),7399.28)</f>
        <v>7399.28</v>
      </c>
      <c r="K1000" s="5">
        <f>IFERROR(__xludf.DUMMYFUNCTION("""COMPUTED_VALUE"""),2516.21)</f>
        <v>2516.21</v>
      </c>
      <c r="L1000" s="4">
        <f>IFERROR(__xludf.DUMMYFUNCTION("""COMPUTED_VALUE"""),1.0)</f>
        <v>1</v>
      </c>
      <c r="M1000" s="4">
        <f>IFERROR(__xludf.DUMMYFUNCTION("""COMPUTED_VALUE"""),36.0)</f>
        <v>36</v>
      </c>
      <c r="N1000" s="2" t="str">
        <f>IFERROR(__xludf.DUMMYFUNCTION("""COMPUTED_VALUE"""),"VERDADERO")</f>
        <v>VERDADERO</v>
      </c>
    </row>
    <row r="1001">
      <c r="A1001" s="2">
        <f>IFERROR(__xludf.DUMMYFUNCTION("""COMPUTED_VALUE"""),1000.0)</f>
        <v>1000</v>
      </c>
      <c r="B1001" s="2" t="str">
        <f>IFERROR(__xludf.DUMMYFUNCTION("""COMPUTED_VALUE"""),"Jeffrey Tuff")</f>
        <v>Jeffrey Tuff</v>
      </c>
      <c r="C1001" s="2" t="str">
        <f>IFERROR(__xludf.DUMMYFUNCTION("""COMPUTED_VALUE"""),"jtuff0@vinaora.com")</f>
        <v>jtuff0@vinaora.com</v>
      </c>
      <c r="D1001" s="4">
        <f>IFERROR(__xludf.DUMMYFUNCTION("""COMPUTED_VALUE"""),120.0)</f>
        <v>120</v>
      </c>
      <c r="E1001" s="4">
        <f>IFERROR(__xludf.DUMMYFUNCTION("""COMPUTED_VALUE"""),81.0)</f>
        <v>81</v>
      </c>
      <c r="F1001" s="4">
        <f>IFERROR(__xludf.DUMMYFUNCTION("""COMPUTED_VALUE"""),2.0)</f>
        <v>2</v>
      </c>
      <c r="G1001" s="4">
        <f>IFERROR(__xludf.DUMMYFUNCTION("""COMPUTED_VALUE"""),1122.0)</f>
        <v>1122</v>
      </c>
      <c r="H1001" s="5">
        <f>IFERROR(__xludf.DUMMYFUNCTION("""COMPUTED_VALUE"""),8012.65)</f>
        <v>8012.65</v>
      </c>
      <c r="I1001" s="5">
        <f>IFERROR(__xludf.DUMMYFUNCTION("""COMPUTED_VALUE"""),253.75)</f>
        <v>253.75</v>
      </c>
      <c r="J1001" s="5">
        <f>IFERROR(__xludf.DUMMYFUNCTION("""COMPUTED_VALUE"""),4689.05)</f>
        <v>4689.05</v>
      </c>
      <c r="K1001" s="5">
        <f>IFERROR(__xludf.DUMMYFUNCTION("""COMPUTED_VALUE"""),9702.45)</f>
        <v>9702.45</v>
      </c>
      <c r="L1001" s="4">
        <f>IFERROR(__xludf.DUMMYFUNCTION("""COMPUTED_VALUE"""),20.0)</f>
        <v>20</v>
      </c>
      <c r="M1001" s="4">
        <f>IFERROR(__xludf.DUMMYFUNCTION("""COMPUTED_VALUE"""),8.0)</f>
        <v>8</v>
      </c>
      <c r="N1001" s="2" t="str">
        <f>IFERROR(__xludf.DUMMYFUNCTION("""COMPUTED_VALUE"""),"VERDADERO")</f>
        <v>VERDADERO</v>
      </c>
    </row>
    <row r="1002">
      <c r="A1002" s="2">
        <f>IFERROR(__xludf.DUMMYFUNCTION("""COMPUTED_VALUE"""),1001.0)</f>
        <v>1001</v>
      </c>
      <c r="B1002" s="2" t="str">
        <f>IFERROR(__xludf.DUMMYFUNCTION("""COMPUTED_VALUE"""),"Cariotta Rabat")</f>
        <v>Cariotta Rabat</v>
      </c>
      <c r="C1002" s="2" t="str">
        <f>IFERROR(__xludf.DUMMYFUNCTION("""COMPUTED_VALUE"""),"crabat1@mtv.com")</f>
        <v>crabat1@mtv.com</v>
      </c>
      <c r="D1002" s="4">
        <f>IFERROR(__xludf.DUMMYFUNCTION("""COMPUTED_VALUE"""),17.0)</f>
        <v>17</v>
      </c>
      <c r="E1002" s="4">
        <f>IFERROR(__xludf.DUMMYFUNCTION("""COMPUTED_VALUE"""),75.0)</f>
        <v>75</v>
      </c>
      <c r="F1002" s="4">
        <f>IFERROR(__xludf.DUMMYFUNCTION("""COMPUTED_VALUE"""),9.0)</f>
        <v>9</v>
      </c>
      <c r="G1002" s="4">
        <f>IFERROR(__xludf.DUMMYFUNCTION("""COMPUTED_VALUE"""),1529.0)</f>
        <v>1529</v>
      </c>
      <c r="H1002" s="5">
        <f>IFERROR(__xludf.DUMMYFUNCTION("""COMPUTED_VALUE"""),8439.27)</f>
        <v>8439.27</v>
      </c>
      <c r="I1002" s="5">
        <f>IFERROR(__xludf.DUMMYFUNCTION("""COMPUTED_VALUE"""),5538.31)</f>
        <v>5538.31</v>
      </c>
      <c r="J1002" s="5">
        <f>IFERROR(__xludf.DUMMYFUNCTION("""COMPUTED_VALUE"""),6971.59)</f>
        <v>6971.59</v>
      </c>
      <c r="K1002" s="5">
        <f>IFERROR(__xludf.DUMMYFUNCTION("""COMPUTED_VALUE"""),5204.52)</f>
        <v>5204.52</v>
      </c>
      <c r="L1002" s="4">
        <f>IFERROR(__xludf.DUMMYFUNCTION("""COMPUTED_VALUE"""),4.0)</f>
        <v>4</v>
      </c>
      <c r="M1002" s="4">
        <f>IFERROR(__xludf.DUMMYFUNCTION("""COMPUTED_VALUE"""),73.0)</f>
        <v>73</v>
      </c>
      <c r="N1002" s="2" t="str">
        <f>IFERROR(__xludf.DUMMYFUNCTION("""COMPUTED_VALUE"""),"FALSO")</f>
        <v>FALSO</v>
      </c>
    </row>
    <row r="1003">
      <c r="A1003" s="2">
        <f>IFERROR(__xludf.DUMMYFUNCTION("""COMPUTED_VALUE"""),1002.0)</f>
        <v>1002</v>
      </c>
      <c r="B1003" s="2" t="str">
        <f>IFERROR(__xludf.DUMMYFUNCTION("""COMPUTED_VALUE"""),"Orelle Dodswell")</f>
        <v>Orelle Dodswell</v>
      </c>
      <c r="C1003" s="2" t="str">
        <f>IFERROR(__xludf.DUMMYFUNCTION("""COMPUTED_VALUE"""),"ododswell2@shutterfly.com")</f>
        <v>ododswell2@shutterfly.com</v>
      </c>
      <c r="D1003" s="4">
        <f>IFERROR(__xludf.DUMMYFUNCTION("""COMPUTED_VALUE"""),119.0)</f>
        <v>119</v>
      </c>
      <c r="E1003" s="4">
        <f>IFERROR(__xludf.DUMMYFUNCTION("""COMPUTED_VALUE"""),81.0)</f>
        <v>81</v>
      </c>
      <c r="F1003" s="4">
        <f>IFERROR(__xludf.DUMMYFUNCTION("""COMPUTED_VALUE"""),2.0)</f>
        <v>2</v>
      </c>
      <c r="G1003" s="4">
        <f>IFERROR(__xludf.DUMMYFUNCTION("""COMPUTED_VALUE"""),1525.0)</f>
        <v>1525</v>
      </c>
      <c r="H1003" s="5">
        <f>IFERROR(__xludf.DUMMYFUNCTION("""COMPUTED_VALUE"""),2333.17)</f>
        <v>2333.17</v>
      </c>
      <c r="I1003" s="5">
        <f>IFERROR(__xludf.DUMMYFUNCTION("""COMPUTED_VALUE"""),3159.8)</f>
        <v>3159.8</v>
      </c>
      <c r="J1003" s="5">
        <f>IFERROR(__xludf.DUMMYFUNCTION("""COMPUTED_VALUE"""),7650.93)</f>
        <v>7650.93</v>
      </c>
      <c r="K1003" s="5">
        <f>IFERROR(__xludf.DUMMYFUNCTION("""COMPUTED_VALUE"""),9990.93)</f>
        <v>9990.93</v>
      </c>
      <c r="L1003" s="4">
        <f>IFERROR(__xludf.DUMMYFUNCTION("""COMPUTED_VALUE"""),19.0)</f>
        <v>19</v>
      </c>
      <c r="M1003" s="4">
        <f>IFERROR(__xludf.DUMMYFUNCTION("""COMPUTED_VALUE"""),19.0)</f>
        <v>19</v>
      </c>
      <c r="N1003" s="2" t="str">
        <f>IFERROR(__xludf.DUMMYFUNCTION("""COMPUTED_VALUE"""),"FALSO")</f>
        <v>FALSO</v>
      </c>
    </row>
    <row r="1004">
      <c r="A1004" s="2">
        <f>IFERROR(__xludf.DUMMYFUNCTION("""COMPUTED_VALUE"""),1003.0)</f>
        <v>1003</v>
      </c>
      <c r="B1004" s="2" t="str">
        <f>IFERROR(__xludf.DUMMYFUNCTION("""COMPUTED_VALUE"""),"Irvin Ghilardini")</f>
        <v>Irvin Ghilardini</v>
      </c>
      <c r="C1004" s="2" t="str">
        <f>IFERROR(__xludf.DUMMYFUNCTION("""COMPUTED_VALUE"""),"ighilardini3@sitemeter.com")</f>
        <v>ighilardini3@sitemeter.com</v>
      </c>
      <c r="D1004" s="4">
        <f>IFERROR(__xludf.DUMMYFUNCTION("""COMPUTED_VALUE"""),158.0)</f>
        <v>158</v>
      </c>
      <c r="E1004" s="4">
        <f>IFERROR(__xludf.DUMMYFUNCTION("""COMPUTED_VALUE"""),11.0)</f>
        <v>11</v>
      </c>
      <c r="F1004" s="4">
        <f>IFERROR(__xludf.DUMMYFUNCTION("""COMPUTED_VALUE"""),13.0)</f>
        <v>13</v>
      </c>
      <c r="G1004" s="4">
        <f>IFERROR(__xludf.DUMMYFUNCTION("""COMPUTED_VALUE"""),395.0)</f>
        <v>395</v>
      </c>
      <c r="H1004" s="5">
        <f>IFERROR(__xludf.DUMMYFUNCTION("""COMPUTED_VALUE"""),3153.5)</f>
        <v>3153.5</v>
      </c>
      <c r="I1004" s="5">
        <f>IFERROR(__xludf.DUMMYFUNCTION("""COMPUTED_VALUE"""),2038.15)</f>
        <v>2038.15</v>
      </c>
      <c r="J1004" s="5">
        <f>IFERROR(__xludf.DUMMYFUNCTION("""COMPUTED_VALUE"""),3230.61)</f>
        <v>3230.61</v>
      </c>
      <c r="K1004" s="5">
        <f>IFERROR(__xludf.DUMMYFUNCTION("""COMPUTED_VALUE"""),2240.54)</f>
        <v>2240.54</v>
      </c>
      <c r="L1004" s="4">
        <f>IFERROR(__xludf.DUMMYFUNCTION("""COMPUTED_VALUE"""),6.0)</f>
        <v>6</v>
      </c>
      <c r="M1004" s="4">
        <f>IFERROR(__xludf.DUMMYFUNCTION("""COMPUTED_VALUE"""),97.0)</f>
        <v>97</v>
      </c>
      <c r="N1004" s="2" t="str">
        <f>IFERROR(__xludf.DUMMYFUNCTION("""COMPUTED_VALUE"""),"VERDADERO")</f>
        <v>VERDADERO</v>
      </c>
    </row>
    <row r="1005">
      <c r="A1005" s="2">
        <f>IFERROR(__xludf.DUMMYFUNCTION("""COMPUTED_VALUE"""),1004.0)</f>
        <v>1004</v>
      </c>
      <c r="B1005" s="2" t="str">
        <f>IFERROR(__xludf.DUMMYFUNCTION("""COMPUTED_VALUE"""),"Viole Shinfield")</f>
        <v>Viole Shinfield</v>
      </c>
      <c r="C1005" s="2" t="str">
        <f>IFERROR(__xludf.DUMMYFUNCTION("""COMPUTED_VALUE"""),"vshinfield4@fda.gov")</f>
        <v>vshinfield4@fda.gov</v>
      </c>
      <c r="D1005" s="4">
        <f>IFERROR(__xludf.DUMMYFUNCTION("""COMPUTED_VALUE"""),29.0)</f>
        <v>29</v>
      </c>
      <c r="E1005" s="4">
        <f>IFERROR(__xludf.DUMMYFUNCTION("""COMPUTED_VALUE"""),64.0)</f>
        <v>64</v>
      </c>
      <c r="F1005" s="4">
        <f>IFERROR(__xludf.DUMMYFUNCTION("""COMPUTED_VALUE"""),4.0)</f>
        <v>4</v>
      </c>
      <c r="G1005" s="4">
        <f>IFERROR(__xludf.DUMMYFUNCTION("""COMPUTED_VALUE"""),1091.0)</f>
        <v>1091</v>
      </c>
      <c r="H1005" s="5">
        <f>IFERROR(__xludf.DUMMYFUNCTION("""COMPUTED_VALUE"""),3254.47)</f>
        <v>3254.47</v>
      </c>
      <c r="I1005" s="5">
        <f>IFERROR(__xludf.DUMMYFUNCTION("""COMPUTED_VALUE"""),6811.57)</f>
        <v>6811.57</v>
      </c>
      <c r="J1005" s="5">
        <f>IFERROR(__xludf.DUMMYFUNCTION("""COMPUTED_VALUE"""),1611.52)</f>
        <v>1611.52</v>
      </c>
      <c r="K1005" s="5">
        <f>IFERROR(__xludf.DUMMYFUNCTION("""COMPUTED_VALUE"""),5619.75)</f>
        <v>5619.75</v>
      </c>
      <c r="L1005" s="4">
        <f>IFERROR(__xludf.DUMMYFUNCTION("""COMPUTED_VALUE"""),2.0)</f>
        <v>2</v>
      </c>
      <c r="M1005" s="4">
        <f>IFERROR(__xludf.DUMMYFUNCTION("""COMPUTED_VALUE"""),53.0)</f>
        <v>53</v>
      </c>
      <c r="N1005" s="2" t="str">
        <f>IFERROR(__xludf.DUMMYFUNCTION("""COMPUTED_VALUE"""),"FALSO")</f>
        <v>FALSO</v>
      </c>
    </row>
    <row r="1006">
      <c r="A1006" s="2">
        <f>IFERROR(__xludf.DUMMYFUNCTION("""COMPUTED_VALUE"""),1005.0)</f>
        <v>1005</v>
      </c>
      <c r="B1006" s="2" t="str">
        <f>IFERROR(__xludf.DUMMYFUNCTION("""COMPUTED_VALUE"""),"Roddy Tebbitt")</f>
        <v>Roddy Tebbitt</v>
      </c>
      <c r="C1006" s="2" t="str">
        <f>IFERROR(__xludf.DUMMYFUNCTION("""COMPUTED_VALUE"""),"rtebbitt5@nih.gov")</f>
        <v>rtebbitt5@nih.gov</v>
      </c>
      <c r="D1006" s="4">
        <f>IFERROR(__xludf.DUMMYFUNCTION("""COMPUTED_VALUE"""),29.0)</f>
        <v>29</v>
      </c>
      <c r="E1006" s="4">
        <f>IFERROR(__xludf.DUMMYFUNCTION("""COMPUTED_VALUE"""),42.0)</f>
        <v>42</v>
      </c>
      <c r="F1006" s="4">
        <f>IFERROR(__xludf.DUMMYFUNCTION("""COMPUTED_VALUE"""),13.0)</f>
        <v>13</v>
      </c>
      <c r="G1006" s="4">
        <f>IFERROR(__xludf.DUMMYFUNCTION("""COMPUTED_VALUE"""),124.0)</f>
        <v>124</v>
      </c>
      <c r="H1006" s="5">
        <f>IFERROR(__xludf.DUMMYFUNCTION("""COMPUTED_VALUE"""),1860.43)</f>
        <v>1860.43</v>
      </c>
      <c r="I1006" s="5">
        <f>IFERROR(__xludf.DUMMYFUNCTION("""COMPUTED_VALUE"""),3038.85)</f>
        <v>3038.85</v>
      </c>
      <c r="J1006" s="5">
        <f>IFERROR(__xludf.DUMMYFUNCTION("""COMPUTED_VALUE"""),2087.93)</f>
        <v>2087.93</v>
      </c>
      <c r="K1006" s="5">
        <f>IFERROR(__xludf.DUMMYFUNCTION("""COMPUTED_VALUE"""),4282.12)</f>
        <v>4282.12</v>
      </c>
      <c r="L1006" s="4">
        <f>IFERROR(__xludf.DUMMYFUNCTION("""COMPUTED_VALUE"""),12.0)</f>
        <v>12</v>
      </c>
      <c r="M1006" s="4">
        <f>IFERROR(__xludf.DUMMYFUNCTION("""COMPUTED_VALUE"""),44.0)</f>
        <v>44</v>
      </c>
      <c r="N1006" s="2" t="str">
        <f>IFERROR(__xludf.DUMMYFUNCTION("""COMPUTED_VALUE"""),"FALSO")</f>
        <v>FALSO</v>
      </c>
    </row>
    <row r="1007">
      <c r="A1007" s="2">
        <f>IFERROR(__xludf.DUMMYFUNCTION("""COMPUTED_VALUE"""),1006.0)</f>
        <v>1006</v>
      </c>
      <c r="B1007" s="2" t="str">
        <f>IFERROR(__xludf.DUMMYFUNCTION("""COMPUTED_VALUE"""),"Stacy Drugan")</f>
        <v>Stacy Drugan</v>
      </c>
      <c r="C1007" s="2" t="str">
        <f>IFERROR(__xludf.DUMMYFUNCTION("""COMPUTED_VALUE"""),"sdrugan6@microsoft.com")</f>
        <v>sdrugan6@microsoft.com</v>
      </c>
      <c r="D1007" s="4">
        <f>IFERROR(__xludf.DUMMYFUNCTION("""COMPUTED_VALUE"""),49.0)</f>
        <v>49</v>
      </c>
      <c r="E1007" s="4">
        <f>IFERROR(__xludf.DUMMYFUNCTION("""COMPUTED_VALUE"""),29.0)</f>
        <v>29</v>
      </c>
      <c r="F1007" s="4">
        <f>IFERROR(__xludf.DUMMYFUNCTION("""COMPUTED_VALUE"""),11.0)</f>
        <v>11</v>
      </c>
      <c r="G1007" s="4">
        <f>IFERROR(__xludf.DUMMYFUNCTION("""COMPUTED_VALUE"""),12.0)</f>
        <v>12</v>
      </c>
      <c r="H1007" s="5">
        <f>IFERROR(__xludf.DUMMYFUNCTION("""COMPUTED_VALUE"""),359.84)</f>
        <v>359.84</v>
      </c>
      <c r="I1007" s="5">
        <f>IFERROR(__xludf.DUMMYFUNCTION("""COMPUTED_VALUE"""),9481.69)</f>
        <v>9481.69</v>
      </c>
      <c r="J1007" s="5">
        <f>IFERROR(__xludf.DUMMYFUNCTION("""COMPUTED_VALUE"""),1716.29)</f>
        <v>1716.29</v>
      </c>
      <c r="K1007" s="5">
        <f>IFERROR(__xludf.DUMMYFUNCTION("""COMPUTED_VALUE"""),9506.32)</f>
        <v>9506.32</v>
      </c>
      <c r="L1007" s="4">
        <f>IFERROR(__xludf.DUMMYFUNCTION("""COMPUTED_VALUE"""),14.0)</f>
        <v>14</v>
      </c>
      <c r="M1007" s="4">
        <f>IFERROR(__xludf.DUMMYFUNCTION("""COMPUTED_VALUE"""),81.0)</f>
        <v>81</v>
      </c>
      <c r="N1007" s="2" t="str">
        <f>IFERROR(__xludf.DUMMYFUNCTION("""COMPUTED_VALUE"""),"FALSO")</f>
        <v>FALSO</v>
      </c>
    </row>
    <row r="1008">
      <c r="A1008" s="2">
        <f>IFERROR(__xludf.DUMMYFUNCTION("""COMPUTED_VALUE"""),1007.0)</f>
        <v>1007</v>
      </c>
      <c r="B1008" s="2" t="str">
        <f>IFERROR(__xludf.DUMMYFUNCTION("""COMPUTED_VALUE"""),"Myrah Deguara")</f>
        <v>Myrah Deguara</v>
      </c>
      <c r="C1008" s="2" t="str">
        <f>IFERROR(__xludf.DUMMYFUNCTION("""COMPUTED_VALUE"""),"mdeguara7@cdc.gov")</f>
        <v>mdeguara7@cdc.gov</v>
      </c>
      <c r="D1008" s="4">
        <f>IFERROR(__xludf.DUMMYFUNCTION("""COMPUTED_VALUE"""),120.0)</f>
        <v>120</v>
      </c>
      <c r="E1008" s="4">
        <f>IFERROR(__xludf.DUMMYFUNCTION("""COMPUTED_VALUE"""),81.0)</f>
        <v>81</v>
      </c>
      <c r="F1008" s="4">
        <f>IFERROR(__xludf.DUMMYFUNCTION("""COMPUTED_VALUE"""),2.0)</f>
        <v>2</v>
      </c>
      <c r="G1008" s="4">
        <f>IFERROR(__xludf.DUMMYFUNCTION("""COMPUTED_VALUE"""),1482.0)</f>
        <v>1482</v>
      </c>
      <c r="H1008" s="5">
        <f>IFERROR(__xludf.DUMMYFUNCTION("""COMPUTED_VALUE"""),5274.34)</f>
        <v>5274.34</v>
      </c>
      <c r="I1008" s="5">
        <f>IFERROR(__xludf.DUMMYFUNCTION("""COMPUTED_VALUE"""),4423.28)</f>
        <v>4423.28</v>
      </c>
      <c r="J1008" s="5">
        <f>IFERROR(__xludf.DUMMYFUNCTION("""COMPUTED_VALUE"""),6101.39)</f>
        <v>6101.39</v>
      </c>
      <c r="K1008" s="5">
        <f>IFERROR(__xludf.DUMMYFUNCTION("""COMPUTED_VALUE"""),6466.05)</f>
        <v>6466.05</v>
      </c>
      <c r="L1008" s="4">
        <f>IFERROR(__xludf.DUMMYFUNCTION("""COMPUTED_VALUE"""),16.0)</f>
        <v>16</v>
      </c>
      <c r="M1008" s="4">
        <f>IFERROR(__xludf.DUMMYFUNCTION("""COMPUTED_VALUE"""),24.0)</f>
        <v>24</v>
      </c>
      <c r="N1008" s="2" t="str">
        <f>IFERROR(__xludf.DUMMYFUNCTION("""COMPUTED_VALUE"""),"FALSO")</f>
        <v>FALSO</v>
      </c>
    </row>
    <row r="1009">
      <c r="A1009" s="2">
        <f>IFERROR(__xludf.DUMMYFUNCTION("""COMPUTED_VALUE"""),1008.0)</f>
        <v>1008</v>
      </c>
      <c r="B1009" s="2" t="str">
        <f>IFERROR(__xludf.DUMMYFUNCTION("""COMPUTED_VALUE"""),"Mellisa Szwarc")</f>
        <v>Mellisa Szwarc</v>
      </c>
      <c r="C1009" s="2" t="str">
        <f>IFERROR(__xludf.DUMMYFUNCTION("""COMPUTED_VALUE"""),"mszwarc8@bizjournals.com")</f>
        <v>mszwarc8@bizjournals.com</v>
      </c>
      <c r="D1009" s="4">
        <f>IFERROR(__xludf.DUMMYFUNCTION("""COMPUTED_VALUE"""),131.0)</f>
        <v>131</v>
      </c>
      <c r="E1009" s="4">
        <f>IFERROR(__xludf.DUMMYFUNCTION("""COMPUTED_VALUE"""),85.0)</f>
        <v>85</v>
      </c>
      <c r="F1009" s="4">
        <f>IFERROR(__xludf.DUMMYFUNCTION("""COMPUTED_VALUE"""),3.0)</f>
        <v>3</v>
      </c>
      <c r="G1009" s="4">
        <f>IFERROR(__xludf.DUMMYFUNCTION("""COMPUTED_VALUE"""),512.0)</f>
        <v>512</v>
      </c>
      <c r="H1009" s="5">
        <f>IFERROR(__xludf.DUMMYFUNCTION("""COMPUTED_VALUE"""),3454.98)</f>
        <v>3454.98</v>
      </c>
      <c r="I1009" s="5">
        <f>IFERROR(__xludf.DUMMYFUNCTION("""COMPUTED_VALUE"""),2405.39)</f>
        <v>2405.39</v>
      </c>
      <c r="J1009" s="5">
        <f>IFERROR(__xludf.DUMMYFUNCTION("""COMPUTED_VALUE"""),3052.4)</f>
        <v>3052.4</v>
      </c>
      <c r="K1009" s="5">
        <f>IFERROR(__xludf.DUMMYFUNCTION("""COMPUTED_VALUE"""),6817.74)</f>
        <v>6817.74</v>
      </c>
      <c r="L1009" s="4">
        <f>IFERROR(__xludf.DUMMYFUNCTION("""COMPUTED_VALUE"""),15.0)</f>
        <v>15</v>
      </c>
      <c r="M1009" s="4">
        <f>IFERROR(__xludf.DUMMYFUNCTION("""COMPUTED_VALUE"""),86.0)</f>
        <v>86</v>
      </c>
      <c r="N1009" s="2" t="str">
        <f>IFERROR(__xludf.DUMMYFUNCTION("""COMPUTED_VALUE"""),"FALSO")</f>
        <v>FALSO</v>
      </c>
    </row>
    <row r="1010">
      <c r="A1010" s="2">
        <f>IFERROR(__xludf.DUMMYFUNCTION("""COMPUTED_VALUE"""),1009.0)</f>
        <v>1009</v>
      </c>
      <c r="B1010" s="2" t="str">
        <f>IFERROR(__xludf.DUMMYFUNCTION("""COMPUTED_VALUE"""),"Bette-ann Reame")</f>
        <v>Bette-ann Reame</v>
      </c>
      <c r="C1010" s="2" t="str">
        <f>IFERROR(__xludf.DUMMYFUNCTION("""COMPUTED_VALUE"""),"breame9@weibo.com")</f>
        <v>breame9@weibo.com</v>
      </c>
      <c r="D1010" s="4">
        <f>IFERROR(__xludf.DUMMYFUNCTION("""COMPUTED_VALUE"""),127.0)</f>
        <v>127</v>
      </c>
      <c r="E1010" s="4">
        <f>IFERROR(__xludf.DUMMYFUNCTION("""COMPUTED_VALUE"""),112.0)</f>
        <v>112</v>
      </c>
      <c r="F1010" s="4">
        <f>IFERROR(__xludf.DUMMYFUNCTION("""COMPUTED_VALUE"""),11.0)</f>
        <v>11</v>
      </c>
      <c r="G1010" s="4">
        <f>IFERROR(__xludf.DUMMYFUNCTION("""COMPUTED_VALUE"""),960.0)</f>
        <v>960</v>
      </c>
      <c r="H1010" s="5">
        <f>IFERROR(__xludf.DUMMYFUNCTION("""COMPUTED_VALUE"""),1670.48)</f>
        <v>1670.48</v>
      </c>
      <c r="I1010" s="5">
        <f>IFERROR(__xludf.DUMMYFUNCTION("""COMPUTED_VALUE"""),207.99)</f>
        <v>207.99</v>
      </c>
      <c r="J1010" s="5">
        <f>IFERROR(__xludf.DUMMYFUNCTION("""COMPUTED_VALUE"""),405.12)</f>
        <v>405.12</v>
      </c>
      <c r="K1010" s="5">
        <f>IFERROR(__xludf.DUMMYFUNCTION("""COMPUTED_VALUE"""),6488.43)</f>
        <v>6488.43</v>
      </c>
      <c r="L1010" s="4">
        <f>IFERROR(__xludf.DUMMYFUNCTION("""COMPUTED_VALUE"""),15.0)</f>
        <v>15</v>
      </c>
      <c r="M1010" s="4">
        <f>IFERROR(__xludf.DUMMYFUNCTION("""COMPUTED_VALUE"""),21.0)</f>
        <v>21</v>
      </c>
      <c r="N1010" s="2" t="str">
        <f>IFERROR(__xludf.DUMMYFUNCTION("""COMPUTED_VALUE"""),"FALSO")</f>
        <v>FALSO</v>
      </c>
    </row>
    <row r="1011">
      <c r="A1011" s="2">
        <f>IFERROR(__xludf.DUMMYFUNCTION("""COMPUTED_VALUE"""),1010.0)</f>
        <v>1010</v>
      </c>
      <c r="B1011" s="2" t="str">
        <f>IFERROR(__xludf.DUMMYFUNCTION("""COMPUTED_VALUE"""),"Ailee Ebbing")</f>
        <v>Ailee Ebbing</v>
      </c>
      <c r="C1011" s="2" t="str">
        <f>IFERROR(__xludf.DUMMYFUNCTION("""COMPUTED_VALUE"""),"aebbinga@sphinn.com")</f>
        <v>aebbinga@sphinn.com</v>
      </c>
      <c r="D1011" s="4">
        <f>IFERROR(__xludf.DUMMYFUNCTION("""COMPUTED_VALUE"""),137.0)</f>
        <v>137</v>
      </c>
      <c r="E1011" s="4">
        <f>IFERROR(__xludf.DUMMYFUNCTION("""COMPUTED_VALUE"""),44.0)</f>
        <v>44</v>
      </c>
      <c r="F1011" s="4">
        <f>IFERROR(__xludf.DUMMYFUNCTION("""COMPUTED_VALUE"""),8.0)</f>
        <v>8</v>
      </c>
      <c r="G1011" s="4">
        <f>IFERROR(__xludf.DUMMYFUNCTION("""COMPUTED_VALUE"""),734.0)</f>
        <v>734</v>
      </c>
      <c r="H1011" s="5">
        <f>IFERROR(__xludf.DUMMYFUNCTION("""COMPUTED_VALUE"""),2632.29)</f>
        <v>2632.29</v>
      </c>
      <c r="I1011" s="5">
        <f>IFERROR(__xludf.DUMMYFUNCTION("""COMPUTED_VALUE"""),8387.92)</f>
        <v>8387.92</v>
      </c>
      <c r="J1011" s="5">
        <f>IFERROR(__xludf.DUMMYFUNCTION("""COMPUTED_VALUE"""),2372.04)</f>
        <v>2372.04</v>
      </c>
      <c r="K1011" s="5">
        <f>IFERROR(__xludf.DUMMYFUNCTION("""COMPUTED_VALUE"""),9737.7)</f>
        <v>9737.7</v>
      </c>
      <c r="L1011" s="4">
        <f>IFERROR(__xludf.DUMMYFUNCTION("""COMPUTED_VALUE"""),5.0)</f>
        <v>5</v>
      </c>
      <c r="M1011" s="4">
        <f>IFERROR(__xludf.DUMMYFUNCTION("""COMPUTED_VALUE"""),55.0)</f>
        <v>55</v>
      </c>
      <c r="N1011" s="2" t="str">
        <f>IFERROR(__xludf.DUMMYFUNCTION("""COMPUTED_VALUE"""),"FALSO")</f>
        <v>FALSO</v>
      </c>
    </row>
    <row r="1012">
      <c r="A1012" s="2">
        <f>IFERROR(__xludf.DUMMYFUNCTION("""COMPUTED_VALUE"""),1011.0)</f>
        <v>1011</v>
      </c>
      <c r="B1012" s="2" t="str">
        <f>IFERROR(__xludf.DUMMYFUNCTION("""COMPUTED_VALUE"""),"Packston Broddle")</f>
        <v>Packston Broddle</v>
      </c>
      <c r="C1012" s="2" t="str">
        <f>IFERROR(__xludf.DUMMYFUNCTION("""COMPUTED_VALUE"""),"pbroddleb@qq.com")</f>
        <v>pbroddleb@qq.com</v>
      </c>
      <c r="D1012" s="4">
        <f>IFERROR(__xludf.DUMMYFUNCTION("""COMPUTED_VALUE"""),120.0)</f>
        <v>120</v>
      </c>
      <c r="E1012" s="4">
        <f>IFERROR(__xludf.DUMMYFUNCTION("""COMPUTED_VALUE"""),6.0)</f>
        <v>6</v>
      </c>
      <c r="F1012" s="4">
        <f>IFERROR(__xludf.DUMMYFUNCTION("""COMPUTED_VALUE"""),13.0)</f>
        <v>13</v>
      </c>
      <c r="G1012" s="4">
        <f>IFERROR(__xludf.DUMMYFUNCTION("""COMPUTED_VALUE"""),180.0)</f>
        <v>180</v>
      </c>
      <c r="H1012" s="5">
        <f>IFERROR(__xludf.DUMMYFUNCTION("""COMPUTED_VALUE"""),5890.43)</f>
        <v>5890.43</v>
      </c>
      <c r="I1012" s="5">
        <f>IFERROR(__xludf.DUMMYFUNCTION("""COMPUTED_VALUE"""),4601.51)</f>
        <v>4601.51</v>
      </c>
      <c r="J1012" s="5">
        <f>IFERROR(__xludf.DUMMYFUNCTION("""COMPUTED_VALUE"""),5616.05)</f>
        <v>5616.05</v>
      </c>
      <c r="K1012" s="5">
        <f>IFERROR(__xludf.DUMMYFUNCTION("""COMPUTED_VALUE"""),5239.89)</f>
        <v>5239.89</v>
      </c>
      <c r="L1012" s="4">
        <f>IFERROR(__xludf.DUMMYFUNCTION("""COMPUTED_VALUE"""),10.0)</f>
        <v>10</v>
      </c>
      <c r="M1012" s="4">
        <f>IFERROR(__xludf.DUMMYFUNCTION("""COMPUTED_VALUE"""),68.0)</f>
        <v>68</v>
      </c>
      <c r="N1012" s="2" t="str">
        <f>IFERROR(__xludf.DUMMYFUNCTION("""COMPUTED_VALUE"""),"VERDADERO")</f>
        <v>VERDADERO</v>
      </c>
    </row>
    <row r="1013">
      <c r="A1013" s="2">
        <f>IFERROR(__xludf.DUMMYFUNCTION("""COMPUTED_VALUE"""),1012.0)</f>
        <v>1012</v>
      </c>
      <c r="B1013" s="2" t="str">
        <f>IFERROR(__xludf.DUMMYFUNCTION("""COMPUTED_VALUE"""),"Nance Lowres")</f>
        <v>Nance Lowres</v>
      </c>
      <c r="C1013" s="2" t="str">
        <f>IFERROR(__xludf.DUMMYFUNCTION("""COMPUTED_VALUE"""),"nlowresc@amazon.co.jp")</f>
        <v>nlowresc@amazon.co.jp</v>
      </c>
      <c r="D1013" s="4">
        <f>IFERROR(__xludf.DUMMYFUNCTION("""COMPUTED_VALUE"""),29.0)</f>
        <v>29</v>
      </c>
      <c r="E1013" s="4">
        <f>IFERROR(__xludf.DUMMYFUNCTION("""COMPUTED_VALUE"""),70.0)</f>
        <v>70</v>
      </c>
      <c r="F1013" s="4">
        <f>IFERROR(__xludf.DUMMYFUNCTION("""COMPUTED_VALUE"""),6.0)</f>
        <v>6</v>
      </c>
      <c r="G1013" s="4">
        <f>IFERROR(__xludf.DUMMYFUNCTION("""COMPUTED_VALUE"""),775.0)</f>
        <v>775</v>
      </c>
      <c r="H1013" s="5">
        <f>IFERROR(__xludf.DUMMYFUNCTION("""COMPUTED_VALUE"""),3910.22)</f>
        <v>3910.22</v>
      </c>
      <c r="I1013" s="5">
        <f>IFERROR(__xludf.DUMMYFUNCTION("""COMPUTED_VALUE"""),7536.41)</f>
        <v>7536.41</v>
      </c>
      <c r="J1013" s="5">
        <f>IFERROR(__xludf.DUMMYFUNCTION("""COMPUTED_VALUE"""),514.19)</f>
        <v>514.19</v>
      </c>
      <c r="K1013" s="5">
        <f>IFERROR(__xludf.DUMMYFUNCTION("""COMPUTED_VALUE"""),2292.18)</f>
        <v>2292.18</v>
      </c>
      <c r="L1013" s="4">
        <f>IFERROR(__xludf.DUMMYFUNCTION("""COMPUTED_VALUE"""),12.0)</f>
        <v>12</v>
      </c>
      <c r="M1013" s="4">
        <f>IFERROR(__xludf.DUMMYFUNCTION("""COMPUTED_VALUE"""),69.0)</f>
        <v>69</v>
      </c>
      <c r="N1013" s="2" t="str">
        <f>IFERROR(__xludf.DUMMYFUNCTION("""COMPUTED_VALUE"""),"FALSO")</f>
        <v>FALSO</v>
      </c>
    </row>
    <row r="1014">
      <c r="A1014" s="2">
        <f>IFERROR(__xludf.DUMMYFUNCTION("""COMPUTED_VALUE"""),1013.0)</f>
        <v>1013</v>
      </c>
      <c r="B1014" s="2" t="str">
        <f>IFERROR(__xludf.DUMMYFUNCTION("""COMPUTED_VALUE"""),"Yvor Sonier")</f>
        <v>Yvor Sonier</v>
      </c>
      <c r="C1014" s="2" t="str">
        <f>IFERROR(__xludf.DUMMYFUNCTION("""COMPUTED_VALUE"""),"ysonierd@trellian.com")</f>
        <v>ysonierd@trellian.com</v>
      </c>
      <c r="D1014" s="4">
        <f>IFERROR(__xludf.DUMMYFUNCTION("""COMPUTED_VALUE"""),65.0)</f>
        <v>65</v>
      </c>
      <c r="E1014" s="4">
        <f>IFERROR(__xludf.DUMMYFUNCTION("""COMPUTED_VALUE"""),58.0)</f>
        <v>58</v>
      </c>
      <c r="F1014" s="4">
        <f>IFERROR(__xludf.DUMMYFUNCTION("""COMPUTED_VALUE"""),11.0)</f>
        <v>11</v>
      </c>
      <c r="G1014" s="4">
        <f>IFERROR(__xludf.DUMMYFUNCTION("""COMPUTED_VALUE"""),871.0)</f>
        <v>871</v>
      </c>
      <c r="H1014" s="5">
        <f>IFERROR(__xludf.DUMMYFUNCTION("""COMPUTED_VALUE"""),4315.55)</f>
        <v>4315.55</v>
      </c>
      <c r="I1014" s="5">
        <f>IFERROR(__xludf.DUMMYFUNCTION("""COMPUTED_VALUE"""),5832.15)</f>
        <v>5832.15</v>
      </c>
      <c r="J1014" s="5">
        <f>IFERROR(__xludf.DUMMYFUNCTION("""COMPUTED_VALUE"""),8800.43)</f>
        <v>8800.43</v>
      </c>
      <c r="K1014" s="5">
        <f>IFERROR(__xludf.DUMMYFUNCTION("""COMPUTED_VALUE"""),6787.72)</f>
        <v>6787.72</v>
      </c>
      <c r="L1014" s="4">
        <f>IFERROR(__xludf.DUMMYFUNCTION("""COMPUTED_VALUE"""),5.0)</f>
        <v>5</v>
      </c>
      <c r="M1014" s="4">
        <f>IFERROR(__xludf.DUMMYFUNCTION("""COMPUTED_VALUE"""),8.0)</f>
        <v>8</v>
      </c>
      <c r="N1014" s="2" t="str">
        <f>IFERROR(__xludf.DUMMYFUNCTION("""COMPUTED_VALUE"""),"VERDADERO")</f>
        <v>VERDADERO</v>
      </c>
    </row>
    <row r="1015">
      <c r="A1015" s="2">
        <f>IFERROR(__xludf.DUMMYFUNCTION("""COMPUTED_VALUE"""),1014.0)</f>
        <v>1014</v>
      </c>
      <c r="B1015" s="2" t="str">
        <f>IFERROR(__xludf.DUMMYFUNCTION("""COMPUTED_VALUE"""),"Moselle Bossons")</f>
        <v>Moselle Bossons</v>
      </c>
      <c r="C1015" s="2" t="str">
        <f>IFERROR(__xludf.DUMMYFUNCTION("""COMPUTED_VALUE"""),"mbossonse@sitemeter.com")</f>
        <v>mbossonse@sitemeter.com</v>
      </c>
      <c r="D1015" s="4">
        <f>IFERROR(__xludf.DUMMYFUNCTION("""COMPUTED_VALUE"""),29.0)</f>
        <v>29</v>
      </c>
      <c r="E1015" s="4">
        <f>IFERROR(__xludf.DUMMYFUNCTION("""COMPUTED_VALUE"""),100.0)</f>
        <v>100</v>
      </c>
      <c r="F1015" s="4">
        <f>IFERROR(__xludf.DUMMYFUNCTION("""COMPUTED_VALUE"""),9.0)</f>
        <v>9</v>
      </c>
      <c r="G1015" s="4">
        <f>IFERROR(__xludf.DUMMYFUNCTION("""COMPUTED_VALUE"""),33.0)</f>
        <v>33</v>
      </c>
      <c r="H1015" s="5">
        <f>IFERROR(__xludf.DUMMYFUNCTION("""COMPUTED_VALUE"""),451.95)</f>
        <v>451.95</v>
      </c>
      <c r="I1015" s="5">
        <f>IFERROR(__xludf.DUMMYFUNCTION("""COMPUTED_VALUE"""),7194.07)</f>
        <v>7194.07</v>
      </c>
      <c r="J1015" s="5">
        <f>IFERROR(__xludf.DUMMYFUNCTION("""COMPUTED_VALUE"""),4790.91)</f>
        <v>4790.91</v>
      </c>
      <c r="K1015" s="5">
        <f>IFERROR(__xludf.DUMMYFUNCTION("""COMPUTED_VALUE"""),7000.05)</f>
        <v>7000.05</v>
      </c>
      <c r="L1015" s="4">
        <f>IFERROR(__xludf.DUMMYFUNCTION("""COMPUTED_VALUE"""),15.0)</f>
        <v>15</v>
      </c>
      <c r="M1015" s="4">
        <f>IFERROR(__xludf.DUMMYFUNCTION("""COMPUTED_VALUE"""),62.0)</f>
        <v>62</v>
      </c>
      <c r="N1015" s="2" t="str">
        <f>IFERROR(__xludf.DUMMYFUNCTION("""COMPUTED_VALUE"""),"VERDADERO")</f>
        <v>VERDADERO</v>
      </c>
    </row>
    <row r="1016">
      <c r="A1016" s="2">
        <f>IFERROR(__xludf.DUMMYFUNCTION("""COMPUTED_VALUE"""),1015.0)</f>
        <v>1015</v>
      </c>
      <c r="B1016" s="2" t="str">
        <f>IFERROR(__xludf.DUMMYFUNCTION("""COMPUTED_VALUE"""),"Brandi Perigoe")</f>
        <v>Brandi Perigoe</v>
      </c>
      <c r="C1016" s="2" t="str">
        <f>IFERROR(__xludf.DUMMYFUNCTION("""COMPUTED_VALUE"""),"bperigoef@wikia.com")</f>
        <v>bperigoef@wikia.com</v>
      </c>
      <c r="D1016" s="4">
        <f>IFERROR(__xludf.DUMMYFUNCTION("""COMPUTED_VALUE"""),158.0)</f>
        <v>158</v>
      </c>
      <c r="E1016" s="4">
        <f>IFERROR(__xludf.DUMMYFUNCTION("""COMPUTED_VALUE"""),55.0)</f>
        <v>55</v>
      </c>
      <c r="F1016" s="4">
        <f>IFERROR(__xludf.DUMMYFUNCTION("""COMPUTED_VALUE"""),9.0)</f>
        <v>9</v>
      </c>
      <c r="G1016" s="4">
        <f>IFERROR(__xludf.DUMMYFUNCTION("""COMPUTED_VALUE"""),603.0)</f>
        <v>603</v>
      </c>
      <c r="H1016" s="5">
        <f>IFERROR(__xludf.DUMMYFUNCTION("""COMPUTED_VALUE"""),6523.22)</f>
        <v>6523.22</v>
      </c>
      <c r="I1016" s="5">
        <f>IFERROR(__xludf.DUMMYFUNCTION("""COMPUTED_VALUE"""),9956.88)</f>
        <v>9956.88</v>
      </c>
      <c r="J1016" s="5">
        <f>IFERROR(__xludf.DUMMYFUNCTION("""COMPUTED_VALUE"""),9956.02)</f>
        <v>9956.02</v>
      </c>
      <c r="K1016" s="5">
        <f>IFERROR(__xludf.DUMMYFUNCTION("""COMPUTED_VALUE"""),4587.8)</f>
        <v>4587.8</v>
      </c>
      <c r="L1016" s="4">
        <f>IFERROR(__xludf.DUMMYFUNCTION("""COMPUTED_VALUE"""),17.0)</f>
        <v>17</v>
      </c>
      <c r="M1016" s="4">
        <f>IFERROR(__xludf.DUMMYFUNCTION("""COMPUTED_VALUE"""),78.0)</f>
        <v>78</v>
      </c>
      <c r="N1016" s="2" t="str">
        <f>IFERROR(__xludf.DUMMYFUNCTION("""COMPUTED_VALUE"""),"FALSO")</f>
        <v>FALSO</v>
      </c>
    </row>
    <row r="1017">
      <c r="A1017" s="2">
        <f>IFERROR(__xludf.DUMMYFUNCTION("""COMPUTED_VALUE"""),1016.0)</f>
        <v>1016</v>
      </c>
      <c r="B1017" s="2" t="str">
        <f>IFERROR(__xludf.DUMMYFUNCTION("""COMPUTED_VALUE"""),"Alison St. Clair")</f>
        <v>Alison St. Clair</v>
      </c>
      <c r="C1017" s="2" t="str">
        <f>IFERROR(__xludf.DUMMYFUNCTION("""COMPUTED_VALUE"""),"astg@unesco.org")</f>
        <v>astg@unesco.org</v>
      </c>
      <c r="D1017" s="4">
        <f>IFERROR(__xludf.DUMMYFUNCTION("""COMPUTED_VALUE"""),12.0)</f>
        <v>12</v>
      </c>
      <c r="E1017" s="4">
        <f>IFERROR(__xludf.DUMMYFUNCTION("""COMPUTED_VALUE"""),81.0)</f>
        <v>81</v>
      </c>
      <c r="F1017" s="4">
        <f>IFERROR(__xludf.DUMMYFUNCTION("""COMPUTED_VALUE"""),2.0)</f>
        <v>2</v>
      </c>
      <c r="G1017" s="4">
        <f>IFERROR(__xludf.DUMMYFUNCTION("""COMPUTED_VALUE"""),681.0)</f>
        <v>681</v>
      </c>
      <c r="H1017" s="5">
        <f>IFERROR(__xludf.DUMMYFUNCTION("""COMPUTED_VALUE"""),1791.17)</f>
        <v>1791.17</v>
      </c>
      <c r="I1017" s="5">
        <f>IFERROR(__xludf.DUMMYFUNCTION("""COMPUTED_VALUE"""),5001.53)</f>
        <v>5001.53</v>
      </c>
      <c r="J1017" s="5">
        <f>IFERROR(__xludf.DUMMYFUNCTION("""COMPUTED_VALUE"""),1594.76)</f>
        <v>1594.76</v>
      </c>
      <c r="K1017" s="5">
        <f>IFERROR(__xludf.DUMMYFUNCTION("""COMPUTED_VALUE"""),812.2)</f>
        <v>812.2</v>
      </c>
      <c r="L1017" s="4">
        <f>IFERROR(__xludf.DUMMYFUNCTION("""COMPUTED_VALUE"""),18.0)</f>
        <v>18</v>
      </c>
      <c r="M1017" s="4">
        <f>IFERROR(__xludf.DUMMYFUNCTION("""COMPUTED_VALUE"""),25.0)</f>
        <v>25</v>
      </c>
      <c r="N1017" s="2" t="str">
        <f>IFERROR(__xludf.DUMMYFUNCTION("""COMPUTED_VALUE"""),"VERDADERO")</f>
        <v>VERDADERO</v>
      </c>
    </row>
    <row r="1018">
      <c r="A1018" s="2">
        <f>IFERROR(__xludf.DUMMYFUNCTION("""COMPUTED_VALUE"""),1017.0)</f>
        <v>1017</v>
      </c>
      <c r="B1018" s="2" t="str">
        <f>IFERROR(__xludf.DUMMYFUNCTION("""COMPUTED_VALUE"""),"Karol Rumble")</f>
        <v>Karol Rumble</v>
      </c>
      <c r="C1018" s="2" t="str">
        <f>IFERROR(__xludf.DUMMYFUNCTION("""COMPUTED_VALUE"""),"krumbleh@theatlantic.com")</f>
        <v>krumbleh@theatlantic.com</v>
      </c>
      <c r="D1018" s="4">
        <f>IFERROR(__xludf.DUMMYFUNCTION("""COMPUTED_VALUE"""),130.0)</f>
        <v>130</v>
      </c>
      <c r="E1018" s="4">
        <f>IFERROR(__xludf.DUMMYFUNCTION("""COMPUTED_VALUE"""),81.0)</f>
        <v>81</v>
      </c>
      <c r="F1018" s="4">
        <f>IFERROR(__xludf.DUMMYFUNCTION("""COMPUTED_VALUE"""),2.0)</f>
        <v>2</v>
      </c>
      <c r="G1018" s="4">
        <f>IFERROR(__xludf.DUMMYFUNCTION("""COMPUTED_VALUE"""),978.0)</f>
        <v>978</v>
      </c>
      <c r="H1018" s="5">
        <f>IFERROR(__xludf.DUMMYFUNCTION("""COMPUTED_VALUE"""),8017.51)</f>
        <v>8017.51</v>
      </c>
      <c r="I1018" s="5">
        <f>IFERROR(__xludf.DUMMYFUNCTION("""COMPUTED_VALUE"""),1249.28)</f>
        <v>1249.28</v>
      </c>
      <c r="J1018" s="5">
        <f>IFERROR(__xludf.DUMMYFUNCTION("""COMPUTED_VALUE"""),3163.09)</f>
        <v>3163.09</v>
      </c>
      <c r="K1018" s="5">
        <f>IFERROR(__xludf.DUMMYFUNCTION("""COMPUTED_VALUE"""),1296.44)</f>
        <v>1296.44</v>
      </c>
      <c r="L1018" s="4">
        <f>IFERROR(__xludf.DUMMYFUNCTION("""COMPUTED_VALUE"""),15.0)</f>
        <v>15</v>
      </c>
      <c r="M1018" s="4">
        <f>IFERROR(__xludf.DUMMYFUNCTION("""COMPUTED_VALUE"""),64.0)</f>
        <v>64</v>
      </c>
      <c r="N1018" s="2" t="str">
        <f>IFERROR(__xludf.DUMMYFUNCTION("""COMPUTED_VALUE"""),"FALSO")</f>
        <v>FALSO</v>
      </c>
    </row>
    <row r="1019">
      <c r="A1019" s="2">
        <f>IFERROR(__xludf.DUMMYFUNCTION("""COMPUTED_VALUE"""),1018.0)</f>
        <v>1018</v>
      </c>
      <c r="B1019" s="2" t="str">
        <f>IFERROR(__xludf.DUMMYFUNCTION("""COMPUTED_VALUE"""),"Raina Ginie")</f>
        <v>Raina Ginie</v>
      </c>
      <c r="C1019" s="2" t="str">
        <f>IFERROR(__xludf.DUMMYFUNCTION("""COMPUTED_VALUE"""),"rginiei@dailymail.co.uk")</f>
        <v>rginiei@dailymail.co.uk</v>
      </c>
      <c r="D1019" s="4">
        <f>IFERROR(__xludf.DUMMYFUNCTION("""COMPUTED_VALUE"""),17.0)</f>
        <v>17</v>
      </c>
      <c r="E1019" s="4">
        <f>IFERROR(__xludf.DUMMYFUNCTION("""COMPUTED_VALUE"""),40.0)</f>
        <v>40</v>
      </c>
      <c r="F1019" s="4">
        <f>IFERROR(__xludf.DUMMYFUNCTION("""COMPUTED_VALUE"""),1.0)</f>
        <v>1</v>
      </c>
      <c r="G1019" s="4">
        <f>IFERROR(__xludf.DUMMYFUNCTION("""COMPUTED_VALUE"""),1073.0)</f>
        <v>1073</v>
      </c>
      <c r="H1019" s="5">
        <f>IFERROR(__xludf.DUMMYFUNCTION("""COMPUTED_VALUE"""),4345.44)</f>
        <v>4345.44</v>
      </c>
      <c r="I1019" s="5">
        <f>IFERROR(__xludf.DUMMYFUNCTION("""COMPUTED_VALUE"""),7086.82)</f>
        <v>7086.82</v>
      </c>
      <c r="J1019" s="5">
        <f>IFERROR(__xludf.DUMMYFUNCTION("""COMPUTED_VALUE"""),9516.67)</f>
        <v>9516.67</v>
      </c>
      <c r="K1019" s="5">
        <f>IFERROR(__xludf.DUMMYFUNCTION("""COMPUTED_VALUE"""),6083.19)</f>
        <v>6083.19</v>
      </c>
      <c r="L1019" s="4">
        <f>IFERROR(__xludf.DUMMYFUNCTION("""COMPUTED_VALUE"""),13.0)</f>
        <v>13</v>
      </c>
      <c r="M1019" s="4">
        <f>IFERROR(__xludf.DUMMYFUNCTION("""COMPUTED_VALUE"""),1.0)</f>
        <v>1</v>
      </c>
      <c r="N1019" s="2" t="str">
        <f>IFERROR(__xludf.DUMMYFUNCTION("""COMPUTED_VALUE"""),"FALSO")</f>
        <v>FALSO</v>
      </c>
    </row>
    <row r="1020">
      <c r="A1020" s="2">
        <f>IFERROR(__xludf.DUMMYFUNCTION("""COMPUTED_VALUE"""),1019.0)</f>
        <v>1019</v>
      </c>
      <c r="B1020" s="2" t="str">
        <f>IFERROR(__xludf.DUMMYFUNCTION("""COMPUTED_VALUE"""),"Laurie Burnand")</f>
        <v>Laurie Burnand</v>
      </c>
      <c r="C1020" s="2" t="str">
        <f>IFERROR(__xludf.DUMMYFUNCTION("""COMPUTED_VALUE"""),"lburnandj@cnet.com")</f>
        <v>lburnandj@cnet.com</v>
      </c>
      <c r="D1020" s="4">
        <f>IFERROR(__xludf.DUMMYFUNCTION("""COMPUTED_VALUE"""),16.0)</f>
        <v>16</v>
      </c>
      <c r="E1020" s="4">
        <f>IFERROR(__xludf.DUMMYFUNCTION("""COMPUTED_VALUE"""),85.0)</f>
        <v>85</v>
      </c>
      <c r="F1020" s="4">
        <f>IFERROR(__xludf.DUMMYFUNCTION("""COMPUTED_VALUE"""),3.0)</f>
        <v>3</v>
      </c>
      <c r="G1020" s="4">
        <f>IFERROR(__xludf.DUMMYFUNCTION("""COMPUTED_VALUE"""),934.0)</f>
        <v>934</v>
      </c>
      <c r="H1020" s="5">
        <f>IFERROR(__xludf.DUMMYFUNCTION("""COMPUTED_VALUE"""),5365.79)</f>
        <v>5365.79</v>
      </c>
      <c r="I1020" s="5">
        <f>IFERROR(__xludf.DUMMYFUNCTION("""COMPUTED_VALUE"""),3309.51)</f>
        <v>3309.51</v>
      </c>
      <c r="J1020" s="5">
        <f>IFERROR(__xludf.DUMMYFUNCTION("""COMPUTED_VALUE"""),6472.82)</f>
        <v>6472.82</v>
      </c>
      <c r="K1020" s="5">
        <f>IFERROR(__xludf.DUMMYFUNCTION("""COMPUTED_VALUE"""),8468.91)</f>
        <v>8468.91</v>
      </c>
      <c r="L1020" s="4">
        <f>IFERROR(__xludf.DUMMYFUNCTION("""COMPUTED_VALUE"""),11.0)</f>
        <v>11</v>
      </c>
      <c r="M1020" s="4">
        <f>IFERROR(__xludf.DUMMYFUNCTION("""COMPUTED_VALUE"""),99.0)</f>
        <v>99</v>
      </c>
      <c r="N1020" s="2" t="str">
        <f>IFERROR(__xludf.DUMMYFUNCTION("""COMPUTED_VALUE"""),"VERDADERO")</f>
        <v>VERDADERO</v>
      </c>
    </row>
    <row r="1021">
      <c r="A1021" s="2">
        <f>IFERROR(__xludf.DUMMYFUNCTION("""COMPUTED_VALUE"""),1020.0)</f>
        <v>1020</v>
      </c>
      <c r="B1021" s="2" t="str">
        <f>IFERROR(__xludf.DUMMYFUNCTION("""COMPUTED_VALUE"""),"Hiram Sagerson")</f>
        <v>Hiram Sagerson</v>
      </c>
      <c r="C1021" s="2" t="str">
        <f>IFERROR(__xludf.DUMMYFUNCTION("""COMPUTED_VALUE"""),"hsagersonk@angelfire.com")</f>
        <v>hsagersonk@angelfire.com</v>
      </c>
      <c r="D1021" s="4">
        <f>IFERROR(__xludf.DUMMYFUNCTION("""COMPUTED_VALUE"""),65.0)</f>
        <v>65</v>
      </c>
      <c r="E1021" s="4">
        <f>IFERROR(__xludf.DUMMYFUNCTION("""COMPUTED_VALUE"""),81.0)</f>
        <v>81</v>
      </c>
      <c r="F1021" s="4">
        <f>IFERROR(__xludf.DUMMYFUNCTION("""COMPUTED_VALUE"""),2.0)</f>
        <v>2</v>
      </c>
      <c r="G1021" s="4">
        <f>IFERROR(__xludf.DUMMYFUNCTION("""COMPUTED_VALUE"""),458.0)</f>
        <v>458</v>
      </c>
      <c r="H1021" s="5">
        <f>IFERROR(__xludf.DUMMYFUNCTION("""COMPUTED_VALUE"""),8283.91)</f>
        <v>8283.91</v>
      </c>
      <c r="I1021" s="5">
        <f>IFERROR(__xludf.DUMMYFUNCTION("""COMPUTED_VALUE"""),7385.54)</f>
        <v>7385.54</v>
      </c>
      <c r="J1021" s="5">
        <f>IFERROR(__xludf.DUMMYFUNCTION("""COMPUTED_VALUE"""),4155.69)</f>
        <v>4155.69</v>
      </c>
      <c r="K1021" s="5">
        <f>IFERROR(__xludf.DUMMYFUNCTION("""COMPUTED_VALUE"""),2197.95)</f>
        <v>2197.95</v>
      </c>
      <c r="L1021" s="4">
        <f>IFERROR(__xludf.DUMMYFUNCTION("""COMPUTED_VALUE"""),3.0)</f>
        <v>3</v>
      </c>
      <c r="M1021" s="4">
        <f>IFERROR(__xludf.DUMMYFUNCTION("""COMPUTED_VALUE"""),10.0)</f>
        <v>10</v>
      </c>
      <c r="N1021" s="2" t="str">
        <f>IFERROR(__xludf.DUMMYFUNCTION("""COMPUTED_VALUE"""),"VERDADERO")</f>
        <v>VERDADERO</v>
      </c>
    </row>
    <row r="1022">
      <c r="A1022" s="2">
        <f>IFERROR(__xludf.DUMMYFUNCTION("""COMPUTED_VALUE"""),1021.0)</f>
        <v>1021</v>
      </c>
      <c r="B1022" s="2" t="str">
        <f>IFERROR(__xludf.DUMMYFUNCTION("""COMPUTED_VALUE"""),"Cloe Cud")</f>
        <v>Cloe Cud</v>
      </c>
      <c r="C1022" s="2" t="str">
        <f>IFERROR(__xludf.DUMMYFUNCTION("""COMPUTED_VALUE"""),"ccudl@merriam-webster.com")</f>
        <v>ccudl@merriam-webster.com</v>
      </c>
      <c r="D1022" s="4">
        <f>IFERROR(__xludf.DUMMYFUNCTION("""COMPUTED_VALUE"""),124.0)</f>
        <v>124</v>
      </c>
      <c r="E1022" s="4">
        <f>IFERROR(__xludf.DUMMYFUNCTION("""COMPUTED_VALUE"""),119.0)</f>
        <v>119</v>
      </c>
      <c r="F1022" s="4">
        <f>IFERROR(__xludf.DUMMYFUNCTION("""COMPUTED_VALUE"""),1.0)</f>
        <v>1</v>
      </c>
      <c r="G1022" s="4">
        <f>IFERROR(__xludf.DUMMYFUNCTION("""COMPUTED_VALUE"""),41.0)</f>
        <v>41</v>
      </c>
      <c r="H1022" s="5">
        <f>IFERROR(__xludf.DUMMYFUNCTION("""COMPUTED_VALUE"""),1460.77)</f>
        <v>1460.77</v>
      </c>
      <c r="I1022" s="5">
        <f>IFERROR(__xludf.DUMMYFUNCTION("""COMPUTED_VALUE"""),5145.75)</f>
        <v>5145.75</v>
      </c>
      <c r="J1022" s="5">
        <f>IFERROR(__xludf.DUMMYFUNCTION("""COMPUTED_VALUE"""),2059.15)</f>
        <v>2059.15</v>
      </c>
      <c r="K1022" s="5">
        <f>IFERROR(__xludf.DUMMYFUNCTION("""COMPUTED_VALUE"""),2342.05)</f>
        <v>2342.05</v>
      </c>
      <c r="L1022" s="4">
        <f>IFERROR(__xludf.DUMMYFUNCTION("""COMPUTED_VALUE"""),3.0)</f>
        <v>3</v>
      </c>
      <c r="M1022" s="4">
        <f>IFERROR(__xludf.DUMMYFUNCTION("""COMPUTED_VALUE"""),69.0)</f>
        <v>69</v>
      </c>
      <c r="N1022" s="2" t="str">
        <f>IFERROR(__xludf.DUMMYFUNCTION("""COMPUTED_VALUE"""),"VERDADERO")</f>
        <v>VERDADERO</v>
      </c>
    </row>
    <row r="1023">
      <c r="A1023" s="2">
        <f>IFERROR(__xludf.DUMMYFUNCTION("""COMPUTED_VALUE"""),1022.0)</f>
        <v>1022</v>
      </c>
      <c r="B1023" s="2" t="str">
        <f>IFERROR(__xludf.DUMMYFUNCTION("""COMPUTED_VALUE"""),"Reinwald Tetlow")</f>
        <v>Reinwald Tetlow</v>
      </c>
      <c r="C1023" s="2" t="str">
        <f>IFERROR(__xludf.DUMMYFUNCTION("""COMPUTED_VALUE"""),"rtetlowm@de.vu")</f>
        <v>rtetlowm@de.vu</v>
      </c>
      <c r="D1023" s="4">
        <f>IFERROR(__xludf.DUMMYFUNCTION("""COMPUTED_VALUE"""),17.0)</f>
        <v>17</v>
      </c>
      <c r="E1023" s="4">
        <f>IFERROR(__xludf.DUMMYFUNCTION("""COMPUTED_VALUE"""),81.0)</f>
        <v>81</v>
      </c>
      <c r="F1023" s="4">
        <f>IFERROR(__xludf.DUMMYFUNCTION("""COMPUTED_VALUE"""),2.0)</f>
        <v>2</v>
      </c>
      <c r="G1023" s="4">
        <f>IFERROR(__xludf.DUMMYFUNCTION("""COMPUTED_VALUE"""),580.0)</f>
        <v>580</v>
      </c>
      <c r="H1023" s="5">
        <f>IFERROR(__xludf.DUMMYFUNCTION("""COMPUTED_VALUE"""),9765.75)</f>
        <v>9765.75</v>
      </c>
      <c r="I1023" s="5">
        <f>IFERROR(__xludf.DUMMYFUNCTION("""COMPUTED_VALUE"""),2081.01)</f>
        <v>2081.01</v>
      </c>
      <c r="J1023" s="5">
        <f>IFERROR(__xludf.DUMMYFUNCTION("""COMPUTED_VALUE"""),8926.88)</f>
        <v>8926.88</v>
      </c>
      <c r="K1023" s="5">
        <f>IFERROR(__xludf.DUMMYFUNCTION("""COMPUTED_VALUE"""),1504.28)</f>
        <v>1504.28</v>
      </c>
      <c r="L1023" s="4">
        <f>IFERROR(__xludf.DUMMYFUNCTION("""COMPUTED_VALUE"""),17.0)</f>
        <v>17</v>
      </c>
      <c r="M1023" s="4">
        <f>IFERROR(__xludf.DUMMYFUNCTION("""COMPUTED_VALUE"""),18.0)</f>
        <v>18</v>
      </c>
      <c r="N1023" s="2" t="str">
        <f>IFERROR(__xludf.DUMMYFUNCTION("""COMPUTED_VALUE"""),"FALSO")</f>
        <v>FALSO</v>
      </c>
    </row>
    <row r="1024">
      <c r="A1024" s="2">
        <f>IFERROR(__xludf.DUMMYFUNCTION("""COMPUTED_VALUE"""),1023.0)</f>
        <v>1023</v>
      </c>
      <c r="B1024" s="2" t="str">
        <f>IFERROR(__xludf.DUMMYFUNCTION("""COMPUTED_VALUE"""),"Orazio Blick")</f>
        <v>Orazio Blick</v>
      </c>
      <c r="C1024" s="2" t="str">
        <f>IFERROR(__xludf.DUMMYFUNCTION("""COMPUTED_VALUE"""),"oblickn@ifeng.com")</f>
        <v>oblickn@ifeng.com</v>
      </c>
      <c r="D1024" s="4">
        <f>IFERROR(__xludf.DUMMYFUNCTION("""COMPUTED_VALUE"""),89.0)</f>
        <v>89</v>
      </c>
      <c r="E1024" s="4">
        <f>IFERROR(__xludf.DUMMYFUNCTION("""COMPUTED_VALUE"""),81.0)</f>
        <v>81</v>
      </c>
      <c r="F1024" s="4">
        <f>IFERROR(__xludf.DUMMYFUNCTION("""COMPUTED_VALUE"""),2.0)</f>
        <v>2</v>
      </c>
      <c r="G1024" s="4">
        <f>IFERROR(__xludf.DUMMYFUNCTION("""COMPUTED_VALUE"""),463.0)</f>
        <v>463</v>
      </c>
      <c r="H1024" s="5">
        <f>IFERROR(__xludf.DUMMYFUNCTION("""COMPUTED_VALUE"""),7068.14)</f>
        <v>7068.14</v>
      </c>
      <c r="I1024" s="5">
        <f>IFERROR(__xludf.DUMMYFUNCTION("""COMPUTED_VALUE"""),9893.37)</f>
        <v>9893.37</v>
      </c>
      <c r="J1024" s="5">
        <f>IFERROR(__xludf.DUMMYFUNCTION("""COMPUTED_VALUE"""),5163.09)</f>
        <v>5163.09</v>
      </c>
      <c r="K1024" s="5">
        <f>IFERROR(__xludf.DUMMYFUNCTION("""COMPUTED_VALUE"""),7643.86)</f>
        <v>7643.86</v>
      </c>
      <c r="L1024" s="4">
        <f>IFERROR(__xludf.DUMMYFUNCTION("""COMPUTED_VALUE"""),7.0)</f>
        <v>7</v>
      </c>
      <c r="M1024" s="4">
        <f>IFERROR(__xludf.DUMMYFUNCTION("""COMPUTED_VALUE"""),79.0)</f>
        <v>79</v>
      </c>
      <c r="N1024" s="2" t="str">
        <f>IFERROR(__xludf.DUMMYFUNCTION("""COMPUTED_VALUE"""),"FALSO")</f>
        <v>FALSO</v>
      </c>
    </row>
    <row r="1025">
      <c r="A1025" s="2">
        <f>IFERROR(__xludf.DUMMYFUNCTION("""COMPUTED_VALUE"""),1024.0)</f>
        <v>1024</v>
      </c>
      <c r="B1025" s="2" t="str">
        <f>IFERROR(__xludf.DUMMYFUNCTION("""COMPUTED_VALUE"""),"Anselma de Marco")</f>
        <v>Anselma de Marco</v>
      </c>
      <c r="C1025" s="2" t="str">
        <f>IFERROR(__xludf.DUMMYFUNCTION("""COMPUTED_VALUE"""),"adeo@cnbc.com")</f>
        <v>adeo@cnbc.com</v>
      </c>
      <c r="D1025" s="4">
        <f>IFERROR(__xludf.DUMMYFUNCTION("""COMPUTED_VALUE"""),29.0)</f>
        <v>29</v>
      </c>
      <c r="E1025" s="4">
        <f>IFERROR(__xludf.DUMMYFUNCTION("""COMPUTED_VALUE"""),93.0)</f>
        <v>93</v>
      </c>
      <c r="F1025" s="4">
        <f>IFERROR(__xludf.DUMMYFUNCTION("""COMPUTED_VALUE"""),7.0)</f>
        <v>7</v>
      </c>
      <c r="G1025" s="4">
        <f>IFERROR(__xludf.DUMMYFUNCTION("""COMPUTED_VALUE"""),1333.0)</f>
        <v>1333</v>
      </c>
      <c r="H1025" s="5">
        <f>IFERROR(__xludf.DUMMYFUNCTION("""COMPUTED_VALUE"""),998.87)</f>
        <v>998.87</v>
      </c>
      <c r="I1025" s="5">
        <f>IFERROR(__xludf.DUMMYFUNCTION("""COMPUTED_VALUE"""),2203.01)</f>
        <v>2203.01</v>
      </c>
      <c r="J1025" s="5">
        <f>IFERROR(__xludf.DUMMYFUNCTION("""COMPUTED_VALUE"""),8144.96)</f>
        <v>8144.96</v>
      </c>
      <c r="K1025" s="5">
        <f>IFERROR(__xludf.DUMMYFUNCTION("""COMPUTED_VALUE"""),7319.19)</f>
        <v>7319.19</v>
      </c>
      <c r="L1025" s="4">
        <f>IFERROR(__xludf.DUMMYFUNCTION("""COMPUTED_VALUE"""),1.0)</f>
        <v>1</v>
      </c>
      <c r="M1025" s="4">
        <f>IFERROR(__xludf.DUMMYFUNCTION("""COMPUTED_VALUE"""),48.0)</f>
        <v>48</v>
      </c>
      <c r="N1025" s="2" t="str">
        <f>IFERROR(__xludf.DUMMYFUNCTION("""COMPUTED_VALUE"""),"VERDADERO")</f>
        <v>VERDADERO</v>
      </c>
    </row>
    <row r="1026">
      <c r="A1026" s="2">
        <f>IFERROR(__xludf.DUMMYFUNCTION("""COMPUTED_VALUE"""),1025.0)</f>
        <v>1025</v>
      </c>
      <c r="B1026" s="2" t="str">
        <f>IFERROR(__xludf.DUMMYFUNCTION("""COMPUTED_VALUE"""),"Edgard Worsnup")</f>
        <v>Edgard Worsnup</v>
      </c>
      <c r="C1026" s="2" t="str">
        <f>IFERROR(__xludf.DUMMYFUNCTION("""COMPUTED_VALUE"""),"eworsnupp@cnet.com")</f>
        <v>eworsnupp@cnet.com</v>
      </c>
      <c r="D1026" s="4">
        <f>IFERROR(__xludf.DUMMYFUNCTION("""COMPUTED_VALUE"""),145.0)</f>
        <v>145</v>
      </c>
      <c r="E1026" s="4">
        <f>IFERROR(__xludf.DUMMYFUNCTION("""COMPUTED_VALUE"""),95.0)</f>
        <v>95</v>
      </c>
      <c r="F1026" s="4">
        <f>IFERROR(__xludf.DUMMYFUNCTION("""COMPUTED_VALUE"""),13.0)</f>
        <v>13</v>
      </c>
      <c r="G1026" s="4">
        <f>IFERROR(__xludf.DUMMYFUNCTION("""COMPUTED_VALUE"""),866.0)</f>
        <v>866</v>
      </c>
      <c r="H1026" s="5">
        <f>IFERROR(__xludf.DUMMYFUNCTION("""COMPUTED_VALUE"""),816.5)</f>
        <v>816.5</v>
      </c>
      <c r="I1026" s="5">
        <f>IFERROR(__xludf.DUMMYFUNCTION("""COMPUTED_VALUE"""),4799.91)</f>
        <v>4799.91</v>
      </c>
      <c r="J1026" s="5">
        <f>IFERROR(__xludf.DUMMYFUNCTION("""COMPUTED_VALUE"""),8771.41)</f>
        <v>8771.41</v>
      </c>
      <c r="K1026" s="5">
        <f>IFERROR(__xludf.DUMMYFUNCTION("""COMPUTED_VALUE"""),239.63)</f>
        <v>239.63</v>
      </c>
      <c r="L1026" s="4">
        <f>IFERROR(__xludf.DUMMYFUNCTION("""COMPUTED_VALUE"""),19.0)</f>
        <v>19</v>
      </c>
      <c r="M1026" s="4">
        <f>IFERROR(__xludf.DUMMYFUNCTION("""COMPUTED_VALUE"""),29.0)</f>
        <v>29</v>
      </c>
      <c r="N1026" s="2" t="str">
        <f>IFERROR(__xludf.DUMMYFUNCTION("""COMPUTED_VALUE"""),"FALSO")</f>
        <v>FALSO</v>
      </c>
    </row>
    <row r="1027">
      <c r="A1027" s="2">
        <f>IFERROR(__xludf.DUMMYFUNCTION("""COMPUTED_VALUE"""),1026.0)</f>
        <v>1026</v>
      </c>
      <c r="B1027" s="2" t="str">
        <f>IFERROR(__xludf.DUMMYFUNCTION("""COMPUTED_VALUE"""),"Mandel Gladyer")</f>
        <v>Mandel Gladyer</v>
      </c>
      <c r="C1027" s="2" t="str">
        <f>IFERROR(__xludf.DUMMYFUNCTION("""COMPUTED_VALUE"""),"mgladyerq@bravesites.com")</f>
        <v>mgladyerq@bravesites.com</v>
      </c>
      <c r="D1027" s="4">
        <f>IFERROR(__xludf.DUMMYFUNCTION("""COMPUTED_VALUE"""),73.0)</f>
        <v>73</v>
      </c>
      <c r="E1027" s="4">
        <f>IFERROR(__xludf.DUMMYFUNCTION("""COMPUTED_VALUE"""),119.0)</f>
        <v>119</v>
      </c>
      <c r="F1027" s="4">
        <f>IFERROR(__xludf.DUMMYFUNCTION("""COMPUTED_VALUE"""),5.0)</f>
        <v>5</v>
      </c>
      <c r="G1027" s="4">
        <f>IFERROR(__xludf.DUMMYFUNCTION("""COMPUTED_VALUE"""),159.0)</f>
        <v>159</v>
      </c>
      <c r="H1027" s="5">
        <f>IFERROR(__xludf.DUMMYFUNCTION("""COMPUTED_VALUE"""),158.86)</f>
        <v>158.86</v>
      </c>
      <c r="I1027" s="5">
        <f>IFERROR(__xludf.DUMMYFUNCTION("""COMPUTED_VALUE"""),4440.29)</f>
        <v>4440.29</v>
      </c>
      <c r="J1027" s="5">
        <f>IFERROR(__xludf.DUMMYFUNCTION("""COMPUTED_VALUE"""),9817.68)</f>
        <v>9817.68</v>
      </c>
      <c r="K1027" s="5">
        <f>IFERROR(__xludf.DUMMYFUNCTION("""COMPUTED_VALUE"""),534.81)</f>
        <v>534.81</v>
      </c>
      <c r="L1027" s="4">
        <f>IFERROR(__xludf.DUMMYFUNCTION("""COMPUTED_VALUE"""),15.0)</f>
        <v>15</v>
      </c>
      <c r="M1027" s="4">
        <f>IFERROR(__xludf.DUMMYFUNCTION("""COMPUTED_VALUE"""),55.0)</f>
        <v>55</v>
      </c>
      <c r="N1027" s="2" t="str">
        <f>IFERROR(__xludf.DUMMYFUNCTION("""COMPUTED_VALUE"""),"FALSO")</f>
        <v>FALSO</v>
      </c>
    </row>
    <row r="1028">
      <c r="A1028" s="2">
        <f>IFERROR(__xludf.DUMMYFUNCTION("""COMPUTED_VALUE"""),1027.0)</f>
        <v>1027</v>
      </c>
      <c r="B1028" s="2" t="str">
        <f>IFERROR(__xludf.DUMMYFUNCTION("""COMPUTED_VALUE"""),"Bee Luce")</f>
        <v>Bee Luce</v>
      </c>
      <c r="C1028" s="2" t="str">
        <f>IFERROR(__xludf.DUMMYFUNCTION("""COMPUTED_VALUE"""),"blucer@imageshack.us")</f>
        <v>blucer@imageshack.us</v>
      </c>
      <c r="D1028" s="4">
        <f>IFERROR(__xludf.DUMMYFUNCTION("""COMPUTED_VALUE"""),94.0)</f>
        <v>94</v>
      </c>
      <c r="E1028" s="4">
        <f>IFERROR(__xludf.DUMMYFUNCTION("""COMPUTED_VALUE"""),81.0)</f>
        <v>81</v>
      </c>
      <c r="F1028" s="4">
        <f>IFERROR(__xludf.DUMMYFUNCTION("""COMPUTED_VALUE"""),2.0)</f>
        <v>2</v>
      </c>
      <c r="G1028" s="4">
        <f>IFERROR(__xludf.DUMMYFUNCTION("""COMPUTED_VALUE"""),1120.0)</f>
        <v>1120</v>
      </c>
      <c r="H1028" s="5">
        <f>IFERROR(__xludf.DUMMYFUNCTION("""COMPUTED_VALUE"""),4415.11)</f>
        <v>4415.11</v>
      </c>
      <c r="I1028" s="5">
        <f>IFERROR(__xludf.DUMMYFUNCTION("""COMPUTED_VALUE"""),7347.0)</f>
        <v>7347</v>
      </c>
      <c r="J1028" s="5">
        <f>IFERROR(__xludf.DUMMYFUNCTION("""COMPUTED_VALUE"""),9860.64)</f>
        <v>9860.64</v>
      </c>
      <c r="K1028" s="5">
        <f>IFERROR(__xludf.DUMMYFUNCTION("""COMPUTED_VALUE"""),5091.61)</f>
        <v>5091.61</v>
      </c>
      <c r="L1028" s="4">
        <f>IFERROR(__xludf.DUMMYFUNCTION("""COMPUTED_VALUE"""),3.0)</f>
        <v>3</v>
      </c>
      <c r="M1028" s="4">
        <f>IFERROR(__xludf.DUMMYFUNCTION("""COMPUTED_VALUE"""),64.0)</f>
        <v>64</v>
      </c>
      <c r="N1028" s="2" t="str">
        <f>IFERROR(__xludf.DUMMYFUNCTION("""COMPUTED_VALUE"""),"VERDADERO")</f>
        <v>VERDADERO</v>
      </c>
    </row>
    <row r="1029">
      <c r="A1029" s="2">
        <f>IFERROR(__xludf.DUMMYFUNCTION("""COMPUTED_VALUE"""),1028.0)</f>
        <v>1028</v>
      </c>
      <c r="B1029" s="2" t="str">
        <f>IFERROR(__xludf.DUMMYFUNCTION("""COMPUTED_VALUE"""),"Roanna Insko")</f>
        <v>Roanna Insko</v>
      </c>
      <c r="C1029" s="2" t="str">
        <f>IFERROR(__xludf.DUMMYFUNCTION("""COMPUTED_VALUE"""),"rinskos@netvibes.com")</f>
        <v>rinskos@netvibes.com</v>
      </c>
      <c r="D1029" s="4">
        <f>IFERROR(__xludf.DUMMYFUNCTION("""COMPUTED_VALUE"""),143.0)</f>
        <v>143</v>
      </c>
      <c r="E1029" s="4">
        <f>IFERROR(__xludf.DUMMYFUNCTION("""COMPUTED_VALUE"""),101.0)</f>
        <v>101</v>
      </c>
      <c r="F1029" s="4">
        <f>IFERROR(__xludf.DUMMYFUNCTION("""COMPUTED_VALUE"""),11.0)</f>
        <v>11</v>
      </c>
      <c r="G1029" s="4">
        <f>IFERROR(__xludf.DUMMYFUNCTION("""COMPUTED_VALUE"""),1206.0)</f>
        <v>1206</v>
      </c>
      <c r="H1029" s="5">
        <f>IFERROR(__xludf.DUMMYFUNCTION("""COMPUTED_VALUE"""),8988.79)</f>
        <v>8988.79</v>
      </c>
      <c r="I1029" s="5">
        <f>IFERROR(__xludf.DUMMYFUNCTION("""COMPUTED_VALUE"""),8041.27)</f>
        <v>8041.27</v>
      </c>
      <c r="J1029" s="5">
        <f>IFERROR(__xludf.DUMMYFUNCTION("""COMPUTED_VALUE"""),4641.99)</f>
        <v>4641.99</v>
      </c>
      <c r="K1029" s="5">
        <f>IFERROR(__xludf.DUMMYFUNCTION("""COMPUTED_VALUE"""),6336.02)</f>
        <v>6336.02</v>
      </c>
      <c r="L1029" s="4">
        <f>IFERROR(__xludf.DUMMYFUNCTION("""COMPUTED_VALUE"""),6.0)</f>
        <v>6</v>
      </c>
      <c r="M1029" s="4">
        <f>IFERROR(__xludf.DUMMYFUNCTION("""COMPUTED_VALUE"""),34.0)</f>
        <v>34</v>
      </c>
      <c r="N1029" s="2" t="str">
        <f>IFERROR(__xludf.DUMMYFUNCTION("""COMPUTED_VALUE"""),"VERDADERO")</f>
        <v>VERDADERO</v>
      </c>
    </row>
    <row r="1030">
      <c r="A1030" s="2">
        <f>IFERROR(__xludf.DUMMYFUNCTION("""COMPUTED_VALUE"""),1029.0)</f>
        <v>1029</v>
      </c>
      <c r="B1030" s="2" t="str">
        <f>IFERROR(__xludf.DUMMYFUNCTION("""COMPUTED_VALUE"""),"Nathalie Wickling")</f>
        <v>Nathalie Wickling</v>
      </c>
      <c r="C1030" s="2" t="str">
        <f>IFERROR(__xludf.DUMMYFUNCTION("""COMPUTED_VALUE"""),"nwicklingt@istockphoto.com")</f>
        <v>nwicklingt@istockphoto.com</v>
      </c>
      <c r="D1030" s="4">
        <f>IFERROR(__xludf.DUMMYFUNCTION("""COMPUTED_VALUE"""),29.0)</f>
        <v>29</v>
      </c>
      <c r="E1030" s="4">
        <f>IFERROR(__xludf.DUMMYFUNCTION("""COMPUTED_VALUE"""),90.0)</f>
        <v>90</v>
      </c>
      <c r="F1030" s="4">
        <f>IFERROR(__xludf.DUMMYFUNCTION("""COMPUTED_VALUE"""),5.0)</f>
        <v>5</v>
      </c>
      <c r="G1030" s="4">
        <f>IFERROR(__xludf.DUMMYFUNCTION("""COMPUTED_VALUE"""),900.0)</f>
        <v>900</v>
      </c>
      <c r="H1030" s="5">
        <f>IFERROR(__xludf.DUMMYFUNCTION("""COMPUTED_VALUE"""),8570.06)</f>
        <v>8570.06</v>
      </c>
      <c r="I1030" s="5">
        <f>IFERROR(__xludf.DUMMYFUNCTION("""COMPUTED_VALUE"""),953.13)</f>
        <v>953.13</v>
      </c>
      <c r="J1030" s="5">
        <f>IFERROR(__xludf.DUMMYFUNCTION("""COMPUTED_VALUE"""),7673.72)</f>
        <v>7673.72</v>
      </c>
      <c r="K1030" s="5">
        <f>IFERROR(__xludf.DUMMYFUNCTION("""COMPUTED_VALUE"""),7885.09)</f>
        <v>7885.09</v>
      </c>
      <c r="L1030" s="4">
        <f>IFERROR(__xludf.DUMMYFUNCTION("""COMPUTED_VALUE"""),11.0)</f>
        <v>11</v>
      </c>
      <c r="M1030" s="4">
        <f>IFERROR(__xludf.DUMMYFUNCTION("""COMPUTED_VALUE"""),45.0)</f>
        <v>45</v>
      </c>
      <c r="N1030" s="2" t="str">
        <f>IFERROR(__xludf.DUMMYFUNCTION("""COMPUTED_VALUE"""),"FALSO")</f>
        <v>FALSO</v>
      </c>
    </row>
    <row r="1031">
      <c r="A1031" s="2">
        <f>IFERROR(__xludf.DUMMYFUNCTION("""COMPUTED_VALUE"""),1030.0)</f>
        <v>1030</v>
      </c>
      <c r="B1031" s="2" t="str">
        <f>IFERROR(__xludf.DUMMYFUNCTION("""COMPUTED_VALUE"""),"Collie Tumilty")</f>
        <v>Collie Tumilty</v>
      </c>
      <c r="C1031" s="2" t="str">
        <f>IFERROR(__xludf.DUMMYFUNCTION("""COMPUTED_VALUE"""),"ctumiltyu@nba.com")</f>
        <v>ctumiltyu@nba.com</v>
      </c>
      <c r="D1031" s="4">
        <f>IFERROR(__xludf.DUMMYFUNCTION("""COMPUTED_VALUE"""),29.0)</f>
        <v>29</v>
      </c>
      <c r="E1031" s="4">
        <f>IFERROR(__xludf.DUMMYFUNCTION("""COMPUTED_VALUE"""),61.0)</f>
        <v>61</v>
      </c>
      <c r="F1031" s="4">
        <f>IFERROR(__xludf.DUMMYFUNCTION("""COMPUTED_VALUE"""),4.0)</f>
        <v>4</v>
      </c>
      <c r="G1031" s="4">
        <f>IFERROR(__xludf.DUMMYFUNCTION("""COMPUTED_VALUE"""),397.0)</f>
        <v>397</v>
      </c>
      <c r="H1031" s="5">
        <f>IFERROR(__xludf.DUMMYFUNCTION("""COMPUTED_VALUE"""),8863.75)</f>
        <v>8863.75</v>
      </c>
      <c r="I1031" s="5">
        <f>IFERROR(__xludf.DUMMYFUNCTION("""COMPUTED_VALUE"""),5281.13)</f>
        <v>5281.13</v>
      </c>
      <c r="J1031" s="5">
        <f>IFERROR(__xludf.DUMMYFUNCTION("""COMPUTED_VALUE"""),4858.2)</f>
        <v>4858.2</v>
      </c>
      <c r="K1031" s="5">
        <f>IFERROR(__xludf.DUMMYFUNCTION("""COMPUTED_VALUE"""),8719.39)</f>
        <v>8719.39</v>
      </c>
      <c r="L1031" s="4">
        <f>IFERROR(__xludf.DUMMYFUNCTION("""COMPUTED_VALUE"""),2.0)</f>
        <v>2</v>
      </c>
      <c r="M1031" s="4">
        <f>IFERROR(__xludf.DUMMYFUNCTION("""COMPUTED_VALUE"""),27.0)</f>
        <v>27</v>
      </c>
      <c r="N1031" s="2" t="str">
        <f>IFERROR(__xludf.DUMMYFUNCTION("""COMPUTED_VALUE"""),"FALSO")</f>
        <v>FALSO</v>
      </c>
    </row>
    <row r="1032">
      <c r="A1032" s="2">
        <f>IFERROR(__xludf.DUMMYFUNCTION("""COMPUTED_VALUE"""),1031.0)</f>
        <v>1031</v>
      </c>
      <c r="B1032" s="2" t="str">
        <f>IFERROR(__xludf.DUMMYFUNCTION("""COMPUTED_VALUE"""),"Nicolina Smeath")</f>
        <v>Nicolina Smeath</v>
      </c>
      <c r="C1032" s="2" t="str">
        <f>IFERROR(__xludf.DUMMYFUNCTION("""COMPUTED_VALUE"""),"nsmeathv@jimdo.com")</f>
        <v>nsmeathv@jimdo.com</v>
      </c>
      <c r="D1032" s="4">
        <f>IFERROR(__xludf.DUMMYFUNCTION("""COMPUTED_VALUE"""),153.0)</f>
        <v>153</v>
      </c>
      <c r="E1032" s="4">
        <f>IFERROR(__xludf.DUMMYFUNCTION("""COMPUTED_VALUE"""),81.0)</f>
        <v>81</v>
      </c>
      <c r="F1032" s="4">
        <f>IFERROR(__xludf.DUMMYFUNCTION("""COMPUTED_VALUE"""),2.0)</f>
        <v>2</v>
      </c>
      <c r="G1032" s="4">
        <f>IFERROR(__xludf.DUMMYFUNCTION("""COMPUTED_VALUE"""),458.0)</f>
        <v>458</v>
      </c>
      <c r="H1032" s="5">
        <f>IFERROR(__xludf.DUMMYFUNCTION("""COMPUTED_VALUE"""),9769.0)</f>
        <v>9769</v>
      </c>
      <c r="I1032" s="5">
        <f>IFERROR(__xludf.DUMMYFUNCTION("""COMPUTED_VALUE"""),4083.64)</f>
        <v>4083.64</v>
      </c>
      <c r="J1032" s="5">
        <f>IFERROR(__xludf.DUMMYFUNCTION("""COMPUTED_VALUE"""),2858.18)</f>
        <v>2858.18</v>
      </c>
      <c r="K1032" s="5">
        <f>IFERROR(__xludf.DUMMYFUNCTION("""COMPUTED_VALUE"""),4508.97)</f>
        <v>4508.97</v>
      </c>
      <c r="L1032" s="4">
        <f>IFERROR(__xludf.DUMMYFUNCTION("""COMPUTED_VALUE"""),19.0)</f>
        <v>19</v>
      </c>
      <c r="M1032" s="4">
        <f>IFERROR(__xludf.DUMMYFUNCTION("""COMPUTED_VALUE"""),87.0)</f>
        <v>87</v>
      </c>
      <c r="N1032" s="2" t="str">
        <f>IFERROR(__xludf.DUMMYFUNCTION("""COMPUTED_VALUE"""),"VERDADERO")</f>
        <v>VERDADERO</v>
      </c>
    </row>
    <row r="1033">
      <c r="A1033" s="2">
        <f>IFERROR(__xludf.DUMMYFUNCTION("""COMPUTED_VALUE"""),1032.0)</f>
        <v>1032</v>
      </c>
      <c r="B1033" s="2" t="str">
        <f>IFERROR(__xludf.DUMMYFUNCTION("""COMPUTED_VALUE"""),"Jaimie Hirjak")</f>
        <v>Jaimie Hirjak</v>
      </c>
      <c r="C1033" s="2" t="str">
        <f>IFERROR(__xludf.DUMMYFUNCTION("""COMPUTED_VALUE"""),"jhirjakw@lycos.com")</f>
        <v>jhirjakw@lycos.com</v>
      </c>
      <c r="D1033" s="4">
        <f>IFERROR(__xludf.DUMMYFUNCTION("""COMPUTED_VALUE"""),65.0)</f>
        <v>65</v>
      </c>
      <c r="E1033" s="4">
        <f>IFERROR(__xludf.DUMMYFUNCTION("""COMPUTED_VALUE"""),25.0)</f>
        <v>25</v>
      </c>
      <c r="F1033" s="4">
        <f>IFERROR(__xludf.DUMMYFUNCTION("""COMPUTED_VALUE"""),4.0)</f>
        <v>4</v>
      </c>
      <c r="G1033" s="4">
        <f>IFERROR(__xludf.DUMMYFUNCTION("""COMPUTED_VALUE"""),1420.0)</f>
        <v>1420</v>
      </c>
      <c r="H1033" s="5">
        <f>IFERROR(__xludf.DUMMYFUNCTION("""COMPUTED_VALUE"""),6994.33)</f>
        <v>6994.33</v>
      </c>
      <c r="I1033" s="5">
        <f>IFERROR(__xludf.DUMMYFUNCTION("""COMPUTED_VALUE"""),9993.6)</f>
        <v>9993.6</v>
      </c>
      <c r="J1033" s="5">
        <f>IFERROR(__xludf.DUMMYFUNCTION("""COMPUTED_VALUE"""),2629.1)</f>
        <v>2629.1</v>
      </c>
      <c r="K1033" s="5">
        <f>IFERROR(__xludf.DUMMYFUNCTION("""COMPUTED_VALUE"""),5796.19)</f>
        <v>5796.19</v>
      </c>
      <c r="L1033" s="4">
        <f>IFERROR(__xludf.DUMMYFUNCTION("""COMPUTED_VALUE"""),11.0)</f>
        <v>11</v>
      </c>
      <c r="M1033" s="4">
        <f>IFERROR(__xludf.DUMMYFUNCTION("""COMPUTED_VALUE"""),9.0)</f>
        <v>9</v>
      </c>
      <c r="N1033" s="2" t="str">
        <f>IFERROR(__xludf.DUMMYFUNCTION("""COMPUTED_VALUE"""),"VERDADERO")</f>
        <v>VERDADERO</v>
      </c>
    </row>
    <row r="1034">
      <c r="A1034" s="2">
        <f>IFERROR(__xludf.DUMMYFUNCTION("""COMPUTED_VALUE"""),1033.0)</f>
        <v>1033</v>
      </c>
      <c r="B1034" s="2" t="str">
        <f>IFERROR(__xludf.DUMMYFUNCTION("""COMPUTED_VALUE"""),"Philis Schleicher")</f>
        <v>Philis Schleicher</v>
      </c>
      <c r="C1034" s="2" t="str">
        <f>IFERROR(__xludf.DUMMYFUNCTION("""COMPUTED_VALUE"""),"pschleicherx@pcworld.com")</f>
        <v>pschleicherx@pcworld.com</v>
      </c>
      <c r="D1034" s="4">
        <f>IFERROR(__xludf.DUMMYFUNCTION("""COMPUTED_VALUE"""),5.0)</f>
        <v>5</v>
      </c>
      <c r="E1034" s="4">
        <f>IFERROR(__xludf.DUMMYFUNCTION("""COMPUTED_VALUE"""),21.0)</f>
        <v>21</v>
      </c>
      <c r="F1034" s="4">
        <f>IFERROR(__xludf.DUMMYFUNCTION("""COMPUTED_VALUE"""),4.0)</f>
        <v>4</v>
      </c>
      <c r="G1034" s="4">
        <f>IFERROR(__xludf.DUMMYFUNCTION("""COMPUTED_VALUE"""),661.0)</f>
        <v>661</v>
      </c>
      <c r="H1034" s="5">
        <f>IFERROR(__xludf.DUMMYFUNCTION("""COMPUTED_VALUE"""),8678.69)</f>
        <v>8678.69</v>
      </c>
      <c r="I1034" s="5">
        <f>IFERROR(__xludf.DUMMYFUNCTION("""COMPUTED_VALUE"""),1567.27)</f>
        <v>1567.27</v>
      </c>
      <c r="J1034" s="5">
        <f>IFERROR(__xludf.DUMMYFUNCTION("""COMPUTED_VALUE"""),6845.29)</f>
        <v>6845.29</v>
      </c>
      <c r="K1034" s="5">
        <f>IFERROR(__xludf.DUMMYFUNCTION("""COMPUTED_VALUE"""),1516.3)</f>
        <v>1516.3</v>
      </c>
      <c r="L1034" s="4">
        <f>IFERROR(__xludf.DUMMYFUNCTION("""COMPUTED_VALUE"""),1.0)</f>
        <v>1</v>
      </c>
      <c r="M1034" s="4">
        <f>IFERROR(__xludf.DUMMYFUNCTION("""COMPUTED_VALUE"""),89.0)</f>
        <v>89</v>
      </c>
      <c r="N1034" s="2" t="str">
        <f>IFERROR(__xludf.DUMMYFUNCTION("""COMPUTED_VALUE"""),"FALSO")</f>
        <v>FALSO</v>
      </c>
    </row>
    <row r="1035">
      <c r="A1035" s="2">
        <f>IFERROR(__xludf.DUMMYFUNCTION("""COMPUTED_VALUE"""),1034.0)</f>
        <v>1034</v>
      </c>
      <c r="B1035" s="2" t="str">
        <f>IFERROR(__xludf.DUMMYFUNCTION("""COMPUTED_VALUE"""),"Christoper Hadden")</f>
        <v>Christoper Hadden</v>
      </c>
      <c r="C1035" s="2" t="str">
        <f>IFERROR(__xludf.DUMMYFUNCTION("""COMPUTED_VALUE"""),"chaddeny@people.com.cn")</f>
        <v>chaddeny@people.com.cn</v>
      </c>
      <c r="D1035" s="4">
        <f>IFERROR(__xludf.DUMMYFUNCTION("""COMPUTED_VALUE"""),75.0)</f>
        <v>75</v>
      </c>
      <c r="E1035" s="4">
        <f>IFERROR(__xludf.DUMMYFUNCTION("""COMPUTED_VALUE"""),111.0)</f>
        <v>111</v>
      </c>
      <c r="F1035" s="4">
        <f>IFERROR(__xludf.DUMMYFUNCTION("""COMPUTED_VALUE"""),4.0)</f>
        <v>4</v>
      </c>
      <c r="G1035" s="4">
        <f>IFERROR(__xludf.DUMMYFUNCTION("""COMPUTED_VALUE"""),686.0)</f>
        <v>686</v>
      </c>
      <c r="H1035" s="5">
        <f>IFERROR(__xludf.DUMMYFUNCTION("""COMPUTED_VALUE"""),9351.84)</f>
        <v>9351.84</v>
      </c>
      <c r="I1035" s="5">
        <f>IFERROR(__xludf.DUMMYFUNCTION("""COMPUTED_VALUE"""),5918.57)</f>
        <v>5918.57</v>
      </c>
      <c r="J1035" s="5">
        <f>IFERROR(__xludf.DUMMYFUNCTION("""COMPUTED_VALUE"""),4020.78)</f>
        <v>4020.78</v>
      </c>
      <c r="K1035" s="5">
        <f>IFERROR(__xludf.DUMMYFUNCTION("""COMPUTED_VALUE"""),3972.49)</f>
        <v>3972.49</v>
      </c>
      <c r="L1035" s="4">
        <f>IFERROR(__xludf.DUMMYFUNCTION("""COMPUTED_VALUE"""),5.0)</f>
        <v>5</v>
      </c>
      <c r="M1035" s="4">
        <f>IFERROR(__xludf.DUMMYFUNCTION("""COMPUTED_VALUE"""),83.0)</f>
        <v>83</v>
      </c>
      <c r="N1035" s="2" t="str">
        <f>IFERROR(__xludf.DUMMYFUNCTION("""COMPUTED_VALUE"""),"VERDADERO")</f>
        <v>VERDADERO</v>
      </c>
    </row>
    <row r="1036">
      <c r="A1036" s="2">
        <f>IFERROR(__xludf.DUMMYFUNCTION("""COMPUTED_VALUE"""),1035.0)</f>
        <v>1035</v>
      </c>
      <c r="B1036" s="2" t="str">
        <f>IFERROR(__xludf.DUMMYFUNCTION("""COMPUTED_VALUE"""),"Chico Bredgeland")</f>
        <v>Chico Bredgeland</v>
      </c>
      <c r="C1036" s="2" t="str">
        <f>IFERROR(__xludf.DUMMYFUNCTION("""COMPUTED_VALUE"""),"cbredgelandz@princeton.edu")</f>
        <v>cbredgelandz@princeton.edu</v>
      </c>
      <c r="D1036" s="4">
        <f>IFERROR(__xludf.DUMMYFUNCTION("""COMPUTED_VALUE"""),153.0)</f>
        <v>153</v>
      </c>
      <c r="E1036" s="4">
        <f>IFERROR(__xludf.DUMMYFUNCTION("""COMPUTED_VALUE"""),67.0)</f>
        <v>67</v>
      </c>
      <c r="F1036" s="4">
        <f>IFERROR(__xludf.DUMMYFUNCTION("""COMPUTED_VALUE"""),7.0)</f>
        <v>7</v>
      </c>
      <c r="G1036" s="4">
        <f>IFERROR(__xludf.DUMMYFUNCTION("""COMPUTED_VALUE"""),1259.0)</f>
        <v>1259</v>
      </c>
      <c r="H1036" s="5">
        <f>IFERROR(__xludf.DUMMYFUNCTION("""COMPUTED_VALUE"""),287.67)</f>
        <v>287.67</v>
      </c>
      <c r="I1036" s="5">
        <f>IFERROR(__xludf.DUMMYFUNCTION("""COMPUTED_VALUE"""),3693.33)</f>
        <v>3693.33</v>
      </c>
      <c r="J1036" s="5">
        <f>IFERROR(__xludf.DUMMYFUNCTION("""COMPUTED_VALUE"""),5202.32)</f>
        <v>5202.32</v>
      </c>
      <c r="K1036" s="5">
        <f>IFERROR(__xludf.DUMMYFUNCTION("""COMPUTED_VALUE"""),8692.93)</f>
        <v>8692.93</v>
      </c>
      <c r="L1036" s="4">
        <f>IFERROR(__xludf.DUMMYFUNCTION("""COMPUTED_VALUE"""),18.0)</f>
        <v>18</v>
      </c>
      <c r="M1036" s="4">
        <f>IFERROR(__xludf.DUMMYFUNCTION("""COMPUTED_VALUE"""),92.0)</f>
        <v>92</v>
      </c>
      <c r="N1036" s="2" t="str">
        <f>IFERROR(__xludf.DUMMYFUNCTION("""COMPUTED_VALUE"""),"FALSO")</f>
        <v>FALSO</v>
      </c>
    </row>
    <row r="1037">
      <c r="A1037" s="2">
        <f>IFERROR(__xludf.DUMMYFUNCTION("""COMPUTED_VALUE"""),1036.0)</f>
        <v>1036</v>
      </c>
      <c r="B1037" s="2" t="str">
        <f>IFERROR(__xludf.DUMMYFUNCTION("""COMPUTED_VALUE"""),"Jason Van Leeuwen")</f>
        <v>Jason Van Leeuwen</v>
      </c>
      <c r="C1037" s="2" t="str">
        <f>IFERROR(__xludf.DUMMYFUNCTION("""COMPUTED_VALUE"""),"jvan10@guardian.co.uk")</f>
        <v>jvan10@guardian.co.uk</v>
      </c>
      <c r="D1037" s="4">
        <f>IFERROR(__xludf.DUMMYFUNCTION("""COMPUTED_VALUE"""),120.0)</f>
        <v>120</v>
      </c>
      <c r="E1037" s="4">
        <f>IFERROR(__xludf.DUMMYFUNCTION("""COMPUTED_VALUE"""),64.0)</f>
        <v>64</v>
      </c>
      <c r="F1037" s="4">
        <f>IFERROR(__xludf.DUMMYFUNCTION("""COMPUTED_VALUE"""),4.0)</f>
        <v>4</v>
      </c>
      <c r="G1037" s="4">
        <f>IFERROR(__xludf.DUMMYFUNCTION("""COMPUTED_VALUE"""),1134.0)</f>
        <v>1134</v>
      </c>
      <c r="H1037" s="5">
        <f>IFERROR(__xludf.DUMMYFUNCTION("""COMPUTED_VALUE"""),4730.03)</f>
        <v>4730.03</v>
      </c>
      <c r="I1037" s="5">
        <f>IFERROR(__xludf.DUMMYFUNCTION("""COMPUTED_VALUE"""),478.51)</f>
        <v>478.51</v>
      </c>
      <c r="J1037" s="5">
        <f>IFERROR(__xludf.DUMMYFUNCTION("""COMPUTED_VALUE"""),9815.17)</f>
        <v>9815.17</v>
      </c>
      <c r="K1037" s="5">
        <f>IFERROR(__xludf.DUMMYFUNCTION("""COMPUTED_VALUE"""),5062.08)</f>
        <v>5062.08</v>
      </c>
      <c r="L1037" s="4">
        <f>IFERROR(__xludf.DUMMYFUNCTION("""COMPUTED_VALUE"""),14.0)</f>
        <v>14</v>
      </c>
      <c r="M1037" s="4">
        <f>IFERROR(__xludf.DUMMYFUNCTION("""COMPUTED_VALUE"""),60.0)</f>
        <v>60</v>
      </c>
      <c r="N1037" s="2" t="str">
        <f>IFERROR(__xludf.DUMMYFUNCTION("""COMPUTED_VALUE"""),"FALSO")</f>
        <v>FALSO</v>
      </c>
    </row>
    <row r="1038">
      <c r="A1038" s="2">
        <f>IFERROR(__xludf.DUMMYFUNCTION("""COMPUTED_VALUE"""),1037.0)</f>
        <v>1037</v>
      </c>
      <c r="B1038" s="2" t="str">
        <f>IFERROR(__xludf.DUMMYFUNCTION("""COMPUTED_VALUE"""),"Cody Coulston")</f>
        <v>Cody Coulston</v>
      </c>
      <c r="C1038" s="2" t="str">
        <f>IFERROR(__xludf.DUMMYFUNCTION("""COMPUTED_VALUE"""),"ccoulston11@hud.gov")</f>
        <v>ccoulston11@hud.gov</v>
      </c>
      <c r="D1038" s="4">
        <f>IFERROR(__xludf.DUMMYFUNCTION("""COMPUTED_VALUE"""),116.0)</f>
        <v>116</v>
      </c>
      <c r="E1038" s="4">
        <f>IFERROR(__xludf.DUMMYFUNCTION("""COMPUTED_VALUE"""),40.0)</f>
        <v>40</v>
      </c>
      <c r="F1038" s="4">
        <f>IFERROR(__xludf.DUMMYFUNCTION("""COMPUTED_VALUE"""),1.0)</f>
        <v>1</v>
      </c>
      <c r="G1038" s="4">
        <f>IFERROR(__xludf.DUMMYFUNCTION("""COMPUTED_VALUE"""),1313.0)</f>
        <v>1313</v>
      </c>
      <c r="H1038" s="5">
        <f>IFERROR(__xludf.DUMMYFUNCTION("""COMPUTED_VALUE"""),4566.21)</f>
        <v>4566.21</v>
      </c>
      <c r="I1038" s="5">
        <f>IFERROR(__xludf.DUMMYFUNCTION("""COMPUTED_VALUE"""),9509.36)</f>
        <v>9509.36</v>
      </c>
      <c r="J1038" s="5">
        <f>IFERROR(__xludf.DUMMYFUNCTION("""COMPUTED_VALUE"""),2815.83)</f>
        <v>2815.83</v>
      </c>
      <c r="K1038" s="5">
        <f>IFERROR(__xludf.DUMMYFUNCTION("""COMPUTED_VALUE"""),1949.59)</f>
        <v>1949.59</v>
      </c>
      <c r="L1038" s="4">
        <f>IFERROR(__xludf.DUMMYFUNCTION("""COMPUTED_VALUE"""),18.0)</f>
        <v>18</v>
      </c>
      <c r="M1038" s="4">
        <f>IFERROR(__xludf.DUMMYFUNCTION("""COMPUTED_VALUE"""),69.0)</f>
        <v>69</v>
      </c>
      <c r="N1038" s="2" t="str">
        <f>IFERROR(__xludf.DUMMYFUNCTION("""COMPUTED_VALUE"""),"FALSO")</f>
        <v>FALSO</v>
      </c>
    </row>
    <row r="1039">
      <c r="A1039" s="2">
        <f>IFERROR(__xludf.DUMMYFUNCTION("""COMPUTED_VALUE"""),1038.0)</f>
        <v>1038</v>
      </c>
      <c r="B1039" s="2" t="str">
        <f>IFERROR(__xludf.DUMMYFUNCTION("""COMPUTED_VALUE"""),"Byrle Tidbury")</f>
        <v>Byrle Tidbury</v>
      </c>
      <c r="C1039" s="2" t="str">
        <f>IFERROR(__xludf.DUMMYFUNCTION("""COMPUTED_VALUE"""),"btidbury12@europa.eu")</f>
        <v>btidbury12@europa.eu</v>
      </c>
      <c r="D1039" s="4">
        <f>IFERROR(__xludf.DUMMYFUNCTION("""COMPUTED_VALUE"""),29.0)</f>
        <v>29</v>
      </c>
      <c r="E1039" s="4">
        <f>IFERROR(__xludf.DUMMYFUNCTION("""COMPUTED_VALUE"""),40.0)</f>
        <v>40</v>
      </c>
      <c r="F1039" s="4">
        <f>IFERROR(__xludf.DUMMYFUNCTION("""COMPUTED_VALUE"""),3.0)</f>
        <v>3</v>
      </c>
      <c r="G1039" s="4">
        <f>IFERROR(__xludf.DUMMYFUNCTION("""COMPUTED_VALUE"""),927.0)</f>
        <v>927</v>
      </c>
      <c r="H1039" s="5">
        <f>IFERROR(__xludf.DUMMYFUNCTION("""COMPUTED_VALUE"""),9960.92)</f>
        <v>9960.92</v>
      </c>
      <c r="I1039" s="5">
        <f>IFERROR(__xludf.DUMMYFUNCTION("""COMPUTED_VALUE"""),7906.0)</f>
        <v>7906</v>
      </c>
      <c r="J1039" s="5">
        <f>IFERROR(__xludf.DUMMYFUNCTION("""COMPUTED_VALUE"""),9534.8)</f>
        <v>9534.8</v>
      </c>
      <c r="K1039" s="5">
        <f>IFERROR(__xludf.DUMMYFUNCTION("""COMPUTED_VALUE"""),192.97)</f>
        <v>192.97</v>
      </c>
      <c r="L1039" s="4">
        <f>IFERROR(__xludf.DUMMYFUNCTION("""COMPUTED_VALUE"""),17.0)</f>
        <v>17</v>
      </c>
      <c r="M1039" s="4">
        <f>IFERROR(__xludf.DUMMYFUNCTION("""COMPUTED_VALUE"""),71.0)</f>
        <v>71</v>
      </c>
      <c r="N1039" s="2" t="str">
        <f>IFERROR(__xludf.DUMMYFUNCTION("""COMPUTED_VALUE"""),"VERDADERO")</f>
        <v>VERDADERO</v>
      </c>
    </row>
    <row r="1040">
      <c r="A1040" s="2">
        <f>IFERROR(__xludf.DUMMYFUNCTION("""COMPUTED_VALUE"""),1039.0)</f>
        <v>1039</v>
      </c>
      <c r="B1040" s="2" t="str">
        <f>IFERROR(__xludf.DUMMYFUNCTION("""COMPUTED_VALUE"""),"Saba Lammerding")</f>
        <v>Saba Lammerding</v>
      </c>
      <c r="C1040" s="2" t="str">
        <f>IFERROR(__xludf.DUMMYFUNCTION("""COMPUTED_VALUE"""),"slammerding13@storify.com")</f>
        <v>slammerding13@storify.com</v>
      </c>
      <c r="D1040" s="4">
        <f>IFERROR(__xludf.DUMMYFUNCTION("""COMPUTED_VALUE"""),65.0)</f>
        <v>65</v>
      </c>
      <c r="E1040" s="4">
        <f>IFERROR(__xludf.DUMMYFUNCTION("""COMPUTED_VALUE"""),107.0)</f>
        <v>107</v>
      </c>
      <c r="F1040" s="4">
        <f>IFERROR(__xludf.DUMMYFUNCTION("""COMPUTED_VALUE"""),5.0)</f>
        <v>5</v>
      </c>
      <c r="G1040" s="4">
        <f>IFERROR(__xludf.DUMMYFUNCTION("""COMPUTED_VALUE"""),1300.0)</f>
        <v>1300</v>
      </c>
      <c r="H1040" s="5">
        <f>IFERROR(__xludf.DUMMYFUNCTION("""COMPUTED_VALUE"""),6709.86)</f>
        <v>6709.86</v>
      </c>
      <c r="I1040" s="5">
        <f>IFERROR(__xludf.DUMMYFUNCTION("""COMPUTED_VALUE"""),3455.26)</f>
        <v>3455.26</v>
      </c>
      <c r="J1040" s="5">
        <f>IFERROR(__xludf.DUMMYFUNCTION("""COMPUTED_VALUE"""),3337.89)</f>
        <v>3337.89</v>
      </c>
      <c r="K1040" s="5">
        <f>IFERROR(__xludf.DUMMYFUNCTION("""COMPUTED_VALUE"""),9102.43)</f>
        <v>9102.43</v>
      </c>
      <c r="L1040" s="4">
        <f>IFERROR(__xludf.DUMMYFUNCTION("""COMPUTED_VALUE"""),3.0)</f>
        <v>3</v>
      </c>
      <c r="M1040" s="4">
        <f>IFERROR(__xludf.DUMMYFUNCTION("""COMPUTED_VALUE"""),44.0)</f>
        <v>44</v>
      </c>
      <c r="N1040" s="2" t="str">
        <f>IFERROR(__xludf.DUMMYFUNCTION("""COMPUTED_VALUE"""),"VERDADERO")</f>
        <v>VERDADERO</v>
      </c>
    </row>
    <row r="1041">
      <c r="A1041" s="2">
        <f>IFERROR(__xludf.DUMMYFUNCTION("""COMPUTED_VALUE"""),1040.0)</f>
        <v>1040</v>
      </c>
      <c r="B1041" s="2" t="str">
        <f>IFERROR(__xludf.DUMMYFUNCTION("""COMPUTED_VALUE"""),"Giuditta Lucey")</f>
        <v>Giuditta Lucey</v>
      </c>
      <c r="C1041" s="2" t="str">
        <f>IFERROR(__xludf.DUMMYFUNCTION("""COMPUTED_VALUE"""),"glucey14@mashable.com")</f>
        <v>glucey14@mashable.com</v>
      </c>
      <c r="D1041" s="4">
        <f>IFERROR(__xludf.DUMMYFUNCTION("""COMPUTED_VALUE"""),29.0)</f>
        <v>29</v>
      </c>
      <c r="E1041" s="4">
        <f>IFERROR(__xludf.DUMMYFUNCTION("""COMPUTED_VALUE"""),111.0)</f>
        <v>111</v>
      </c>
      <c r="F1041" s="4">
        <f>IFERROR(__xludf.DUMMYFUNCTION("""COMPUTED_VALUE"""),4.0)</f>
        <v>4</v>
      </c>
      <c r="G1041" s="4">
        <f>IFERROR(__xludf.DUMMYFUNCTION("""COMPUTED_VALUE"""),178.0)</f>
        <v>178</v>
      </c>
      <c r="H1041" s="5">
        <f>IFERROR(__xludf.DUMMYFUNCTION("""COMPUTED_VALUE"""),3732.14)</f>
        <v>3732.14</v>
      </c>
      <c r="I1041" s="5">
        <f>IFERROR(__xludf.DUMMYFUNCTION("""COMPUTED_VALUE"""),338.45)</f>
        <v>338.45</v>
      </c>
      <c r="J1041" s="5">
        <f>IFERROR(__xludf.DUMMYFUNCTION("""COMPUTED_VALUE"""),4786.98)</f>
        <v>4786.98</v>
      </c>
      <c r="K1041" s="5">
        <f>IFERROR(__xludf.DUMMYFUNCTION("""COMPUTED_VALUE"""),8834.72)</f>
        <v>8834.72</v>
      </c>
      <c r="L1041" s="4">
        <f>IFERROR(__xludf.DUMMYFUNCTION("""COMPUTED_VALUE"""),16.0)</f>
        <v>16</v>
      </c>
      <c r="M1041" s="4">
        <f>IFERROR(__xludf.DUMMYFUNCTION("""COMPUTED_VALUE"""),26.0)</f>
        <v>26</v>
      </c>
      <c r="N1041" s="2" t="str">
        <f>IFERROR(__xludf.DUMMYFUNCTION("""COMPUTED_VALUE"""),"VERDADERO")</f>
        <v>VERDADERO</v>
      </c>
    </row>
    <row r="1042">
      <c r="A1042" s="2">
        <f>IFERROR(__xludf.DUMMYFUNCTION("""COMPUTED_VALUE"""),1041.0)</f>
        <v>1041</v>
      </c>
      <c r="B1042" s="2" t="str">
        <f>IFERROR(__xludf.DUMMYFUNCTION("""COMPUTED_VALUE"""),"Roselia Bittlestone")</f>
        <v>Roselia Bittlestone</v>
      </c>
      <c r="C1042" s="2" t="str">
        <f>IFERROR(__xludf.DUMMYFUNCTION("""COMPUTED_VALUE"""),"rbittlestone15@wikispaces.com")</f>
        <v>rbittlestone15@wikispaces.com</v>
      </c>
      <c r="D1042" s="4">
        <f>IFERROR(__xludf.DUMMYFUNCTION("""COMPUTED_VALUE"""),143.0)</f>
        <v>143</v>
      </c>
      <c r="E1042" s="4">
        <f>IFERROR(__xludf.DUMMYFUNCTION("""COMPUTED_VALUE"""),112.0)</f>
        <v>112</v>
      </c>
      <c r="F1042" s="4">
        <f>IFERROR(__xludf.DUMMYFUNCTION("""COMPUTED_VALUE"""),11.0)</f>
        <v>11</v>
      </c>
      <c r="G1042" s="4">
        <f>IFERROR(__xludf.DUMMYFUNCTION("""COMPUTED_VALUE"""),83.0)</f>
        <v>83</v>
      </c>
      <c r="H1042" s="5">
        <f>IFERROR(__xludf.DUMMYFUNCTION("""COMPUTED_VALUE"""),8809.7)</f>
        <v>8809.7</v>
      </c>
      <c r="I1042" s="5">
        <f>IFERROR(__xludf.DUMMYFUNCTION("""COMPUTED_VALUE"""),9609.58)</f>
        <v>9609.58</v>
      </c>
      <c r="J1042" s="5">
        <f>IFERROR(__xludf.DUMMYFUNCTION("""COMPUTED_VALUE"""),8692.23)</f>
        <v>8692.23</v>
      </c>
      <c r="K1042" s="5">
        <f>IFERROR(__xludf.DUMMYFUNCTION("""COMPUTED_VALUE"""),128.7)</f>
        <v>128.7</v>
      </c>
      <c r="L1042" s="4">
        <f>IFERROR(__xludf.DUMMYFUNCTION("""COMPUTED_VALUE"""),19.0)</f>
        <v>19</v>
      </c>
      <c r="M1042" s="4">
        <f>IFERROR(__xludf.DUMMYFUNCTION("""COMPUTED_VALUE"""),62.0)</f>
        <v>62</v>
      </c>
      <c r="N1042" s="2" t="str">
        <f>IFERROR(__xludf.DUMMYFUNCTION("""COMPUTED_VALUE"""),"VERDADERO")</f>
        <v>VERDADERO</v>
      </c>
    </row>
    <row r="1043">
      <c r="A1043" s="2">
        <f>IFERROR(__xludf.DUMMYFUNCTION("""COMPUTED_VALUE"""),1042.0)</f>
        <v>1042</v>
      </c>
      <c r="B1043" s="2" t="str">
        <f>IFERROR(__xludf.DUMMYFUNCTION("""COMPUTED_VALUE"""),"Caren Willison")</f>
        <v>Caren Willison</v>
      </c>
      <c r="C1043" s="2" t="str">
        <f>IFERROR(__xludf.DUMMYFUNCTION("""COMPUTED_VALUE"""),"cwillison16@senate.gov")</f>
        <v>cwillison16@senate.gov</v>
      </c>
      <c r="D1043" s="4">
        <f>IFERROR(__xludf.DUMMYFUNCTION("""COMPUTED_VALUE"""),158.0)</f>
        <v>158</v>
      </c>
      <c r="E1043" s="4">
        <f>IFERROR(__xludf.DUMMYFUNCTION("""COMPUTED_VALUE"""),64.0)</f>
        <v>64</v>
      </c>
      <c r="F1043" s="4">
        <f>IFERROR(__xludf.DUMMYFUNCTION("""COMPUTED_VALUE"""),4.0)</f>
        <v>4</v>
      </c>
      <c r="G1043" s="4">
        <f>IFERROR(__xludf.DUMMYFUNCTION("""COMPUTED_VALUE"""),389.0)</f>
        <v>389</v>
      </c>
      <c r="H1043" s="5">
        <f>IFERROR(__xludf.DUMMYFUNCTION("""COMPUTED_VALUE"""),506.56)</f>
        <v>506.56</v>
      </c>
      <c r="I1043" s="5">
        <f>IFERROR(__xludf.DUMMYFUNCTION("""COMPUTED_VALUE"""),2326.85)</f>
        <v>2326.85</v>
      </c>
      <c r="J1043" s="5">
        <f>IFERROR(__xludf.DUMMYFUNCTION("""COMPUTED_VALUE"""),9465.67)</f>
        <v>9465.67</v>
      </c>
      <c r="K1043" s="5">
        <f>IFERROR(__xludf.DUMMYFUNCTION("""COMPUTED_VALUE"""),8018.93)</f>
        <v>8018.93</v>
      </c>
      <c r="L1043" s="4">
        <f>IFERROR(__xludf.DUMMYFUNCTION("""COMPUTED_VALUE"""),6.0)</f>
        <v>6</v>
      </c>
      <c r="M1043" s="4">
        <f>IFERROR(__xludf.DUMMYFUNCTION("""COMPUTED_VALUE"""),29.0)</f>
        <v>29</v>
      </c>
      <c r="N1043" s="2" t="str">
        <f>IFERROR(__xludf.DUMMYFUNCTION("""COMPUTED_VALUE"""),"FALSO")</f>
        <v>FALSO</v>
      </c>
    </row>
    <row r="1044">
      <c r="A1044" s="2">
        <f>IFERROR(__xludf.DUMMYFUNCTION("""COMPUTED_VALUE"""),1043.0)</f>
        <v>1043</v>
      </c>
      <c r="B1044" s="2" t="str">
        <f>IFERROR(__xludf.DUMMYFUNCTION("""COMPUTED_VALUE"""),"Blancha Condie")</f>
        <v>Blancha Condie</v>
      </c>
      <c r="C1044" s="2" t="str">
        <f>IFERROR(__xludf.DUMMYFUNCTION("""COMPUTED_VALUE"""),"bcondie17@huffingtonpost.com")</f>
        <v>bcondie17@huffingtonpost.com</v>
      </c>
      <c r="D1044" s="4">
        <f>IFERROR(__xludf.DUMMYFUNCTION("""COMPUTED_VALUE"""),49.0)</f>
        <v>49</v>
      </c>
      <c r="E1044" s="4">
        <f>IFERROR(__xludf.DUMMYFUNCTION("""COMPUTED_VALUE"""),81.0)</f>
        <v>81</v>
      </c>
      <c r="F1044" s="4">
        <f>IFERROR(__xludf.DUMMYFUNCTION("""COMPUTED_VALUE"""),2.0)</f>
        <v>2</v>
      </c>
      <c r="G1044" s="4">
        <f>IFERROR(__xludf.DUMMYFUNCTION("""COMPUTED_VALUE"""),1483.0)</f>
        <v>1483</v>
      </c>
      <c r="H1044" s="5">
        <f>IFERROR(__xludf.DUMMYFUNCTION("""COMPUTED_VALUE"""),6755.05)</f>
        <v>6755.05</v>
      </c>
      <c r="I1044" s="5">
        <f>IFERROR(__xludf.DUMMYFUNCTION("""COMPUTED_VALUE"""),4976.04)</f>
        <v>4976.04</v>
      </c>
      <c r="J1044" s="5">
        <f>IFERROR(__xludf.DUMMYFUNCTION("""COMPUTED_VALUE"""),9367.06)</f>
        <v>9367.06</v>
      </c>
      <c r="K1044" s="5">
        <f>IFERROR(__xludf.DUMMYFUNCTION("""COMPUTED_VALUE"""),1677.03)</f>
        <v>1677.03</v>
      </c>
      <c r="L1044" s="4">
        <f>IFERROR(__xludf.DUMMYFUNCTION("""COMPUTED_VALUE"""),9.0)</f>
        <v>9</v>
      </c>
      <c r="M1044" s="4">
        <f>IFERROR(__xludf.DUMMYFUNCTION("""COMPUTED_VALUE"""),92.0)</f>
        <v>92</v>
      </c>
      <c r="N1044" s="2" t="str">
        <f>IFERROR(__xludf.DUMMYFUNCTION("""COMPUTED_VALUE"""),"FALSO")</f>
        <v>FALSO</v>
      </c>
    </row>
    <row r="1045">
      <c r="A1045" s="2">
        <f>IFERROR(__xludf.DUMMYFUNCTION("""COMPUTED_VALUE"""),1044.0)</f>
        <v>1044</v>
      </c>
      <c r="B1045" s="2" t="str">
        <f>IFERROR(__xludf.DUMMYFUNCTION("""COMPUTED_VALUE"""),"Lyle Hazelgrove")</f>
        <v>Lyle Hazelgrove</v>
      </c>
      <c r="C1045" s="2" t="str">
        <f>IFERROR(__xludf.DUMMYFUNCTION("""COMPUTED_VALUE"""),"lhazelgrove18@chicagotribune.com")</f>
        <v>lhazelgrove18@chicagotribune.com</v>
      </c>
      <c r="D1045" s="4">
        <f>IFERROR(__xludf.DUMMYFUNCTION("""COMPUTED_VALUE"""),120.0)</f>
        <v>120</v>
      </c>
      <c r="E1045" s="4">
        <f>IFERROR(__xludf.DUMMYFUNCTION("""COMPUTED_VALUE"""),74.0)</f>
        <v>74</v>
      </c>
      <c r="F1045" s="4">
        <f>IFERROR(__xludf.DUMMYFUNCTION("""COMPUTED_VALUE"""),9.0)</f>
        <v>9</v>
      </c>
      <c r="G1045" s="4">
        <f>IFERROR(__xludf.DUMMYFUNCTION("""COMPUTED_VALUE"""),665.0)</f>
        <v>665</v>
      </c>
      <c r="H1045" s="5">
        <f>IFERROR(__xludf.DUMMYFUNCTION("""COMPUTED_VALUE"""),2203.58)</f>
        <v>2203.58</v>
      </c>
      <c r="I1045" s="5">
        <f>IFERROR(__xludf.DUMMYFUNCTION("""COMPUTED_VALUE"""),367.27)</f>
        <v>367.27</v>
      </c>
      <c r="J1045" s="5">
        <f>IFERROR(__xludf.DUMMYFUNCTION("""COMPUTED_VALUE"""),4664.84)</f>
        <v>4664.84</v>
      </c>
      <c r="K1045" s="5">
        <f>IFERROR(__xludf.DUMMYFUNCTION("""COMPUTED_VALUE"""),3471.07)</f>
        <v>3471.07</v>
      </c>
      <c r="L1045" s="4">
        <f>IFERROR(__xludf.DUMMYFUNCTION("""COMPUTED_VALUE"""),8.0)</f>
        <v>8</v>
      </c>
      <c r="M1045" s="4">
        <f>IFERROR(__xludf.DUMMYFUNCTION("""COMPUTED_VALUE"""),97.0)</f>
        <v>97</v>
      </c>
      <c r="N1045" s="2" t="str">
        <f>IFERROR(__xludf.DUMMYFUNCTION("""COMPUTED_VALUE"""),"FALSO")</f>
        <v>FALSO</v>
      </c>
    </row>
    <row r="1046">
      <c r="A1046" s="2">
        <f>IFERROR(__xludf.DUMMYFUNCTION("""COMPUTED_VALUE"""),1045.0)</f>
        <v>1045</v>
      </c>
      <c r="B1046" s="2" t="str">
        <f>IFERROR(__xludf.DUMMYFUNCTION("""COMPUTED_VALUE"""),"Barbara Surcombe")</f>
        <v>Barbara Surcombe</v>
      </c>
      <c r="C1046" s="2" t="str">
        <f>IFERROR(__xludf.DUMMYFUNCTION("""COMPUTED_VALUE"""),"bsurcombe19@tripod.com")</f>
        <v>bsurcombe19@tripod.com</v>
      </c>
      <c r="D1046" s="4">
        <f>IFERROR(__xludf.DUMMYFUNCTION("""COMPUTED_VALUE"""),124.0)</f>
        <v>124</v>
      </c>
      <c r="E1046" s="4">
        <f>IFERROR(__xludf.DUMMYFUNCTION("""COMPUTED_VALUE"""),81.0)</f>
        <v>81</v>
      </c>
      <c r="F1046" s="4">
        <f>IFERROR(__xludf.DUMMYFUNCTION("""COMPUTED_VALUE"""),2.0)</f>
        <v>2</v>
      </c>
      <c r="G1046" s="4">
        <f>IFERROR(__xludf.DUMMYFUNCTION("""COMPUTED_VALUE"""),1551.0)</f>
        <v>1551</v>
      </c>
      <c r="H1046" s="5">
        <f>IFERROR(__xludf.DUMMYFUNCTION("""COMPUTED_VALUE"""),9030.68)</f>
        <v>9030.68</v>
      </c>
      <c r="I1046" s="5">
        <f>IFERROR(__xludf.DUMMYFUNCTION("""COMPUTED_VALUE"""),8802.23)</f>
        <v>8802.23</v>
      </c>
      <c r="J1046" s="5">
        <f>IFERROR(__xludf.DUMMYFUNCTION("""COMPUTED_VALUE"""),3788.26)</f>
        <v>3788.26</v>
      </c>
      <c r="K1046" s="5">
        <f>IFERROR(__xludf.DUMMYFUNCTION("""COMPUTED_VALUE"""),1211.87)</f>
        <v>1211.87</v>
      </c>
      <c r="L1046" s="4">
        <f>IFERROR(__xludf.DUMMYFUNCTION("""COMPUTED_VALUE"""),1.0)</f>
        <v>1</v>
      </c>
      <c r="M1046" s="4">
        <f>IFERROR(__xludf.DUMMYFUNCTION("""COMPUTED_VALUE"""),5.0)</f>
        <v>5</v>
      </c>
      <c r="N1046" s="2" t="str">
        <f>IFERROR(__xludf.DUMMYFUNCTION("""COMPUTED_VALUE"""),"FALSO")</f>
        <v>FALSO</v>
      </c>
    </row>
    <row r="1047">
      <c r="A1047" s="2">
        <f>IFERROR(__xludf.DUMMYFUNCTION("""COMPUTED_VALUE"""),1046.0)</f>
        <v>1046</v>
      </c>
      <c r="B1047" s="2" t="str">
        <f>IFERROR(__xludf.DUMMYFUNCTION("""COMPUTED_VALUE"""),"Janina Westpfel")</f>
        <v>Janina Westpfel</v>
      </c>
      <c r="C1047" s="2" t="str">
        <f>IFERROR(__xludf.DUMMYFUNCTION("""COMPUTED_VALUE"""),"jwestpfel1a@vistaprint.com")</f>
        <v>jwestpfel1a@vistaprint.com</v>
      </c>
      <c r="D1047" s="4">
        <f>IFERROR(__xludf.DUMMYFUNCTION("""COMPUTED_VALUE"""),29.0)</f>
        <v>29</v>
      </c>
      <c r="E1047" s="4">
        <f>IFERROR(__xludf.DUMMYFUNCTION("""COMPUTED_VALUE"""),11.0)</f>
        <v>11</v>
      </c>
      <c r="F1047" s="4">
        <f>IFERROR(__xludf.DUMMYFUNCTION("""COMPUTED_VALUE"""),13.0)</f>
        <v>13</v>
      </c>
      <c r="G1047" s="4">
        <f>IFERROR(__xludf.DUMMYFUNCTION("""COMPUTED_VALUE"""),1569.0)</f>
        <v>1569</v>
      </c>
      <c r="H1047" s="5">
        <f>IFERROR(__xludf.DUMMYFUNCTION("""COMPUTED_VALUE"""),8258.8)</f>
        <v>8258.8</v>
      </c>
      <c r="I1047" s="5">
        <f>IFERROR(__xludf.DUMMYFUNCTION("""COMPUTED_VALUE"""),4061.14)</f>
        <v>4061.14</v>
      </c>
      <c r="J1047" s="5">
        <f>IFERROR(__xludf.DUMMYFUNCTION("""COMPUTED_VALUE"""),5783.49)</f>
        <v>5783.49</v>
      </c>
      <c r="K1047" s="5">
        <f>IFERROR(__xludf.DUMMYFUNCTION("""COMPUTED_VALUE"""),4334.43)</f>
        <v>4334.43</v>
      </c>
      <c r="L1047" s="4">
        <f>IFERROR(__xludf.DUMMYFUNCTION("""COMPUTED_VALUE"""),7.0)</f>
        <v>7</v>
      </c>
      <c r="M1047" s="4">
        <f>IFERROR(__xludf.DUMMYFUNCTION("""COMPUTED_VALUE"""),43.0)</f>
        <v>43</v>
      </c>
      <c r="N1047" s="2" t="str">
        <f>IFERROR(__xludf.DUMMYFUNCTION("""COMPUTED_VALUE"""),"FALSO")</f>
        <v>FALSO</v>
      </c>
    </row>
    <row r="1048">
      <c r="A1048" s="2">
        <f>IFERROR(__xludf.DUMMYFUNCTION("""COMPUTED_VALUE"""),1047.0)</f>
        <v>1047</v>
      </c>
      <c r="B1048" s="2" t="str">
        <f>IFERROR(__xludf.DUMMYFUNCTION("""COMPUTED_VALUE"""),"Norma Dauncey")</f>
        <v>Norma Dauncey</v>
      </c>
      <c r="C1048" s="2" t="str">
        <f>IFERROR(__xludf.DUMMYFUNCTION("""COMPUTED_VALUE"""),"ndauncey1b@google.ca")</f>
        <v>ndauncey1b@google.ca</v>
      </c>
      <c r="D1048" s="4">
        <f>IFERROR(__xludf.DUMMYFUNCTION("""COMPUTED_VALUE"""),65.0)</f>
        <v>65</v>
      </c>
      <c r="E1048" s="4">
        <f>IFERROR(__xludf.DUMMYFUNCTION("""COMPUTED_VALUE"""),66.0)</f>
        <v>66</v>
      </c>
      <c r="F1048" s="4">
        <f>IFERROR(__xludf.DUMMYFUNCTION("""COMPUTED_VALUE"""),6.0)</f>
        <v>6</v>
      </c>
      <c r="G1048" s="4">
        <f>IFERROR(__xludf.DUMMYFUNCTION("""COMPUTED_VALUE"""),980.0)</f>
        <v>980</v>
      </c>
      <c r="H1048" s="5">
        <f>IFERROR(__xludf.DUMMYFUNCTION("""COMPUTED_VALUE"""),923.35)</f>
        <v>923.35</v>
      </c>
      <c r="I1048" s="5">
        <f>IFERROR(__xludf.DUMMYFUNCTION("""COMPUTED_VALUE"""),4676.22)</f>
        <v>4676.22</v>
      </c>
      <c r="J1048" s="5">
        <f>IFERROR(__xludf.DUMMYFUNCTION("""COMPUTED_VALUE"""),3388.25)</f>
        <v>3388.25</v>
      </c>
      <c r="K1048" s="5">
        <f>IFERROR(__xludf.DUMMYFUNCTION("""COMPUTED_VALUE"""),6692.31)</f>
        <v>6692.31</v>
      </c>
      <c r="L1048" s="4">
        <f>IFERROR(__xludf.DUMMYFUNCTION("""COMPUTED_VALUE"""),6.0)</f>
        <v>6</v>
      </c>
      <c r="M1048" s="4">
        <f>IFERROR(__xludf.DUMMYFUNCTION("""COMPUTED_VALUE"""),49.0)</f>
        <v>49</v>
      </c>
      <c r="N1048" s="2" t="str">
        <f>IFERROR(__xludf.DUMMYFUNCTION("""COMPUTED_VALUE"""),"VERDADERO")</f>
        <v>VERDADERO</v>
      </c>
    </row>
    <row r="1049">
      <c r="A1049" s="2">
        <f>IFERROR(__xludf.DUMMYFUNCTION("""COMPUTED_VALUE"""),1048.0)</f>
        <v>1048</v>
      </c>
      <c r="B1049" s="2" t="str">
        <f>IFERROR(__xludf.DUMMYFUNCTION("""COMPUTED_VALUE"""),"Dwain Greave")</f>
        <v>Dwain Greave</v>
      </c>
      <c r="C1049" s="2" t="str">
        <f>IFERROR(__xludf.DUMMYFUNCTION("""COMPUTED_VALUE"""),"dgreave1c@g.co")</f>
        <v>dgreave1c@g.co</v>
      </c>
      <c r="D1049" s="4">
        <f>IFERROR(__xludf.DUMMYFUNCTION("""COMPUTED_VALUE"""),99.0)</f>
        <v>99</v>
      </c>
      <c r="E1049" s="4">
        <f>IFERROR(__xludf.DUMMYFUNCTION("""COMPUTED_VALUE"""),102.0)</f>
        <v>102</v>
      </c>
      <c r="F1049" s="4">
        <f>IFERROR(__xludf.DUMMYFUNCTION("""COMPUTED_VALUE"""),4.0)</f>
        <v>4</v>
      </c>
      <c r="G1049" s="4">
        <f>IFERROR(__xludf.DUMMYFUNCTION("""COMPUTED_VALUE"""),692.0)</f>
        <v>692</v>
      </c>
      <c r="H1049" s="5">
        <f>IFERROR(__xludf.DUMMYFUNCTION("""COMPUTED_VALUE"""),7178.73)</f>
        <v>7178.73</v>
      </c>
      <c r="I1049" s="5">
        <f>IFERROR(__xludf.DUMMYFUNCTION("""COMPUTED_VALUE"""),7437.53)</f>
        <v>7437.53</v>
      </c>
      <c r="J1049" s="5">
        <f>IFERROR(__xludf.DUMMYFUNCTION("""COMPUTED_VALUE"""),2214.99)</f>
        <v>2214.99</v>
      </c>
      <c r="K1049" s="5">
        <f>IFERROR(__xludf.DUMMYFUNCTION("""COMPUTED_VALUE"""),2203.48)</f>
        <v>2203.48</v>
      </c>
      <c r="L1049" s="4">
        <f>IFERROR(__xludf.DUMMYFUNCTION("""COMPUTED_VALUE"""),8.0)</f>
        <v>8</v>
      </c>
      <c r="M1049" s="4">
        <f>IFERROR(__xludf.DUMMYFUNCTION("""COMPUTED_VALUE"""),74.0)</f>
        <v>74</v>
      </c>
      <c r="N1049" s="2" t="str">
        <f>IFERROR(__xludf.DUMMYFUNCTION("""COMPUTED_VALUE"""),"VERDADERO")</f>
        <v>VERDADERO</v>
      </c>
    </row>
    <row r="1050">
      <c r="A1050" s="2">
        <f>IFERROR(__xludf.DUMMYFUNCTION("""COMPUTED_VALUE"""),1049.0)</f>
        <v>1049</v>
      </c>
      <c r="B1050" s="2" t="str">
        <f>IFERROR(__xludf.DUMMYFUNCTION("""COMPUTED_VALUE"""),"Lacy Tapson")</f>
        <v>Lacy Tapson</v>
      </c>
      <c r="C1050" s="2" t="str">
        <f>IFERROR(__xludf.DUMMYFUNCTION("""COMPUTED_VALUE"""),"ltapson1d@ebay.com")</f>
        <v>ltapson1d@ebay.com</v>
      </c>
      <c r="D1050" s="4">
        <f>IFERROR(__xludf.DUMMYFUNCTION("""COMPUTED_VALUE"""),42.0)</f>
        <v>42</v>
      </c>
      <c r="E1050" s="4">
        <f>IFERROR(__xludf.DUMMYFUNCTION("""COMPUTED_VALUE"""),82.0)</f>
        <v>82</v>
      </c>
      <c r="F1050" s="4">
        <f>IFERROR(__xludf.DUMMYFUNCTION("""COMPUTED_VALUE"""),1.0)</f>
        <v>1</v>
      </c>
      <c r="G1050" s="4">
        <f>IFERROR(__xludf.DUMMYFUNCTION("""COMPUTED_VALUE"""),76.0)</f>
        <v>76</v>
      </c>
      <c r="H1050" s="5">
        <f>IFERROR(__xludf.DUMMYFUNCTION("""COMPUTED_VALUE"""),2508.22)</f>
        <v>2508.22</v>
      </c>
      <c r="I1050" s="5">
        <f>IFERROR(__xludf.DUMMYFUNCTION("""COMPUTED_VALUE"""),2768.21)</f>
        <v>2768.21</v>
      </c>
      <c r="J1050" s="5">
        <f>IFERROR(__xludf.DUMMYFUNCTION("""COMPUTED_VALUE"""),9993.91)</f>
        <v>9993.91</v>
      </c>
      <c r="K1050" s="5">
        <f>IFERROR(__xludf.DUMMYFUNCTION("""COMPUTED_VALUE"""),6008.86)</f>
        <v>6008.86</v>
      </c>
      <c r="L1050" s="4">
        <f>IFERROR(__xludf.DUMMYFUNCTION("""COMPUTED_VALUE"""),12.0)</f>
        <v>12</v>
      </c>
      <c r="M1050" s="4">
        <f>IFERROR(__xludf.DUMMYFUNCTION("""COMPUTED_VALUE"""),84.0)</f>
        <v>84</v>
      </c>
      <c r="N1050" s="2" t="str">
        <f>IFERROR(__xludf.DUMMYFUNCTION("""COMPUTED_VALUE"""),"FALSO")</f>
        <v>FALSO</v>
      </c>
    </row>
    <row r="1051">
      <c r="A1051" s="2">
        <f>IFERROR(__xludf.DUMMYFUNCTION("""COMPUTED_VALUE"""),1050.0)</f>
        <v>1050</v>
      </c>
      <c r="B1051" s="2" t="str">
        <f>IFERROR(__xludf.DUMMYFUNCTION("""COMPUTED_VALUE"""),"Patten Ruffey")</f>
        <v>Patten Ruffey</v>
      </c>
      <c r="C1051" s="2" t="str">
        <f>IFERROR(__xludf.DUMMYFUNCTION("""COMPUTED_VALUE"""),"pruffey1e@pbs.org")</f>
        <v>pruffey1e@pbs.org</v>
      </c>
      <c r="D1051" s="4">
        <f>IFERROR(__xludf.DUMMYFUNCTION("""COMPUTED_VALUE"""),55.0)</f>
        <v>55</v>
      </c>
      <c r="E1051" s="4">
        <f>IFERROR(__xludf.DUMMYFUNCTION("""COMPUTED_VALUE"""),65.0)</f>
        <v>65</v>
      </c>
      <c r="F1051" s="4">
        <f>IFERROR(__xludf.DUMMYFUNCTION("""COMPUTED_VALUE"""),9.0)</f>
        <v>9</v>
      </c>
      <c r="G1051" s="4">
        <f>IFERROR(__xludf.DUMMYFUNCTION("""COMPUTED_VALUE"""),1417.0)</f>
        <v>1417</v>
      </c>
      <c r="H1051" s="5">
        <f>IFERROR(__xludf.DUMMYFUNCTION("""COMPUTED_VALUE"""),321.45)</f>
        <v>321.45</v>
      </c>
      <c r="I1051" s="5">
        <f>IFERROR(__xludf.DUMMYFUNCTION("""COMPUTED_VALUE"""),2545.67)</f>
        <v>2545.67</v>
      </c>
      <c r="J1051" s="5">
        <f>IFERROR(__xludf.DUMMYFUNCTION("""COMPUTED_VALUE"""),4137.18)</f>
        <v>4137.18</v>
      </c>
      <c r="K1051" s="5">
        <f>IFERROR(__xludf.DUMMYFUNCTION("""COMPUTED_VALUE"""),3874.09)</f>
        <v>3874.09</v>
      </c>
      <c r="L1051" s="4">
        <f>IFERROR(__xludf.DUMMYFUNCTION("""COMPUTED_VALUE"""),17.0)</f>
        <v>17</v>
      </c>
      <c r="M1051" s="4">
        <f>IFERROR(__xludf.DUMMYFUNCTION("""COMPUTED_VALUE"""),67.0)</f>
        <v>67</v>
      </c>
      <c r="N1051" s="2" t="str">
        <f>IFERROR(__xludf.DUMMYFUNCTION("""COMPUTED_VALUE"""),"FALSO")</f>
        <v>FALSO</v>
      </c>
    </row>
    <row r="1052">
      <c r="A1052" s="2">
        <f>IFERROR(__xludf.DUMMYFUNCTION("""COMPUTED_VALUE"""),1051.0)</f>
        <v>1051</v>
      </c>
      <c r="B1052" s="2" t="str">
        <f>IFERROR(__xludf.DUMMYFUNCTION("""COMPUTED_VALUE"""),"Edin Haibel")</f>
        <v>Edin Haibel</v>
      </c>
      <c r="C1052" s="2" t="str">
        <f>IFERROR(__xludf.DUMMYFUNCTION("""COMPUTED_VALUE"""),"ehaibel1f@va.gov")</f>
        <v>ehaibel1f@va.gov</v>
      </c>
      <c r="D1052" s="4">
        <f>IFERROR(__xludf.DUMMYFUNCTION("""COMPUTED_VALUE"""),94.0)</f>
        <v>94</v>
      </c>
      <c r="E1052" s="4">
        <f>IFERROR(__xludf.DUMMYFUNCTION("""COMPUTED_VALUE"""),81.0)</f>
        <v>81</v>
      </c>
      <c r="F1052" s="4">
        <f>IFERROR(__xludf.DUMMYFUNCTION("""COMPUTED_VALUE"""),2.0)</f>
        <v>2</v>
      </c>
      <c r="G1052" s="4">
        <f>IFERROR(__xludf.DUMMYFUNCTION("""COMPUTED_VALUE"""),42.0)</f>
        <v>42</v>
      </c>
      <c r="H1052" s="5">
        <f>IFERROR(__xludf.DUMMYFUNCTION("""COMPUTED_VALUE"""),5617.47)</f>
        <v>5617.47</v>
      </c>
      <c r="I1052" s="5">
        <f>IFERROR(__xludf.DUMMYFUNCTION("""COMPUTED_VALUE"""),2162.51)</f>
        <v>2162.51</v>
      </c>
      <c r="J1052" s="5">
        <f>IFERROR(__xludf.DUMMYFUNCTION("""COMPUTED_VALUE"""),5691.88)</f>
        <v>5691.88</v>
      </c>
      <c r="K1052" s="5">
        <f>IFERROR(__xludf.DUMMYFUNCTION("""COMPUTED_VALUE"""),5712.07)</f>
        <v>5712.07</v>
      </c>
      <c r="L1052" s="4">
        <f>IFERROR(__xludf.DUMMYFUNCTION("""COMPUTED_VALUE"""),10.0)</f>
        <v>10</v>
      </c>
      <c r="M1052" s="4">
        <f>IFERROR(__xludf.DUMMYFUNCTION("""COMPUTED_VALUE"""),95.0)</f>
        <v>95</v>
      </c>
      <c r="N1052" s="2" t="str">
        <f>IFERROR(__xludf.DUMMYFUNCTION("""COMPUTED_VALUE"""),"VERDADERO")</f>
        <v>VERDADERO</v>
      </c>
    </row>
    <row r="1053">
      <c r="A1053" s="2">
        <f>IFERROR(__xludf.DUMMYFUNCTION("""COMPUTED_VALUE"""),1052.0)</f>
        <v>1052</v>
      </c>
      <c r="B1053" s="2" t="str">
        <f>IFERROR(__xludf.DUMMYFUNCTION("""COMPUTED_VALUE"""),"Annadiane Werrit")</f>
        <v>Annadiane Werrit</v>
      </c>
      <c r="C1053" s="2" t="str">
        <f>IFERROR(__xludf.DUMMYFUNCTION("""COMPUTED_VALUE"""),"awerrit1g@live.com")</f>
        <v>awerrit1g@live.com</v>
      </c>
      <c r="D1053" s="4">
        <f>IFERROR(__xludf.DUMMYFUNCTION("""COMPUTED_VALUE"""),29.0)</f>
        <v>29</v>
      </c>
      <c r="E1053" s="4">
        <f>IFERROR(__xludf.DUMMYFUNCTION("""COMPUTED_VALUE"""),58.0)</f>
        <v>58</v>
      </c>
      <c r="F1053" s="4">
        <f>IFERROR(__xludf.DUMMYFUNCTION("""COMPUTED_VALUE"""),8.0)</f>
        <v>8</v>
      </c>
      <c r="G1053" s="4">
        <f>IFERROR(__xludf.DUMMYFUNCTION("""COMPUTED_VALUE"""),725.0)</f>
        <v>725</v>
      </c>
      <c r="H1053" s="5">
        <f>IFERROR(__xludf.DUMMYFUNCTION("""COMPUTED_VALUE"""),3902.26)</f>
        <v>3902.26</v>
      </c>
      <c r="I1053" s="5">
        <f>IFERROR(__xludf.DUMMYFUNCTION("""COMPUTED_VALUE"""),2529.54)</f>
        <v>2529.54</v>
      </c>
      <c r="J1053" s="5">
        <f>IFERROR(__xludf.DUMMYFUNCTION("""COMPUTED_VALUE"""),5279.01)</f>
        <v>5279.01</v>
      </c>
      <c r="K1053" s="5">
        <f>IFERROR(__xludf.DUMMYFUNCTION("""COMPUTED_VALUE"""),5855.08)</f>
        <v>5855.08</v>
      </c>
      <c r="L1053" s="4">
        <f>IFERROR(__xludf.DUMMYFUNCTION("""COMPUTED_VALUE"""),11.0)</f>
        <v>11</v>
      </c>
      <c r="M1053" s="4">
        <f>IFERROR(__xludf.DUMMYFUNCTION("""COMPUTED_VALUE"""),38.0)</f>
        <v>38</v>
      </c>
      <c r="N1053" s="2" t="str">
        <f>IFERROR(__xludf.DUMMYFUNCTION("""COMPUTED_VALUE"""),"FALSO")</f>
        <v>FALSO</v>
      </c>
    </row>
    <row r="1054">
      <c r="A1054" s="2">
        <f>IFERROR(__xludf.DUMMYFUNCTION("""COMPUTED_VALUE"""),1053.0)</f>
        <v>1053</v>
      </c>
      <c r="B1054" s="2" t="str">
        <f>IFERROR(__xludf.DUMMYFUNCTION("""COMPUTED_VALUE"""),"Anthea Zorzin")</f>
        <v>Anthea Zorzin</v>
      </c>
      <c r="C1054" s="2" t="str">
        <f>IFERROR(__xludf.DUMMYFUNCTION("""COMPUTED_VALUE"""),"azorzin1h@chron.com")</f>
        <v>azorzin1h@chron.com</v>
      </c>
      <c r="D1054" s="4">
        <f>IFERROR(__xludf.DUMMYFUNCTION("""COMPUTED_VALUE"""),128.0)</f>
        <v>128</v>
      </c>
      <c r="E1054" s="4">
        <f>IFERROR(__xludf.DUMMYFUNCTION("""COMPUTED_VALUE"""),12.0)</f>
        <v>12</v>
      </c>
      <c r="F1054" s="4">
        <f>IFERROR(__xludf.DUMMYFUNCTION("""COMPUTED_VALUE"""),6.0)</f>
        <v>6</v>
      </c>
      <c r="G1054" s="4">
        <f>IFERROR(__xludf.DUMMYFUNCTION("""COMPUTED_VALUE"""),400.0)</f>
        <v>400</v>
      </c>
      <c r="H1054" s="5">
        <f>IFERROR(__xludf.DUMMYFUNCTION("""COMPUTED_VALUE"""),9507.23)</f>
        <v>9507.23</v>
      </c>
      <c r="I1054" s="5">
        <f>IFERROR(__xludf.DUMMYFUNCTION("""COMPUTED_VALUE"""),7766.32)</f>
        <v>7766.32</v>
      </c>
      <c r="J1054" s="5">
        <f>IFERROR(__xludf.DUMMYFUNCTION("""COMPUTED_VALUE"""),1680.21)</f>
        <v>1680.21</v>
      </c>
      <c r="K1054" s="5">
        <f>IFERROR(__xludf.DUMMYFUNCTION("""COMPUTED_VALUE"""),6838.13)</f>
        <v>6838.13</v>
      </c>
      <c r="L1054" s="4">
        <f>IFERROR(__xludf.DUMMYFUNCTION("""COMPUTED_VALUE"""),14.0)</f>
        <v>14</v>
      </c>
      <c r="M1054" s="4">
        <f>IFERROR(__xludf.DUMMYFUNCTION("""COMPUTED_VALUE"""),53.0)</f>
        <v>53</v>
      </c>
      <c r="N1054" s="2" t="str">
        <f>IFERROR(__xludf.DUMMYFUNCTION("""COMPUTED_VALUE"""),"FALSO")</f>
        <v>FALSO</v>
      </c>
    </row>
    <row r="1055">
      <c r="A1055" s="2">
        <f>IFERROR(__xludf.DUMMYFUNCTION("""COMPUTED_VALUE"""),1054.0)</f>
        <v>1054</v>
      </c>
      <c r="B1055" s="2" t="str">
        <f>IFERROR(__xludf.DUMMYFUNCTION("""COMPUTED_VALUE"""),"Chevy Barrick")</f>
        <v>Chevy Barrick</v>
      </c>
      <c r="C1055" s="2" t="str">
        <f>IFERROR(__xludf.DUMMYFUNCTION("""COMPUTED_VALUE"""),"cbarrick1i@springer.com")</f>
        <v>cbarrick1i@springer.com</v>
      </c>
      <c r="D1055" s="4">
        <f>IFERROR(__xludf.DUMMYFUNCTION("""COMPUTED_VALUE"""),142.0)</f>
        <v>142</v>
      </c>
      <c r="E1055" s="4">
        <f>IFERROR(__xludf.DUMMYFUNCTION("""COMPUTED_VALUE"""),81.0)</f>
        <v>81</v>
      </c>
      <c r="F1055" s="4">
        <f>IFERROR(__xludf.DUMMYFUNCTION("""COMPUTED_VALUE"""),2.0)</f>
        <v>2</v>
      </c>
      <c r="G1055" s="4">
        <f>IFERROR(__xludf.DUMMYFUNCTION("""COMPUTED_VALUE"""),1007.0)</f>
        <v>1007</v>
      </c>
      <c r="H1055" s="5">
        <f>IFERROR(__xludf.DUMMYFUNCTION("""COMPUTED_VALUE"""),5140.32)</f>
        <v>5140.32</v>
      </c>
      <c r="I1055" s="5">
        <f>IFERROR(__xludf.DUMMYFUNCTION("""COMPUTED_VALUE"""),5807.04)</f>
        <v>5807.04</v>
      </c>
      <c r="J1055" s="5">
        <f>IFERROR(__xludf.DUMMYFUNCTION("""COMPUTED_VALUE"""),5544.97)</f>
        <v>5544.97</v>
      </c>
      <c r="K1055" s="5">
        <f>IFERROR(__xludf.DUMMYFUNCTION("""COMPUTED_VALUE"""),698.41)</f>
        <v>698.41</v>
      </c>
      <c r="L1055" s="4">
        <f>IFERROR(__xludf.DUMMYFUNCTION("""COMPUTED_VALUE"""),17.0)</f>
        <v>17</v>
      </c>
      <c r="M1055" s="4">
        <f>IFERROR(__xludf.DUMMYFUNCTION("""COMPUTED_VALUE"""),74.0)</f>
        <v>74</v>
      </c>
      <c r="N1055" s="2" t="str">
        <f>IFERROR(__xludf.DUMMYFUNCTION("""COMPUTED_VALUE"""),"VERDADERO")</f>
        <v>VERDADERO</v>
      </c>
    </row>
    <row r="1056">
      <c r="A1056" s="2">
        <f>IFERROR(__xludf.DUMMYFUNCTION("""COMPUTED_VALUE"""),1055.0)</f>
        <v>1055</v>
      </c>
      <c r="B1056" s="2" t="str">
        <f>IFERROR(__xludf.DUMMYFUNCTION("""COMPUTED_VALUE"""),"Genny Notman")</f>
        <v>Genny Notman</v>
      </c>
      <c r="C1056" s="2" t="str">
        <f>IFERROR(__xludf.DUMMYFUNCTION("""COMPUTED_VALUE"""),"gnotman1j@cocolog-nifty.com")</f>
        <v>gnotman1j@cocolog-nifty.com</v>
      </c>
      <c r="D1056" s="4">
        <f>IFERROR(__xludf.DUMMYFUNCTION("""COMPUTED_VALUE"""),120.0)</f>
        <v>120</v>
      </c>
      <c r="E1056" s="4">
        <f>IFERROR(__xludf.DUMMYFUNCTION("""COMPUTED_VALUE"""),71.0)</f>
        <v>71</v>
      </c>
      <c r="F1056" s="4">
        <f>IFERROR(__xludf.DUMMYFUNCTION("""COMPUTED_VALUE"""),6.0)</f>
        <v>6</v>
      </c>
      <c r="G1056" s="4">
        <f>IFERROR(__xludf.DUMMYFUNCTION("""COMPUTED_VALUE"""),912.0)</f>
        <v>912</v>
      </c>
      <c r="H1056" s="5">
        <f>IFERROR(__xludf.DUMMYFUNCTION("""COMPUTED_VALUE"""),8680.8)</f>
        <v>8680.8</v>
      </c>
      <c r="I1056" s="5">
        <f>IFERROR(__xludf.DUMMYFUNCTION("""COMPUTED_VALUE"""),8512.24)</f>
        <v>8512.24</v>
      </c>
      <c r="J1056" s="5">
        <f>IFERROR(__xludf.DUMMYFUNCTION("""COMPUTED_VALUE"""),7968.63)</f>
        <v>7968.63</v>
      </c>
      <c r="K1056" s="5">
        <f>IFERROR(__xludf.DUMMYFUNCTION("""COMPUTED_VALUE"""),8634.46)</f>
        <v>8634.46</v>
      </c>
      <c r="L1056" s="4">
        <f>IFERROR(__xludf.DUMMYFUNCTION("""COMPUTED_VALUE"""),10.0)</f>
        <v>10</v>
      </c>
      <c r="M1056" s="4">
        <f>IFERROR(__xludf.DUMMYFUNCTION("""COMPUTED_VALUE"""),72.0)</f>
        <v>72</v>
      </c>
      <c r="N1056" s="2" t="str">
        <f>IFERROR(__xludf.DUMMYFUNCTION("""COMPUTED_VALUE"""),"VERDADERO")</f>
        <v>VERDADERO</v>
      </c>
    </row>
    <row r="1057">
      <c r="A1057" s="2">
        <f>IFERROR(__xludf.DUMMYFUNCTION("""COMPUTED_VALUE"""),1056.0)</f>
        <v>1056</v>
      </c>
      <c r="B1057" s="2" t="str">
        <f>IFERROR(__xludf.DUMMYFUNCTION("""COMPUTED_VALUE"""),"Winnifred Roaf")</f>
        <v>Winnifred Roaf</v>
      </c>
      <c r="C1057" s="2" t="str">
        <f>IFERROR(__xludf.DUMMYFUNCTION("""COMPUTED_VALUE"""),"wroaf1k@skyrock.com")</f>
        <v>wroaf1k@skyrock.com</v>
      </c>
      <c r="D1057" s="4">
        <f>IFERROR(__xludf.DUMMYFUNCTION("""COMPUTED_VALUE"""),130.0)</f>
        <v>130</v>
      </c>
      <c r="E1057" s="4">
        <f>IFERROR(__xludf.DUMMYFUNCTION("""COMPUTED_VALUE"""),48.0)</f>
        <v>48</v>
      </c>
      <c r="F1057" s="4">
        <f>IFERROR(__xludf.DUMMYFUNCTION("""COMPUTED_VALUE"""),4.0)</f>
        <v>4</v>
      </c>
      <c r="G1057" s="4">
        <f>IFERROR(__xludf.DUMMYFUNCTION("""COMPUTED_VALUE"""),1272.0)</f>
        <v>1272</v>
      </c>
      <c r="H1057" s="5">
        <f>IFERROR(__xludf.DUMMYFUNCTION("""COMPUTED_VALUE"""),3193.04)</f>
        <v>3193.04</v>
      </c>
      <c r="I1057" s="5">
        <f>IFERROR(__xludf.DUMMYFUNCTION("""COMPUTED_VALUE"""),7278.21)</f>
        <v>7278.21</v>
      </c>
      <c r="J1057" s="5">
        <f>IFERROR(__xludf.DUMMYFUNCTION("""COMPUTED_VALUE"""),1426.57)</f>
        <v>1426.57</v>
      </c>
      <c r="K1057" s="5">
        <f>IFERROR(__xludf.DUMMYFUNCTION("""COMPUTED_VALUE"""),928.51)</f>
        <v>928.51</v>
      </c>
      <c r="L1057" s="4">
        <f>IFERROR(__xludf.DUMMYFUNCTION("""COMPUTED_VALUE"""),18.0)</f>
        <v>18</v>
      </c>
      <c r="M1057" s="4">
        <f>IFERROR(__xludf.DUMMYFUNCTION("""COMPUTED_VALUE"""),87.0)</f>
        <v>87</v>
      </c>
      <c r="N1057" s="2" t="str">
        <f>IFERROR(__xludf.DUMMYFUNCTION("""COMPUTED_VALUE"""),"VERDADERO")</f>
        <v>VERDADERO</v>
      </c>
    </row>
    <row r="1058">
      <c r="A1058" s="2">
        <f>IFERROR(__xludf.DUMMYFUNCTION("""COMPUTED_VALUE"""),1057.0)</f>
        <v>1057</v>
      </c>
      <c r="B1058" s="2" t="str">
        <f>IFERROR(__xludf.DUMMYFUNCTION("""COMPUTED_VALUE"""),"Karia Duffield")</f>
        <v>Karia Duffield</v>
      </c>
      <c r="C1058" s="2" t="str">
        <f>IFERROR(__xludf.DUMMYFUNCTION("""COMPUTED_VALUE"""),"kduffield1l@360.cn")</f>
        <v>kduffield1l@360.cn</v>
      </c>
      <c r="D1058" s="4">
        <f>IFERROR(__xludf.DUMMYFUNCTION("""COMPUTED_VALUE"""),17.0)</f>
        <v>17</v>
      </c>
      <c r="E1058" s="4">
        <f>IFERROR(__xludf.DUMMYFUNCTION("""COMPUTED_VALUE"""),66.0)</f>
        <v>66</v>
      </c>
      <c r="F1058" s="4">
        <f>IFERROR(__xludf.DUMMYFUNCTION("""COMPUTED_VALUE"""),6.0)</f>
        <v>6</v>
      </c>
      <c r="G1058" s="4">
        <f>IFERROR(__xludf.DUMMYFUNCTION("""COMPUTED_VALUE"""),891.0)</f>
        <v>891</v>
      </c>
      <c r="H1058" s="5">
        <f>IFERROR(__xludf.DUMMYFUNCTION("""COMPUTED_VALUE"""),574.93)</f>
        <v>574.93</v>
      </c>
      <c r="I1058" s="5">
        <f>IFERROR(__xludf.DUMMYFUNCTION("""COMPUTED_VALUE"""),1179.39)</f>
        <v>1179.39</v>
      </c>
      <c r="J1058" s="5">
        <f>IFERROR(__xludf.DUMMYFUNCTION("""COMPUTED_VALUE"""),8602.22)</f>
        <v>8602.22</v>
      </c>
      <c r="K1058" s="5">
        <f>IFERROR(__xludf.DUMMYFUNCTION("""COMPUTED_VALUE"""),8961.78)</f>
        <v>8961.78</v>
      </c>
      <c r="L1058" s="4">
        <f>IFERROR(__xludf.DUMMYFUNCTION("""COMPUTED_VALUE"""),15.0)</f>
        <v>15</v>
      </c>
      <c r="M1058" s="4">
        <f>IFERROR(__xludf.DUMMYFUNCTION("""COMPUTED_VALUE"""),28.0)</f>
        <v>28</v>
      </c>
      <c r="N1058" s="2" t="str">
        <f>IFERROR(__xludf.DUMMYFUNCTION("""COMPUTED_VALUE"""),"FALSO")</f>
        <v>FALSO</v>
      </c>
    </row>
    <row r="1059">
      <c r="A1059" s="2">
        <f>IFERROR(__xludf.DUMMYFUNCTION("""COMPUTED_VALUE"""),1058.0)</f>
        <v>1058</v>
      </c>
      <c r="B1059" s="2" t="str">
        <f>IFERROR(__xludf.DUMMYFUNCTION("""COMPUTED_VALUE"""),"Vincents Couzens")</f>
        <v>Vincents Couzens</v>
      </c>
      <c r="C1059" s="2" t="str">
        <f>IFERROR(__xludf.DUMMYFUNCTION("""COMPUTED_VALUE"""),"vcouzens1m@pbs.org")</f>
        <v>vcouzens1m@pbs.org</v>
      </c>
      <c r="D1059" s="4">
        <f>IFERROR(__xludf.DUMMYFUNCTION("""COMPUTED_VALUE"""),108.0)</f>
        <v>108</v>
      </c>
      <c r="E1059" s="4">
        <f>IFERROR(__xludf.DUMMYFUNCTION("""COMPUTED_VALUE"""),46.0)</f>
        <v>46</v>
      </c>
      <c r="F1059" s="4">
        <f>IFERROR(__xludf.DUMMYFUNCTION("""COMPUTED_VALUE"""),13.0)</f>
        <v>13</v>
      </c>
      <c r="G1059" s="4">
        <f>IFERROR(__xludf.DUMMYFUNCTION("""COMPUTED_VALUE"""),1113.0)</f>
        <v>1113</v>
      </c>
      <c r="H1059" s="5">
        <f>IFERROR(__xludf.DUMMYFUNCTION("""COMPUTED_VALUE"""),9596.87)</f>
        <v>9596.87</v>
      </c>
      <c r="I1059" s="5">
        <f>IFERROR(__xludf.DUMMYFUNCTION("""COMPUTED_VALUE"""),1592.45)</f>
        <v>1592.45</v>
      </c>
      <c r="J1059" s="5">
        <f>IFERROR(__xludf.DUMMYFUNCTION("""COMPUTED_VALUE"""),1949.49)</f>
        <v>1949.49</v>
      </c>
      <c r="K1059" s="5">
        <f>IFERROR(__xludf.DUMMYFUNCTION("""COMPUTED_VALUE"""),1173.35)</f>
        <v>1173.35</v>
      </c>
      <c r="L1059" s="4">
        <f>IFERROR(__xludf.DUMMYFUNCTION("""COMPUTED_VALUE"""),17.0)</f>
        <v>17</v>
      </c>
      <c r="M1059" s="4">
        <f>IFERROR(__xludf.DUMMYFUNCTION("""COMPUTED_VALUE"""),18.0)</f>
        <v>18</v>
      </c>
      <c r="N1059" s="2" t="str">
        <f>IFERROR(__xludf.DUMMYFUNCTION("""COMPUTED_VALUE"""),"VERDADERO")</f>
        <v>VERDADERO</v>
      </c>
    </row>
    <row r="1060">
      <c r="A1060" s="2">
        <f>IFERROR(__xludf.DUMMYFUNCTION("""COMPUTED_VALUE"""),1059.0)</f>
        <v>1059</v>
      </c>
      <c r="B1060" s="2" t="str">
        <f>IFERROR(__xludf.DUMMYFUNCTION("""COMPUTED_VALUE"""),"Davy Balsdone")</f>
        <v>Davy Balsdone</v>
      </c>
      <c r="C1060" s="2" t="str">
        <f>IFERROR(__xludf.DUMMYFUNCTION("""COMPUTED_VALUE"""),"dbalsdone1n@cnn.com")</f>
        <v>dbalsdone1n@cnn.com</v>
      </c>
      <c r="D1060" s="4">
        <f>IFERROR(__xludf.DUMMYFUNCTION("""COMPUTED_VALUE"""),29.0)</f>
        <v>29</v>
      </c>
      <c r="E1060" s="4">
        <f>IFERROR(__xludf.DUMMYFUNCTION("""COMPUTED_VALUE"""),86.0)</f>
        <v>86</v>
      </c>
      <c r="F1060" s="4">
        <f>IFERROR(__xludf.DUMMYFUNCTION("""COMPUTED_VALUE"""),7.0)</f>
        <v>7</v>
      </c>
      <c r="G1060" s="4">
        <f>IFERROR(__xludf.DUMMYFUNCTION("""COMPUTED_VALUE"""),252.0)</f>
        <v>252</v>
      </c>
      <c r="H1060" s="5">
        <f>IFERROR(__xludf.DUMMYFUNCTION("""COMPUTED_VALUE"""),5760.65)</f>
        <v>5760.65</v>
      </c>
      <c r="I1060" s="5">
        <f>IFERROR(__xludf.DUMMYFUNCTION("""COMPUTED_VALUE"""),1035.23)</f>
        <v>1035.23</v>
      </c>
      <c r="J1060" s="5">
        <f>IFERROR(__xludf.DUMMYFUNCTION("""COMPUTED_VALUE"""),7227.01)</f>
        <v>7227.01</v>
      </c>
      <c r="K1060" s="5">
        <f>IFERROR(__xludf.DUMMYFUNCTION("""COMPUTED_VALUE"""),163.91)</f>
        <v>163.91</v>
      </c>
      <c r="L1060" s="4">
        <f>IFERROR(__xludf.DUMMYFUNCTION("""COMPUTED_VALUE"""),13.0)</f>
        <v>13</v>
      </c>
      <c r="M1060" s="4">
        <f>IFERROR(__xludf.DUMMYFUNCTION("""COMPUTED_VALUE"""),70.0)</f>
        <v>70</v>
      </c>
      <c r="N1060" s="2" t="str">
        <f>IFERROR(__xludf.DUMMYFUNCTION("""COMPUTED_VALUE"""),"FALSO")</f>
        <v>FALSO</v>
      </c>
    </row>
    <row r="1061">
      <c r="A1061" s="2">
        <f>IFERROR(__xludf.DUMMYFUNCTION("""COMPUTED_VALUE"""),1060.0)</f>
        <v>1060</v>
      </c>
      <c r="B1061" s="2" t="str">
        <f>IFERROR(__xludf.DUMMYFUNCTION("""COMPUTED_VALUE"""),"Carlyle Cullin")</f>
        <v>Carlyle Cullin</v>
      </c>
      <c r="C1061" s="2" t="str">
        <f>IFERROR(__xludf.DUMMYFUNCTION("""COMPUTED_VALUE"""),"ccullin1o@epa.gov")</f>
        <v>ccullin1o@epa.gov</v>
      </c>
      <c r="D1061" s="4">
        <f>IFERROR(__xludf.DUMMYFUNCTION("""COMPUTED_VALUE"""),139.0)</f>
        <v>139</v>
      </c>
      <c r="E1061" s="4">
        <f>IFERROR(__xludf.DUMMYFUNCTION("""COMPUTED_VALUE"""),113.0)</f>
        <v>113</v>
      </c>
      <c r="F1061" s="4">
        <f>IFERROR(__xludf.DUMMYFUNCTION("""COMPUTED_VALUE"""),5.0)</f>
        <v>5</v>
      </c>
      <c r="G1061" s="4">
        <f>IFERROR(__xludf.DUMMYFUNCTION("""COMPUTED_VALUE"""),657.0)</f>
        <v>657</v>
      </c>
      <c r="H1061" s="5">
        <f>IFERROR(__xludf.DUMMYFUNCTION("""COMPUTED_VALUE"""),8818.38)</f>
        <v>8818.38</v>
      </c>
      <c r="I1061" s="5">
        <f>IFERROR(__xludf.DUMMYFUNCTION("""COMPUTED_VALUE"""),5782.45)</f>
        <v>5782.45</v>
      </c>
      <c r="J1061" s="5">
        <f>IFERROR(__xludf.DUMMYFUNCTION("""COMPUTED_VALUE"""),7013.81)</f>
        <v>7013.81</v>
      </c>
      <c r="K1061" s="5">
        <f>IFERROR(__xludf.DUMMYFUNCTION("""COMPUTED_VALUE"""),5128.32)</f>
        <v>5128.32</v>
      </c>
      <c r="L1061" s="4">
        <f>IFERROR(__xludf.DUMMYFUNCTION("""COMPUTED_VALUE"""),8.0)</f>
        <v>8</v>
      </c>
      <c r="M1061" s="4">
        <f>IFERROR(__xludf.DUMMYFUNCTION("""COMPUTED_VALUE"""),91.0)</f>
        <v>91</v>
      </c>
      <c r="N1061" s="2" t="str">
        <f>IFERROR(__xludf.DUMMYFUNCTION("""COMPUTED_VALUE"""),"FALSO")</f>
        <v>FALSO</v>
      </c>
    </row>
    <row r="1062">
      <c r="A1062" s="2">
        <f>IFERROR(__xludf.DUMMYFUNCTION("""COMPUTED_VALUE"""),1061.0)</f>
        <v>1061</v>
      </c>
      <c r="B1062" s="2" t="str">
        <f>IFERROR(__xludf.DUMMYFUNCTION("""COMPUTED_VALUE"""),"Frankie Sadler")</f>
        <v>Frankie Sadler</v>
      </c>
      <c r="C1062" s="2" t="str">
        <f>IFERROR(__xludf.DUMMYFUNCTION("""COMPUTED_VALUE"""),"fsadler1p@goo.ne.jp")</f>
        <v>fsadler1p@goo.ne.jp</v>
      </c>
      <c r="D1062" s="4">
        <f>IFERROR(__xludf.DUMMYFUNCTION("""COMPUTED_VALUE"""),65.0)</f>
        <v>65</v>
      </c>
      <c r="E1062" s="4">
        <f>IFERROR(__xludf.DUMMYFUNCTION("""COMPUTED_VALUE"""),81.0)</f>
        <v>81</v>
      </c>
      <c r="F1062" s="4">
        <f>IFERROR(__xludf.DUMMYFUNCTION("""COMPUTED_VALUE"""),2.0)</f>
        <v>2</v>
      </c>
      <c r="G1062" s="4">
        <f>IFERROR(__xludf.DUMMYFUNCTION("""COMPUTED_VALUE"""),694.0)</f>
        <v>694</v>
      </c>
      <c r="H1062" s="5">
        <f>IFERROR(__xludf.DUMMYFUNCTION("""COMPUTED_VALUE"""),7919.62)</f>
        <v>7919.62</v>
      </c>
      <c r="I1062" s="5">
        <f>IFERROR(__xludf.DUMMYFUNCTION("""COMPUTED_VALUE"""),9871.71)</f>
        <v>9871.71</v>
      </c>
      <c r="J1062" s="5">
        <f>IFERROR(__xludf.DUMMYFUNCTION("""COMPUTED_VALUE"""),4224.15)</f>
        <v>4224.15</v>
      </c>
      <c r="K1062" s="5">
        <f>IFERROR(__xludf.DUMMYFUNCTION("""COMPUTED_VALUE"""),2942.93)</f>
        <v>2942.93</v>
      </c>
      <c r="L1062" s="4">
        <f>IFERROR(__xludf.DUMMYFUNCTION("""COMPUTED_VALUE"""),20.0)</f>
        <v>20</v>
      </c>
      <c r="M1062" s="4">
        <f>IFERROR(__xludf.DUMMYFUNCTION("""COMPUTED_VALUE"""),72.0)</f>
        <v>72</v>
      </c>
      <c r="N1062" s="2" t="str">
        <f>IFERROR(__xludf.DUMMYFUNCTION("""COMPUTED_VALUE"""),"VERDADERO")</f>
        <v>VERDADERO</v>
      </c>
    </row>
    <row r="1063">
      <c r="A1063" s="2">
        <f>IFERROR(__xludf.DUMMYFUNCTION("""COMPUTED_VALUE"""),1062.0)</f>
        <v>1062</v>
      </c>
      <c r="B1063" s="2" t="str">
        <f>IFERROR(__xludf.DUMMYFUNCTION("""COMPUTED_VALUE"""),"Kellen Joule")</f>
        <v>Kellen Joule</v>
      </c>
      <c r="C1063" s="2" t="str">
        <f>IFERROR(__xludf.DUMMYFUNCTION("""COMPUTED_VALUE"""),"kjoule1q@boston.com")</f>
        <v>kjoule1q@boston.com</v>
      </c>
      <c r="D1063" s="4">
        <f>IFERROR(__xludf.DUMMYFUNCTION("""COMPUTED_VALUE"""),37.0)</f>
        <v>37</v>
      </c>
      <c r="E1063" s="4">
        <f>IFERROR(__xludf.DUMMYFUNCTION("""COMPUTED_VALUE"""),81.0)</f>
        <v>81</v>
      </c>
      <c r="F1063" s="4">
        <f>IFERROR(__xludf.DUMMYFUNCTION("""COMPUTED_VALUE"""),2.0)</f>
        <v>2</v>
      </c>
      <c r="G1063" s="4">
        <f>IFERROR(__xludf.DUMMYFUNCTION("""COMPUTED_VALUE"""),1422.0)</f>
        <v>1422</v>
      </c>
      <c r="H1063" s="5">
        <f>IFERROR(__xludf.DUMMYFUNCTION("""COMPUTED_VALUE"""),6299.75)</f>
        <v>6299.75</v>
      </c>
      <c r="I1063" s="5">
        <f>IFERROR(__xludf.DUMMYFUNCTION("""COMPUTED_VALUE"""),1756.22)</f>
        <v>1756.22</v>
      </c>
      <c r="J1063" s="5">
        <f>IFERROR(__xludf.DUMMYFUNCTION("""COMPUTED_VALUE"""),1201.72)</f>
        <v>1201.72</v>
      </c>
      <c r="K1063" s="5">
        <f>IFERROR(__xludf.DUMMYFUNCTION("""COMPUTED_VALUE"""),9599.48)</f>
        <v>9599.48</v>
      </c>
      <c r="L1063" s="4">
        <f>IFERROR(__xludf.DUMMYFUNCTION("""COMPUTED_VALUE"""),13.0)</f>
        <v>13</v>
      </c>
      <c r="M1063" s="4">
        <f>IFERROR(__xludf.DUMMYFUNCTION("""COMPUTED_VALUE"""),83.0)</f>
        <v>83</v>
      </c>
      <c r="N1063" s="2" t="str">
        <f>IFERROR(__xludf.DUMMYFUNCTION("""COMPUTED_VALUE"""),"FALSO")</f>
        <v>FALSO</v>
      </c>
    </row>
    <row r="1064">
      <c r="A1064" s="2">
        <f>IFERROR(__xludf.DUMMYFUNCTION("""COMPUTED_VALUE"""),1063.0)</f>
        <v>1063</v>
      </c>
      <c r="B1064" s="2" t="str">
        <f>IFERROR(__xludf.DUMMYFUNCTION("""COMPUTED_VALUE"""),"Tris Scarff")</f>
        <v>Tris Scarff</v>
      </c>
      <c r="C1064" s="2" t="str">
        <f>IFERROR(__xludf.DUMMYFUNCTION("""COMPUTED_VALUE"""),"tscarff1r@xinhuanet.com")</f>
        <v>tscarff1r@xinhuanet.com</v>
      </c>
      <c r="D1064" s="4">
        <f>IFERROR(__xludf.DUMMYFUNCTION("""COMPUTED_VALUE"""),122.0)</f>
        <v>122</v>
      </c>
      <c r="E1064" s="4">
        <f>IFERROR(__xludf.DUMMYFUNCTION("""COMPUTED_VALUE"""),66.0)</f>
        <v>66</v>
      </c>
      <c r="F1064" s="4">
        <f>IFERROR(__xludf.DUMMYFUNCTION("""COMPUTED_VALUE"""),6.0)</f>
        <v>6</v>
      </c>
      <c r="G1064" s="4">
        <f>IFERROR(__xludf.DUMMYFUNCTION("""COMPUTED_VALUE"""),828.0)</f>
        <v>828</v>
      </c>
      <c r="H1064" s="5">
        <f>IFERROR(__xludf.DUMMYFUNCTION("""COMPUTED_VALUE"""),6619.14)</f>
        <v>6619.14</v>
      </c>
      <c r="I1064" s="5">
        <f>IFERROR(__xludf.DUMMYFUNCTION("""COMPUTED_VALUE"""),4144.44)</f>
        <v>4144.44</v>
      </c>
      <c r="J1064" s="5">
        <f>IFERROR(__xludf.DUMMYFUNCTION("""COMPUTED_VALUE"""),1527.3)</f>
        <v>1527.3</v>
      </c>
      <c r="K1064" s="5">
        <f>IFERROR(__xludf.DUMMYFUNCTION("""COMPUTED_VALUE"""),8107.31)</f>
        <v>8107.31</v>
      </c>
      <c r="L1064" s="4">
        <f>IFERROR(__xludf.DUMMYFUNCTION("""COMPUTED_VALUE"""),16.0)</f>
        <v>16</v>
      </c>
      <c r="M1064" s="4">
        <f>IFERROR(__xludf.DUMMYFUNCTION("""COMPUTED_VALUE"""),71.0)</f>
        <v>71</v>
      </c>
      <c r="N1064" s="2" t="str">
        <f>IFERROR(__xludf.DUMMYFUNCTION("""COMPUTED_VALUE"""),"FALSO")</f>
        <v>FALSO</v>
      </c>
    </row>
    <row r="1065">
      <c r="A1065" s="2">
        <f>IFERROR(__xludf.DUMMYFUNCTION("""COMPUTED_VALUE"""),1064.0)</f>
        <v>1064</v>
      </c>
      <c r="B1065" s="2" t="str">
        <f>IFERROR(__xludf.DUMMYFUNCTION("""COMPUTED_VALUE"""),"Errol Gentry")</f>
        <v>Errol Gentry</v>
      </c>
      <c r="C1065" s="2" t="str">
        <f>IFERROR(__xludf.DUMMYFUNCTION("""COMPUTED_VALUE"""),"egentry1s@go.com")</f>
        <v>egentry1s@go.com</v>
      </c>
      <c r="D1065" s="4">
        <f>IFERROR(__xludf.DUMMYFUNCTION("""COMPUTED_VALUE"""),2.0)</f>
        <v>2</v>
      </c>
      <c r="E1065" s="4">
        <f>IFERROR(__xludf.DUMMYFUNCTION("""COMPUTED_VALUE"""),35.0)</f>
        <v>35</v>
      </c>
      <c r="F1065" s="4">
        <f>IFERROR(__xludf.DUMMYFUNCTION("""COMPUTED_VALUE"""),10.0)</f>
        <v>10</v>
      </c>
      <c r="G1065" s="4">
        <f>IFERROR(__xludf.DUMMYFUNCTION("""COMPUTED_VALUE"""),826.0)</f>
        <v>826</v>
      </c>
      <c r="H1065" s="5">
        <f>IFERROR(__xludf.DUMMYFUNCTION("""COMPUTED_VALUE"""),1876.05)</f>
        <v>1876.05</v>
      </c>
      <c r="I1065" s="5">
        <f>IFERROR(__xludf.DUMMYFUNCTION("""COMPUTED_VALUE"""),8748.74)</f>
        <v>8748.74</v>
      </c>
      <c r="J1065" s="5">
        <f>IFERROR(__xludf.DUMMYFUNCTION("""COMPUTED_VALUE"""),3341.04)</f>
        <v>3341.04</v>
      </c>
      <c r="K1065" s="5">
        <f>IFERROR(__xludf.DUMMYFUNCTION("""COMPUTED_VALUE"""),8969.95)</f>
        <v>8969.95</v>
      </c>
      <c r="L1065" s="4">
        <f>IFERROR(__xludf.DUMMYFUNCTION("""COMPUTED_VALUE"""),17.0)</f>
        <v>17</v>
      </c>
      <c r="M1065" s="4">
        <f>IFERROR(__xludf.DUMMYFUNCTION("""COMPUTED_VALUE"""),7.0)</f>
        <v>7</v>
      </c>
      <c r="N1065" s="2" t="str">
        <f>IFERROR(__xludf.DUMMYFUNCTION("""COMPUTED_VALUE"""),"VERDADERO")</f>
        <v>VERDADERO</v>
      </c>
    </row>
    <row r="1066">
      <c r="A1066" s="2">
        <f>IFERROR(__xludf.DUMMYFUNCTION("""COMPUTED_VALUE"""),1065.0)</f>
        <v>1065</v>
      </c>
      <c r="B1066" s="2" t="str">
        <f>IFERROR(__xludf.DUMMYFUNCTION("""COMPUTED_VALUE"""),"Nathaniel Gorman")</f>
        <v>Nathaniel Gorman</v>
      </c>
      <c r="C1066" s="2" t="str">
        <f>IFERROR(__xludf.DUMMYFUNCTION("""COMPUTED_VALUE"""),"ngorman1t@princeton.edu")</f>
        <v>ngorman1t@princeton.edu</v>
      </c>
      <c r="D1066" s="4">
        <f>IFERROR(__xludf.DUMMYFUNCTION("""COMPUTED_VALUE"""),17.0)</f>
        <v>17</v>
      </c>
      <c r="E1066" s="4">
        <f>IFERROR(__xludf.DUMMYFUNCTION("""COMPUTED_VALUE"""),81.0)</f>
        <v>81</v>
      </c>
      <c r="F1066" s="4">
        <f>IFERROR(__xludf.DUMMYFUNCTION("""COMPUTED_VALUE"""),2.0)</f>
        <v>2</v>
      </c>
      <c r="G1066" s="4">
        <f>IFERROR(__xludf.DUMMYFUNCTION("""COMPUTED_VALUE"""),1007.0)</f>
        <v>1007</v>
      </c>
      <c r="H1066" s="5">
        <f>IFERROR(__xludf.DUMMYFUNCTION("""COMPUTED_VALUE"""),7409.69)</f>
        <v>7409.69</v>
      </c>
      <c r="I1066" s="5">
        <f>IFERROR(__xludf.DUMMYFUNCTION("""COMPUTED_VALUE"""),2677.62)</f>
        <v>2677.62</v>
      </c>
      <c r="J1066" s="5">
        <f>IFERROR(__xludf.DUMMYFUNCTION("""COMPUTED_VALUE"""),176.34)</f>
        <v>176.34</v>
      </c>
      <c r="K1066" s="5">
        <f>IFERROR(__xludf.DUMMYFUNCTION("""COMPUTED_VALUE"""),1483.69)</f>
        <v>1483.69</v>
      </c>
      <c r="L1066" s="4">
        <f>IFERROR(__xludf.DUMMYFUNCTION("""COMPUTED_VALUE"""),6.0)</f>
        <v>6</v>
      </c>
      <c r="M1066" s="4">
        <f>IFERROR(__xludf.DUMMYFUNCTION("""COMPUTED_VALUE"""),72.0)</f>
        <v>72</v>
      </c>
      <c r="N1066" s="2" t="str">
        <f>IFERROR(__xludf.DUMMYFUNCTION("""COMPUTED_VALUE"""),"FALSO")</f>
        <v>FALSO</v>
      </c>
    </row>
    <row r="1067">
      <c r="A1067" s="2">
        <f>IFERROR(__xludf.DUMMYFUNCTION("""COMPUTED_VALUE"""),1066.0)</f>
        <v>1066</v>
      </c>
      <c r="B1067" s="2" t="str">
        <f>IFERROR(__xludf.DUMMYFUNCTION("""COMPUTED_VALUE"""),"Rodolph Plaskett")</f>
        <v>Rodolph Plaskett</v>
      </c>
      <c r="C1067" s="2" t="str">
        <f>IFERROR(__xludf.DUMMYFUNCTION("""COMPUTED_VALUE"""),"rplaskett1u@storify.com")</f>
        <v>rplaskett1u@storify.com</v>
      </c>
      <c r="D1067" s="4">
        <f>IFERROR(__xludf.DUMMYFUNCTION("""COMPUTED_VALUE"""),121.0)</f>
        <v>121</v>
      </c>
      <c r="E1067" s="4">
        <f>IFERROR(__xludf.DUMMYFUNCTION("""COMPUTED_VALUE"""),40.0)</f>
        <v>40</v>
      </c>
      <c r="F1067" s="4">
        <f>IFERROR(__xludf.DUMMYFUNCTION("""COMPUTED_VALUE"""),1.0)</f>
        <v>1</v>
      </c>
      <c r="G1067" s="4">
        <f>IFERROR(__xludf.DUMMYFUNCTION("""COMPUTED_VALUE"""),46.0)</f>
        <v>46</v>
      </c>
      <c r="H1067" s="5">
        <f>IFERROR(__xludf.DUMMYFUNCTION("""COMPUTED_VALUE"""),887.91)</f>
        <v>887.91</v>
      </c>
      <c r="I1067" s="5">
        <f>IFERROR(__xludf.DUMMYFUNCTION("""COMPUTED_VALUE"""),7462.8)</f>
        <v>7462.8</v>
      </c>
      <c r="J1067" s="5">
        <f>IFERROR(__xludf.DUMMYFUNCTION("""COMPUTED_VALUE"""),7050.28)</f>
        <v>7050.28</v>
      </c>
      <c r="K1067" s="5">
        <f>IFERROR(__xludf.DUMMYFUNCTION("""COMPUTED_VALUE"""),9463.94)</f>
        <v>9463.94</v>
      </c>
      <c r="L1067" s="4">
        <f>IFERROR(__xludf.DUMMYFUNCTION("""COMPUTED_VALUE"""),3.0)</f>
        <v>3</v>
      </c>
      <c r="M1067" s="4">
        <f>IFERROR(__xludf.DUMMYFUNCTION("""COMPUTED_VALUE"""),22.0)</f>
        <v>22</v>
      </c>
      <c r="N1067" s="2" t="str">
        <f>IFERROR(__xludf.DUMMYFUNCTION("""COMPUTED_VALUE"""),"FALSO")</f>
        <v>FALSO</v>
      </c>
    </row>
    <row r="1068">
      <c r="A1068" s="2">
        <f>IFERROR(__xludf.DUMMYFUNCTION("""COMPUTED_VALUE"""),1067.0)</f>
        <v>1067</v>
      </c>
      <c r="B1068" s="2" t="str">
        <f>IFERROR(__xludf.DUMMYFUNCTION("""COMPUTED_VALUE"""),"Hildagard McClymont")</f>
        <v>Hildagard McClymont</v>
      </c>
      <c r="C1068" s="2" t="str">
        <f>IFERROR(__xludf.DUMMYFUNCTION("""COMPUTED_VALUE"""),"hmcclymont1v@deviantart.com")</f>
        <v>hmcclymont1v@deviantart.com</v>
      </c>
      <c r="D1068" s="4">
        <f>IFERROR(__xludf.DUMMYFUNCTION("""COMPUTED_VALUE"""),122.0)</f>
        <v>122</v>
      </c>
      <c r="E1068" s="4">
        <f>IFERROR(__xludf.DUMMYFUNCTION("""COMPUTED_VALUE"""),35.0)</f>
        <v>35</v>
      </c>
      <c r="F1068" s="4">
        <f>IFERROR(__xludf.DUMMYFUNCTION("""COMPUTED_VALUE"""),8.0)</f>
        <v>8</v>
      </c>
      <c r="G1068" s="4">
        <f>IFERROR(__xludf.DUMMYFUNCTION("""COMPUTED_VALUE"""),25.0)</f>
        <v>25</v>
      </c>
      <c r="H1068" s="5">
        <f>IFERROR(__xludf.DUMMYFUNCTION("""COMPUTED_VALUE"""),3906.18)</f>
        <v>3906.18</v>
      </c>
      <c r="I1068" s="5">
        <f>IFERROR(__xludf.DUMMYFUNCTION("""COMPUTED_VALUE"""),6348.53)</f>
        <v>6348.53</v>
      </c>
      <c r="J1068" s="5">
        <f>IFERROR(__xludf.DUMMYFUNCTION("""COMPUTED_VALUE"""),2742.77)</f>
        <v>2742.77</v>
      </c>
      <c r="K1068" s="5">
        <f>IFERROR(__xludf.DUMMYFUNCTION("""COMPUTED_VALUE"""),2789.58)</f>
        <v>2789.58</v>
      </c>
      <c r="L1068" s="4">
        <f>IFERROR(__xludf.DUMMYFUNCTION("""COMPUTED_VALUE"""),18.0)</f>
        <v>18</v>
      </c>
      <c r="M1068" s="4">
        <f>IFERROR(__xludf.DUMMYFUNCTION("""COMPUTED_VALUE"""),78.0)</f>
        <v>78</v>
      </c>
      <c r="N1068" s="2" t="str">
        <f>IFERROR(__xludf.DUMMYFUNCTION("""COMPUTED_VALUE"""),"VERDADERO")</f>
        <v>VERDADERO</v>
      </c>
    </row>
    <row r="1069">
      <c r="A1069" s="2">
        <f>IFERROR(__xludf.DUMMYFUNCTION("""COMPUTED_VALUE"""),1068.0)</f>
        <v>1068</v>
      </c>
      <c r="B1069" s="2" t="str">
        <f>IFERROR(__xludf.DUMMYFUNCTION("""COMPUTED_VALUE"""),"Dawn Tween")</f>
        <v>Dawn Tween</v>
      </c>
      <c r="C1069" s="2" t="str">
        <f>IFERROR(__xludf.DUMMYFUNCTION("""COMPUTED_VALUE"""),"dtween1w@mail.ru")</f>
        <v>dtween1w@mail.ru</v>
      </c>
      <c r="D1069" s="4">
        <f>IFERROR(__xludf.DUMMYFUNCTION("""COMPUTED_VALUE"""),124.0)</f>
        <v>124</v>
      </c>
      <c r="E1069" s="4">
        <f>IFERROR(__xludf.DUMMYFUNCTION("""COMPUTED_VALUE"""),66.0)</f>
        <v>66</v>
      </c>
      <c r="F1069" s="4">
        <f>IFERROR(__xludf.DUMMYFUNCTION("""COMPUTED_VALUE"""),6.0)</f>
        <v>6</v>
      </c>
      <c r="G1069" s="4">
        <f>IFERROR(__xludf.DUMMYFUNCTION("""COMPUTED_VALUE"""),285.0)</f>
        <v>285</v>
      </c>
      <c r="H1069" s="5">
        <f>IFERROR(__xludf.DUMMYFUNCTION("""COMPUTED_VALUE"""),2239.58)</f>
        <v>2239.58</v>
      </c>
      <c r="I1069" s="5">
        <f>IFERROR(__xludf.DUMMYFUNCTION("""COMPUTED_VALUE"""),7591.25)</f>
        <v>7591.25</v>
      </c>
      <c r="J1069" s="5">
        <f>IFERROR(__xludf.DUMMYFUNCTION("""COMPUTED_VALUE"""),6812.38)</f>
        <v>6812.38</v>
      </c>
      <c r="K1069" s="5">
        <f>IFERROR(__xludf.DUMMYFUNCTION("""COMPUTED_VALUE"""),8686.31)</f>
        <v>8686.31</v>
      </c>
      <c r="L1069" s="4">
        <f>IFERROR(__xludf.DUMMYFUNCTION("""COMPUTED_VALUE"""),10.0)</f>
        <v>10</v>
      </c>
      <c r="M1069" s="4">
        <f>IFERROR(__xludf.DUMMYFUNCTION("""COMPUTED_VALUE"""),86.0)</f>
        <v>86</v>
      </c>
      <c r="N1069" s="2" t="str">
        <f>IFERROR(__xludf.DUMMYFUNCTION("""COMPUTED_VALUE"""),"VERDADERO")</f>
        <v>VERDADERO</v>
      </c>
    </row>
    <row r="1070">
      <c r="A1070" s="2">
        <f>IFERROR(__xludf.DUMMYFUNCTION("""COMPUTED_VALUE"""),1069.0)</f>
        <v>1069</v>
      </c>
      <c r="B1070" s="2" t="str">
        <f>IFERROR(__xludf.DUMMYFUNCTION("""COMPUTED_VALUE"""),"Sigismund Turbat")</f>
        <v>Sigismund Turbat</v>
      </c>
      <c r="C1070" s="2" t="str">
        <f>IFERROR(__xludf.DUMMYFUNCTION("""COMPUTED_VALUE"""),"sturbat1x@issuu.com")</f>
        <v>sturbat1x@issuu.com</v>
      </c>
      <c r="D1070" s="4">
        <f>IFERROR(__xludf.DUMMYFUNCTION("""COMPUTED_VALUE"""),1.0)</f>
        <v>1</v>
      </c>
      <c r="E1070" s="4">
        <f>IFERROR(__xludf.DUMMYFUNCTION("""COMPUTED_VALUE"""),106.0)</f>
        <v>106</v>
      </c>
      <c r="F1070" s="4">
        <f>IFERROR(__xludf.DUMMYFUNCTION("""COMPUTED_VALUE"""),4.0)</f>
        <v>4</v>
      </c>
      <c r="G1070" s="4">
        <f>IFERROR(__xludf.DUMMYFUNCTION("""COMPUTED_VALUE"""),1068.0)</f>
        <v>1068</v>
      </c>
      <c r="H1070" s="5">
        <f>IFERROR(__xludf.DUMMYFUNCTION("""COMPUTED_VALUE"""),3765.3)</f>
        <v>3765.3</v>
      </c>
      <c r="I1070" s="5">
        <f>IFERROR(__xludf.DUMMYFUNCTION("""COMPUTED_VALUE"""),4769.87)</f>
        <v>4769.87</v>
      </c>
      <c r="J1070" s="5">
        <f>IFERROR(__xludf.DUMMYFUNCTION("""COMPUTED_VALUE"""),5222.26)</f>
        <v>5222.26</v>
      </c>
      <c r="K1070" s="5">
        <f>IFERROR(__xludf.DUMMYFUNCTION("""COMPUTED_VALUE"""),8793.27)</f>
        <v>8793.27</v>
      </c>
      <c r="L1070" s="4">
        <f>IFERROR(__xludf.DUMMYFUNCTION("""COMPUTED_VALUE"""),7.0)</f>
        <v>7</v>
      </c>
      <c r="M1070" s="4">
        <f>IFERROR(__xludf.DUMMYFUNCTION("""COMPUTED_VALUE"""),21.0)</f>
        <v>21</v>
      </c>
      <c r="N1070" s="2" t="str">
        <f>IFERROR(__xludf.DUMMYFUNCTION("""COMPUTED_VALUE"""),"VERDADERO")</f>
        <v>VERDADERO</v>
      </c>
    </row>
    <row r="1071">
      <c r="A1071" s="2">
        <f>IFERROR(__xludf.DUMMYFUNCTION("""COMPUTED_VALUE"""),1070.0)</f>
        <v>1070</v>
      </c>
      <c r="B1071" s="2" t="str">
        <f>IFERROR(__xludf.DUMMYFUNCTION("""COMPUTED_VALUE"""),"Brita Haselwood")</f>
        <v>Brita Haselwood</v>
      </c>
      <c r="C1071" s="2" t="str">
        <f>IFERROR(__xludf.DUMMYFUNCTION("""COMPUTED_VALUE"""),"bhaselwood1y@forbes.com")</f>
        <v>bhaselwood1y@forbes.com</v>
      </c>
      <c r="D1071" s="4">
        <f>IFERROR(__xludf.DUMMYFUNCTION("""COMPUTED_VALUE"""),29.0)</f>
        <v>29</v>
      </c>
      <c r="E1071" s="4">
        <f>IFERROR(__xludf.DUMMYFUNCTION("""COMPUTED_VALUE"""),104.0)</f>
        <v>104</v>
      </c>
      <c r="F1071" s="4">
        <f>IFERROR(__xludf.DUMMYFUNCTION("""COMPUTED_VALUE"""),11.0)</f>
        <v>11</v>
      </c>
      <c r="G1071" s="4">
        <f>IFERROR(__xludf.DUMMYFUNCTION("""COMPUTED_VALUE"""),1131.0)</f>
        <v>1131</v>
      </c>
      <c r="H1071" s="5">
        <f>IFERROR(__xludf.DUMMYFUNCTION("""COMPUTED_VALUE"""),647.3)</f>
        <v>647.3</v>
      </c>
      <c r="I1071" s="5">
        <f>IFERROR(__xludf.DUMMYFUNCTION("""COMPUTED_VALUE"""),9400.3)</f>
        <v>9400.3</v>
      </c>
      <c r="J1071" s="5">
        <f>IFERROR(__xludf.DUMMYFUNCTION("""COMPUTED_VALUE"""),2748.36)</f>
        <v>2748.36</v>
      </c>
      <c r="K1071" s="5">
        <f>IFERROR(__xludf.DUMMYFUNCTION("""COMPUTED_VALUE"""),9062.75)</f>
        <v>9062.75</v>
      </c>
      <c r="L1071" s="4">
        <f>IFERROR(__xludf.DUMMYFUNCTION("""COMPUTED_VALUE"""),11.0)</f>
        <v>11</v>
      </c>
      <c r="M1071" s="4">
        <f>IFERROR(__xludf.DUMMYFUNCTION("""COMPUTED_VALUE"""),2.0)</f>
        <v>2</v>
      </c>
      <c r="N1071" s="2" t="str">
        <f>IFERROR(__xludf.DUMMYFUNCTION("""COMPUTED_VALUE"""),"FALSO")</f>
        <v>FALSO</v>
      </c>
    </row>
    <row r="1072">
      <c r="A1072" s="2">
        <f>IFERROR(__xludf.DUMMYFUNCTION("""COMPUTED_VALUE"""),1071.0)</f>
        <v>1071</v>
      </c>
      <c r="B1072" s="2" t="str">
        <f>IFERROR(__xludf.DUMMYFUNCTION("""COMPUTED_VALUE"""),"Griffin Casier")</f>
        <v>Griffin Casier</v>
      </c>
      <c r="C1072" s="2" t="str">
        <f>IFERROR(__xludf.DUMMYFUNCTION("""COMPUTED_VALUE"""),"gcasier1z@posterous.com")</f>
        <v>gcasier1z@posterous.com</v>
      </c>
      <c r="D1072" s="4">
        <f>IFERROR(__xludf.DUMMYFUNCTION("""COMPUTED_VALUE"""),29.0)</f>
        <v>29</v>
      </c>
      <c r="E1072" s="4">
        <f>IFERROR(__xludf.DUMMYFUNCTION("""COMPUTED_VALUE"""),66.0)</f>
        <v>66</v>
      </c>
      <c r="F1072" s="4">
        <f>IFERROR(__xludf.DUMMYFUNCTION("""COMPUTED_VALUE"""),6.0)</f>
        <v>6</v>
      </c>
      <c r="G1072" s="4">
        <f>IFERROR(__xludf.DUMMYFUNCTION("""COMPUTED_VALUE"""),379.0)</f>
        <v>379</v>
      </c>
      <c r="H1072" s="5">
        <f>IFERROR(__xludf.DUMMYFUNCTION("""COMPUTED_VALUE"""),8104.51)</f>
        <v>8104.51</v>
      </c>
      <c r="I1072" s="5">
        <f>IFERROR(__xludf.DUMMYFUNCTION("""COMPUTED_VALUE"""),9158.08)</f>
        <v>9158.08</v>
      </c>
      <c r="J1072" s="5">
        <f>IFERROR(__xludf.DUMMYFUNCTION("""COMPUTED_VALUE"""),4364.29)</f>
        <v>4364.29</v>
      </c>
      <c r="K1072" s="5">
        <f>IFERROR(__xludf.DUMMYFUNCTION("""COMPUTED_VALUE"""),5976.88)</f>
        <v>5976.88</v>
      </c>
      <c r="L1072" s="4">
        <f>IFERROR(__xludf.DUMMYFUNCTION("""COMPUTED_VALUE"""),17.0)</f>
        <v>17</v>
      </c>
      <c r="M1072" s="4">
        <f>IFERROR(__xludf.DUMMYFUNCTION("""COMPUTED_VALUE"""),78.0)</f>
        <v>78</v>
      </c>
      <c r="N1072" s="2" t="str">
        <f>IFERROR(__xludf.DUMMYFUNCTION("""COMPUTED_VALUE"""),"FALSO")</f>
        <v>FALSO</v>
      </c>
    </row>
    <row r="1073">
      <c r="A1073" s="2">
        <f>IFERROR(__xludf.DUMMYFUNCTION("""COMPUTED_VALUE"""),1072.0)</f>
        <v>1072</v>
      </c>
      <c r="B1073" s="2" t="str">
        <f>IFERROR(__xludf.DUMMYFUNCTION("""COMPUTED_VALUE"""),"Raynell Childrens")</f>
        <v>Raynell Childrens</v>
      </c>
      <c r="C1073" s="2" t="str">
        <f>IFERROR(__xludf.DUMMYFUNCTION("""COMPUTED_VALUE"""),"rchildrens20@wikia.com")</f>
        <v>rchildrens20@wikia.com</v>
      </c>
      <c r="D1073" s="4">
        <f>IFERROR(__xludf.DUMMYFUNCTION("""COMPUTED_VALUE"""),124.0)</f>
        <v>124</v>
      </c>
      <c r="E1073" s="4">
        <f>IFERROR(__xludf.DUMMYFUNCTION("""COMPUTED_VALUE"""),30.0)</f>
        <v>30</v>
      </c>
      <c r="F1073" s="4">
        <f>IFERROR(__xludf.DUMMYFUNCTION("""COMPUTED_VALUE"""),11.0)</f>
        <v>11</v>
      </c>
      <c r="G1073" s="4">
        <f>IFERROR(__xludf.DUMMYFUNCTION("""COMPUTED_VALUE"""),1166.0)</f>
        <v>1166</v>
      </c>
      <c r="H1073" s="5">
        <f>IFERROR(__xludf.DUMMYFUNCTION("""COMPUTED_VALUE"""),7951.42)</f>
        <v>7951.42</v>
      </c>
      <c r="I1073" s="5">
        <f>IFERROR(__xludf.DUMMYFUNCTION("""COMPUTED_VALUE"""),526.63)</f>
        <v>526.63</v>
      </c>
      <c r="J1073" s="5">
        <f>IFERROR(__xludf.DUMMYFUNCTION("""COMPUTED_VALUE"""),7448.36)</f>
        <v>7448.36</v>
      </c>
      <c r="K1073" s="5">
        <f>IFERROR(__xludf.DUMMYFUNCTION("""COMPUTED_VALUE"""),5729.15)</f>
        <v>5729.15</v>
      </c>
      <c r="L1073" s="4">
        <f>IFERROR(__xludf.DUMMYFUNCTION("""COMPUTED_VALUE"""),19.0)</f>
        <v>19</v>
      </c>
      <c r="M1073" s="4">
        <f>IFERROR(__xludf.DUMMYFUNCTION("""COMPUTED_VALUE"""),53.0)</f>
        <v>53</v>
      </c>
      <c r="N1073" s="2" t="str">
        <f>IFERROR(__xludf.DUMMYFUNCTION("""COMPUTED_VALUE"""),"VERDADERO")</f>
        <v>VERDADERO</v>
      </c>
    </row>
    <row r="1074">
      <c r="A1074" s="2">
        <f>IFERROR(__xludf.DUMMYFUNCTION("""COMPUTED_VALUE"""),1073.0)</f>
        <v>1073</v>
      </c>
      <c r="B1074" s="2" t="str">
        <f>IFERROR(__xludf.DUMMYFUNCTION("""COMPUTED_VALUE"""),"Huberto Nellis")</f>
        <v>Huberto Nellis</v>
      </c>
      <c r="C1074" s="2" t="str">
        <f>IFERROR(__xludf.DUMMYFUNCTION("""COMPUTED_VALUE"""),"hnellis21@virginia.edu")</f>
        <v>hnellis21@virginia.edu</v>
      </c>
      <c r="D1074" s="4">
        <f>IFERROR(__xludf.DUMMYFUNCTION("""COMPUTED_VALUE"""),137.0)</f>
        <v>137</v>
      </c>
      <c r="E1074" s="4">
        <f>IFERROR(__xludf.DUMMYFUNCTION("""COMPUTED_VALUE"""),40.0)</f>
        <v>40</v>
      </c>
      <c r="F1074" s="4">
        <f>IFERROR(__xludf.DUMMYFUNCTION("""COMPUTED_VALUE"""),1.0)</f>
        <v>1</v>
      </c>
      <c r="G1074" s="4">
        <f>IFERROR(__xludf.DUMMYFUNCTION("""COMPUTED_VALUE"""),454.0)</f>
        <v>454</v>
      </c>
      <c r="H1074" s="5">
        <f>IFERROR(__xludf.DUMMYFUNCTION("""COMPUTED_VALUE"""),9356.95)</f>
        <v>9356.95</v>
      </c>
      <c r="I1074" s="5">
        <f>IFERROR(__xludf.DUMMYFUNCTION("""COMPUTED_VALUE"""),4092.41)</f>
        <v>4092.41</v>
      </c>
      <c r="J1074" s="5">
        <f>IFERROR(__xludf.DUMMYFUNCTION("""COMPUTED_VALUE"""),4289.97)</f>
        <v>4289.97</v>
      </c>
      <c r="K1074" s="5">
        <f>IFERROR(__xludf.DUMMYFUNCTION("""COMPUTED_VALUE"""),123.05)</f>
        <v>123.05</v>
      </c>
      <c r="L1074" s="4">
        <f>IFERROR(__xludf.DUMMYFUNCTION("""COMPUTED_VALUE"""),8.0)</f>
        <v>8</v>
      </c>
      <c r="M1074" s="4">
        <f>IFERROR(__xludf.DUMMYFUNCTION("""COMPUTED_VALUE"""),28.0)</f>
        <v>28</v>
      </c>
      <c r="N1074" s="2" t="str">
        <f>IFERROR(__xludf.DUMMYFUNCTION("""COMPUTED_VALUE"""),"VERDADERO")</f>
        <v>VERDADERO</v>
      </c>
    </row>
    <row r="1075">
      <c r="A1075" s="2">
        <f>IFERROR(__xludf.DUMMYFUNCTION("""COMPUTED_VALUE"""),1074.0)</f>
        <v>1074</v>
      </c>
      <c r="B1075" s="2" t="str">
        <f>IFERROR(__xludf.DUMMYFUNCTION("""COMPUTED_VALUE"""),"Robb Plowman")</f>
        <v>Robb Plowman</v>
      </c>
      <c r="C1075" s="2" t="str">
        <f>IFERROR(__xludf.DUMMYFUNCTION("""COMPUTED_VALUE"""),"rplowman22@slate.com")</f>
        <v>rplowman22@slate.com</v>
      </c>
      <c r="D1075" s="4">
        <f>IFERROR(__xludf.DUMMYFUNCTION("""COMPUTED_VALUE"""),73.0)</f>
        <v>73</v>
      </c>
      <c r="E1075" s="4">
        <f>IFERROR(__xludf.DUMMYFUNCTION("""COMPUTED_VALUE"""),109.0)</f>
        <v>109</v>
      </c>
      <c r="F1075" s="4">
        <f>IFERROR(__xludf.DUMMYFUNCTION("""COMPUTED_VALUE"""),5.0)</f>
        <v>5</v>
      </c>
      <c r="G1075" s="4">
        <f>IFERROR(__xludf.DUMMYFUNCTION("""COMPUTED_VALUE"""),1138.0)</f>
        <v>1138</v>
      </c>
      <c r="H1075" s="5">
        <f>IFERROR(__xludf.DUMMYFUNCTION("""COMPUTED_VALUE"""),955.7)</f>
        <v>955.7</v>
      </c>
      <c r="I1075" s="5">
        <f>IFERROR(__xludf.DUMMYFUNCTION("""COMPUTED_VALUE"""),5691.39)</f>
        <v>5691.39</v>
      </c>
      <c r="J1075" s="5">
        <f>IFERROR(__xludf.DUMMYFUNCTION("""COMPUTED_VALUE"""),6003.52)</f>
        <v>6003.52</v>
      </c>
      <c r="K1075" s="5">
        <f>IFERROR(__xludf.DUMMYFUNCTION("""COMPUTED_VALUE"""),5151.78)</f>
        <v>5151.78</v>
      </c>
      <c r="L1075" s="4">
        <f>IFERROR(__xludf.DUMMYFUNCTION("""COMPUTED_VALUE"""),18.0)</f>
        <v>18</v>
      </c>
      <c r="M1075" s="4">
        <f>IFERROR(__xludf.DUMMYFUNCTION("""COMPUTED_VALUE"""),22.0)</f>
        <v>22</v>
      </c>
      <c r="N1075" s="2" t="str">
        <f>IFERROR(__xludf.DUMMYFUNCTION("""COMPUTED_VALUE"""),"VERDADERO")</f>
        <v>VERDADERO</v>
      </c>
    </row>
    <row r="1076">
      <c r="A1076" s="2">
        <f>IFERROR(__xludf.DUMMYFUNCTION("""COMPUTED_VALUE"""),1075.0)</f>
        <v>1075</v>
      </c>
      <c r="B1076" s="2" t="str">
        <f>IFERROR(__xludf.DUMMYFUNCTION("""COMPUTED_VALUE"""),"Edvard Tarn")</f>
        <v>Edvard Tarn</v>
      </c>
      <c r="C1076" s="2" t="str">
        <f>IFERROR(__xludf.DUMMYFUNCTION("""COMPUTED_VALUE"""),"etarn23@wikipedia.org")</f>
        <v>etarn23@wikipedia.org</v>
      </c>
      <c r="D1076" s="4">
        <f>IFERROR(__xludf.DUMMYFUNCTION("""COMPUTED_VALUE"""),29.0)</f>
        <v>29</v>
      </c>
      <c r="E1076" s="4">
        <f>IFERROR(__xludf.DUMMYFUNCTION("""COMPUTED_VALUE"""),14.0)</f>
        <v>14</v>
      </c>
      <c r="F1076" s="4">
        <f>IFERROR(__xludf.DUMMYFUNCTION("""COMPUTED_VALUE"""),6.0)</f>
        <v>6</v>
      </c>
      <c r="G1076" s="4">
        <f>IFERROR(__xludf.DUMMYFUNCTION("""COMPUTED_VALUE"""),350.0)</f>
        <v>350</v>
      </c>
      <c r="H1076" s="5">
        <f>IFERROR(__xludf.DUMMYFUNCTION("""COMPUTED_VALUE"""),1649.66)</f>
        <v>1649.66</v>
      </c>
      <c r="I1076" s="5">
        <f>IFERROR(__xludf.DUMMYFUNCTION("""COMPUTED_VALUE"""),5009.43)</f>
        <v>5009.43</v>
      </c>
      <c r="J1076" s="5">
        <f>IFERROR(__xludf.DUMMYFUNCTION("""COMPUTED_VALUE"""),6676.67)</f>
        <v>6676.67</v>
      </c>
      <c r="K1076" s="5">
        <f>IFERROR(__xludf.DUMMYFUNCTION("""COMPUTED_VALUE"""),1638.18)</f>
        <v>1638.18</v>
      </c>
      <c r="L1076" s="4">
        <f>IFERROR(__xludf.DUMMYFUNCTION("""COMPUTED_VALUE"""),4.0)</f>
        <v>4</v>
      </c>
      <c r="M1076" s="4">
        <f>IFERROR(__xludf.DUMMYFUNCTION("""COMPUTED_VALUE"""),44.0)</f>
        <v>44</v>
      </c>
      <c r="N1076" s="2" t="str">
        <f>IFERROR(__xludf.DUMMYFUNCTION("""COMPUTED_VALUE"""),"VERDADERO")</f>
        <v>VERDADERO</v>
      </c>
    </row>
    <row r="1077">
      <c r="A1077" s="2">
        <f>IFERROR(__xludf.DUMMYFUNCTION("""COMPUTED_VALUE"""),1076.0)</f>
        <v>1076</v>
      </c>
      <c r="B1077" s="2" t="str">
        <f>IFERROR(__xludf.DUMMYFUNCTION("""COMPUTED_VALUE"""),"Kippar Assaf")</f>
        <v>Kippar Assaf</v>
      </c>
      <c r="C1077" s="2" t="str">
        <f>IFERROR(__xludf.DUMMYFUNCTION("""COMPUTED_VALUE"""),"kassaf24@utexas.edu")</f>
        <v>kassaf24@utexas.edu</v>
      </c>
      <c r="D1077" s="4">
        <f>IFERROR(__xludf.DUMMYFUNCTION("""COMPUTED_VALUE"""),65.0)</f>
        <v>65</v>
      </c>
      <c r="E1077" s="4">
        <f>IFERROR(__xludf.DUMMYFUNCTION("""COMPUTED_VALUE"""),64.0)</f>
        <v>64</v>
      </c>
      <c r="F1077" s="4">
        <f>IFERROR(__xludf.DUMMYFUNCTION("""COMPUTED_VALUE"""),4.0)</f>
        <v>4</v>
      </c>
      <c r="G1077" s="4">
        <f>IFERROR(__xludf.DUMMYFUNCTION("""COMPUTED_VALUE"""),1011.0)</f>
        <v>1011</v>
      </c>
      <c r="H1077" s="5">
        <f>IFERROR(__xludf.DUMMYFUNCTION("""COMPUTED_VALUE"""),3298.09)</f>
        <v>3298.09</v>
      </c>
      <c r="I1077" s="5">
        <f>IFERROR(__xludf.DUMMYFUNCTION("""COMPUTED_VALUE"""),5415.17)</f>
        <v>5415.17</v>
      </c>
      <c r="J1077" s="5">
        <f>IFERROR(__xludf.DUMMYFUNCTION("""COMPUTED_VALUE"""),536.24)</f>
        <v>536.24</v>
      </c>
      <c r="K1077" s="5">
        <f>IFERROR(__xludf.DUMMYFUNCTION("""COMPUTED_VALUE"""),9737.22)</f>
        <v>9737.22</v>
      </c>
      <c r="L1077" s="4">
        <f>IFERROR(__xludf.DUMMYFUNCTION("""COMPUTED_VALUE"""),9.0)</f>
        <v>9</v>
      </c>
      <c r="M1077" s="4">
        <f>IFERROR(__xludf.DUMMYFUNCTION("""COMPUTED_VALUE"""),86.0)</f>
        <v>86</v>
      </c>
      <c r="N1077" s="2" t="str">
        <f>IFERROR(__xludf.DUMMYFUNCTION("""COMPUTED_VALUE"""),"VERDADERO")</f>
        <v>VERDADERO</v>
      </c>
    </row>
    <row r="1078">
      <c r="A1078" s="2">
        <f>IFERROR(__xludf.DUMMYFUNCTION("""COMPUTED_VALUE"""),1077.0)</f>
        <v>1077</v>
      </c>
      <c r="B1078" s="2" t="str">
        <f>IFERROR(__xludf.DUMMYFUNCTION("""COMPUTED_VALUE"""),"Corby Balffye")</f>
        <v>Corby Balffye</v>
      </c>
      <c r="C1078" s="2" t="str">
        <f>IFERROR(__xludf.DUMMYFUNCTION("""COMPUTED_VALUE"""),"cbalffye25@adobe.com")</f>
        <v>cbalffye25@adobe.com</v>
      </c>
      <c r="D1078" s="4">
        <f>IFERROR(__xludf.DUMMYFUNCTION("""COMPUTED_VALUE"""),5.0)</f>
        <v>5</v>
      </c>
      <c r="E1078" s="4">
        <f>IFERROR(__xludf.DUMMYFUNCTION("""COMPUTED_VALUE"""),107.0)</f>
        <v>107</v>
      </c>
      <c r="F1078" s="4">
        <f>IFERROR(__xludf.DUMMYFUNCTION("""COMPUTED_VALUE"""),5.0)</f>
        <v>5</v>
      </c>
      <c r="G1078" s="4">
        <f>IFERROR(__xludf.DUMMYFUNCTION("""COMPUTED_VALUE"""),432.0)</f>
        <v>432</v>
      </c>
      <c r="H1078" s="5">
        <f>IFERROR(__xludf.DUMMYFUNCTION("""COMPUTED_VALUE"""),3810.39)</f>
        <v>3810.39</v>
      </c>
      <c r="I1078" s="5">
        <f>IFERROR(__xludf.DUMMYFUNCTION("""COMPUTED_VALUE"""),9162.52)</f>
        <v>9162.52</v>
      </c>
      <c r="J1078" s="5">
        <f>IFERROR(__xludf.DUMMYFUNCTION("""COMPUTED_VALUE"""),3504.93)</f>
        <v>3504.93</v>
      </c>
      <c r="K1078" s="5">
        <f>IFERROR(__xludf.DUMMYFUNCTION("""COMPUTED_VALUE"""),4793.31)</f>
        <v>4793.31</v>
      </c>
      <c r="L1078" s="4">
        <f>IFERROR(__xludf.DUMMYFUNCTION("""COMPUTED_VALUE"""),3.0)</f>
        <v>3</v>
      </c>
      <c r="M1078" s="4">
        <f>IFERROR(__xludf.DUMMYFUNCTION("""COMPUTED_VALUE"""),25.0)</f>
        <v>25</v>
      </c>
      <c r="N1078" s="2" t="str">
        <f>IFERROR(__xludf.DUMMYFUNCTION("""COMPUTED_VALUE"""),"VERDADERO")</f>
        <v>VERDADERO</v>
      </c>
    </row>
    <row r="1079">
      <c r="A1079" s="2">
        <f>IFERROR(__xludf.DUMMYFUNCTION("""COMPUTED_VALUE"""),1078.0)</f>
        <v>1078</v>
      </c>
      <c r="B1079" s="2" t="str">
        <f>IFERROR(__xludf.DUMMYFUNCTION("""COMPUTED_VALUE"""),"Regina Walkowski")</f>
        <v>Regina Walkowski</v>
      </c>
      <c r="C1079" s="2" t="str">
        <f>IFERROR(__xludf.DUMMYFUNCTION("""COMPUTED_VALUE"""),"rwalkowski26@shutterfly.com")</f>
        <v>rwalkowski26@shutterfly.com</v>
      </c>
      <c r="D1079" s="4">
        <f>IFERROR(__xludf.DUMMYFUNCTION("""COMPUTED_VALUE"""),121.0)</f>
        <v>121</v>
      </c>
      <c r="E1079" s="4">
        <f>IFERROR(__xludf.DUMMYFUNCTION("""COMPUTED_VALUE"""),81.0)</f>
        <v>81</v>
      </c>
      <c r="F1079" s="4">
        <f>IFERROR(__xludf.DUMMYFUNCTION("""COMPUTED_VALUE"""),2.0)</f>
        <v>2</v>
      </c>
      <c r="G1079" s="4">
        <f>IFERROR(__xludf.DUMMYFUNCTION("""COMPUTED_VALUE"""),1573.0)</f>
        <v>1573</v>
      </c>
      <c r="H1079" s="5">
        <f>IFERROR(__xludf.DUMMYFUNCTION("""COMPUTED_VALUE"""),5516.92)</f>
        <v>5516.92</v>
      </c>
      <c r="I1079" s="5">
        <f>IFERROR(__xludf.DUMMYFUNCTION("""COMPUTED_VALUE"""),6603.18)</f>
        <v>6603.18</v>
      </c>
      <c r="J1079" s="5">
        <f>IFERROR(__xludf.DUMMYFUNCTION("""COMPUTED_VALUE"""),5275.62)</f>
        <v>5275.62</v>
      </c>
      <c r="K1079" s="5">
        <f>IFERROR(__xludf.DUMMYFUNCTION("""COMPUTED_VALUE"""),6256.72)</f>
        <v>6256.72</v>
      </c>
      <c r="L1079" s="4">
        <f>IFERROR(__xludf.DUMMYFUNCTION("""COMPUTED_VALUE"""),12.0)</f>
        <v>12</v>
      </c>
      <c r="M1079" s="4">
        <f>IFERROR(__xludf.DUMMYFUNCTION("""COMPUTED_VALUE"""),2.0)</f>
        <v>2</v>
      </c>
      <c r="N1079" s="2" t="str">
        <f>IFERROR(__xludf.DUMMYFUNCTION("""COMPUTED_VALUE"""),"VERDADERO")</f>
        <v>VERDADERO</v>
      </c>
    </row>
    <row r="1080">
      <c r="A1080" s="2">
        <f>IFERROR(__xludf.DUMMYFUNCTION("""COMPUTED_VALUE"""),1079.0)</f>
        <v>1079</v>
      </c>
      <c r="B1080" s="2" t="str">
        <f>IFERROR(__xludf.DUMMYFUNCTION("""COMPUTED_VALUE"""),"Harmonie Lynn")</f>
        <v>Harmonie Lynn</v>
      </c>
      <c r="C1080" s="2" t="str">
        <f>IFERROR(__xludf.DUMMYFUNCTION("""COMPUTED_VALUE"""),"hlynn27@nationalgeographic.com")</f>
        <v>hlynn27@nationalgeographic.com</v>
      </c>
      <c r="D1080" s="4">
        <f>IFERROR(__xludf.DUMMYFUNCTION("""COMPUTED_VALUE"""),137.0)</f>
        <v>137</v>
      </c>
      <c r="E1080" s="4">
        <f>IFERROR(__xludf.DUMMYFUNCTION("""COMPUTED_VALUE"""),70.0)</f>
        <v>70</v>
      </c>
      <c r="F1080" s="4">
        <f>IFERROR(__xludf.DUMMYFUNCTION("""COMPUTED_VALUE"""),6.0)</f>
        <v>6</v>
      </c>
      <c r="G1080" s="4">
        <f>IFERROR(__xludf.DUMMYFUNCTION("""COMPUTED_VALUE"""),1197.0)</f>
        <v>1197</v>
      </c>
      <c r="H1080" s="5">
        <f>IFERROR(__xludf.DUMMYFUNCTION("""COMPUTED_VALUE"""),4074.53)</f>
        <v>4074.53</v>
      </c>
      <c r="I1080" s="5">
        <f>IFERROR(__xludf.DUMMYFUNCTION("""COMPUTED_VALUE"""),1898.28)</f>
        <v>1898.28</v>
      </c>
      <c r="J1080" s="5">
        <f>IFERROR(__xludf.DUMMYFUNCTION("""COMPUTED_VALUE"""),8671.22)</f>
        <v>8671.22</v>
      </c>
      <c r="K1080" s="5">
        <f>IFERROR(__xludf.DUMMYFUNCTION("""COMPUTED_VALUE"""),790.14)</f>
        <v>790.14</v>
      </c>
      <c r="L1080" s="4">
        <f>IFERROR(__xludf.DUMMYFUNCTION("""COMPUTED_VALUE"""),9.0)</f>
        <v>9</v>
      </c>
      <c r="M1080" s="4">
        <f>IFERROR(__xludf.DUMMYFUNCTION("""COMPUTED_VALUE"""),56.0)</f>
        <v>56</v>
      </c>
      <c r="N1080" s="2" t="str">
        <f>IFERROR(__xludf.DUMMYFUNCTION("""COMPUTED_VALUE"""),"FALSO")</f>
        <v>FALSO</v>
      </c>
    </row>
    <row r="1081">
      <c r="A1081" s="2">
        <f>IFERROR(__xludf.DUMMYFUNCTION("""COMPUTED_VALUE"""),1080.0)</f>
        <v>1080</v>
      </c>
      <c r="B1081" s="2" t="str">
        <f>IFERROR(__xludf.DUMMYFUNCTION("""COMPUTED_VALUE"""),"Jonathan Whillock")</f>
        <v>Jonathan Whillock</v>
      </c>
      <c r="C1081" s="2" t="str">
        <f>IFERROR(__xludf.DUMMYFUNCTION("""COMPUTED_VALUE"""),"jwhillock28@tuttocitta.it")</f>
        <v>jwhillock28@tuttocitta.it</v>
      </c>
      <c r="D1081" s="4">
        <f>IFERROR(__xludf.DUMMYFUNCTION("""COMPUTED_VALUE"""),143.0)</f>
        <v>143</v>
      </c>
      <c r="E1081" s="4">
        <f>IFERROR(__xludf.DUMMYFUNCTION("""COMPUTED_VALUE"""),71.0)</f>
        <v>71</v>
      </c>
      <c r="F1081" s="4">
        <f>IFERROR(__xludf.DUMMYFUNCTION("""COMPUTED_VALUE"""),6.0)</f>
        <v>6</v>
      </c>
      <c r="G1081" s="4">
        <f>IFERROR(__xludf.DUMMYFUNCTION("""COMPUTED_VALUE"""),1095.0)</f>
        <v>1095</v>
      </c>
      <c r="H1081" s="5">
        <f>IFERROR(__xludf.DUMMYFUNCTION("""COMPUTED_VALUE"""),7981.31)</f>
        <v>7981.31</v>
      </c>
      <c r="I1081" s="5">
        <f>IFERROR(__xludf.DUMMYFUNCTION("""COMPUTED_VALUE"""),9412.44)</f>
        <v>9412.44</v>
      </c>
      <c r="J1081" s="5">
        <f>IFERROR(__xludf.DUMMYFUNCTION("""COMPUTED_VALUE"""),5973.16)</f>
        <v>5973.16</v>
      </c>
      <c r="K1081" s="5">
        <f>IFERROR(__xludf.DUMMYFUNCTION("""COMPUTED_VALUE"""),9946.0)</f>
        <v>9946</v>
      </c>
      <c r="L1081" s="4">
        <f>IFERROR(__xludf.DUMMYFUNCTION("""COMPUTED_VALUE"""),7.0)</f>
        <v>7</v>
      </c>
      <c r="M1081" s="4">
        <f>IFERROR(__xludf.DUMMYFUNCTION("""COMPUTED_VALUE"""),68.0)</f>
        <v>68</v>
      </c>
      <c r="N1081" s="2" t="str">
        <f>IFERROR(__xludf.DUMMYFUNCTION("""COMPUTED_VALUE"""),"FALSO")</f>
        <v>FALSO</v>
      </c>
    </row>
    <row r="1082">
      <c r="A1082" s="2">
        <f>IFERROR(__xludf.DUMMYFUNCTION("""COMPUTED_VALUE"""),1081.0)</f>
        <v>1081</v>
      </c>
      <c r="B1082" s="2" t="str">
        <f>IFERROR(__xludf.DUMMYFUNCTION("""COMPUTED_VALUE"""),"Ginnifer Tenby")</f>
        <v>Ginnifer Tenby</v>
      </c>
      <c r="C1082" s="2" t="str">
        <f>IFERROR(__xludf.DUMMYFUNCTION("""COMPUTED_VALUE"""),"gtenby29@sciencedaily.com")</f>
        <v>gtenby29@sciencedaily.com</v>
      </c>
      <c r="D1082" s="4">
        <f>IFERROR(__xludf.DUMMYFUNCTION("""COMPUTED_VALUE"""),2.0)</f>
        <v>2</v>
      </c>
      <c r="E1082" s="4">
        <f>IFERROR(__xludf.DUMMYFUNCTION("""COMPUTED_VALUE"""),115.0)</f>
        <v>115</v>
      </c>
      <c r="F1082" s="4">
        <f>IFERROR(__xludf.DUMMYFUNCTION("""COMPUTED_VALUE"""),9.0)</f>
        <v>9</v>
      </c>
      <c r="G1082" s="4">
        <f>IFERROR(__xludf.DUMMYFUNCTION("""COMPUTED_VALUE"""),549.0)</f>
        <v>549</v>
      </c>
      <c r="H1082" s="5">
        <f>IFERROR(__xludf.DUMMYFUNCTION("""COMPUTED_VALUE"""),3993.15)</f>
        <v>3993.15</v>
      </c>
      <c r="I1082" s="5">
        <f>IFERROR(__xludf.DUMMYFUNCTION("""COMPUTED_VALUE"""),3515.55)</f>
        <v>3515.55</v>
      </c>
      <c r="J1082" s="5">
        <f>IFERROR(__xludf.DUMMYFUNCTION("""COMPUTED_VALUE"""),8280.33)</f>
        <v>8280.33</v>
      </c>
      <c r="K1082" s="5">
        <f>IFERROR(__xludf.DUMMYFUNCTION("""COMPUTED_VALUE"""),1202.21)</f>
        <v>1202.21</v>
      </c>
      <c r="L1082" s="4">
        <f>IFERROR(__xludf.DUMMYFUNCTION("""COMPUTED_VALUE"""),14.0)</f>
        <v>14</v>
      </c>
      <c r="M1082" s="4">
        <f>IFERROR(__xludf.DUMMYFUNCTION("""COMPUTED_VALUE"""),95.0)</f>
        <v>95</v>
      </c>
      <c r="N1082" s="2" t="str">
        <f>IFERROR(__xludf.DUMMYFUNCTION("""COMPUTED_VALUE"""),"FALSO")</f>
        <v>FALSO</v>
      </c>
    </row>
    <row r="1083">
      <c r="A1083" s="2">
        <f>IFERROR(__xludf.DUMMYFUNCTION("""COMPUTED_VALUE"""),1082.0)</f>
        <v>1082</v>
      </c>
      <c r="B1083" s="2" t="str">
        <f>IFERROR(__xludf.DUMMYFUNCTION("""COMPUTED_VALUE"""),"Andrus Talloe")</f>
        <v>Andrus Talloe</v>
      </c>
      <c r="C1083" s="2" t="str">
        <f>IFERROR(__xludf.DUMMYFUNCTION("""COMPUTED_VALUE"""),"atalloe2a@biblegateway.com")</f>
        <v>atalloe2a@biblegateway.com</v>
      </c>
      <c r="D1083" s="4">
        <f>IFERROR(__xludf.DUMMYFUNCTION("""COMPUTED_VALUE"""),55.0)</f>
        <v>55</v>
      </c>
      <c r="E1083" s="4">
        <f>IFERROR(__xludf.DUMMYFUNCTION("""COMPUTED_VALUE"""),55.0)</f>
        <v>55</v>
      </c>
      <c r="F1083" s="4">
        <f>IFERROR(__xludf.DUMMYFUNCTION("""COMPUTED_VALUE"""),8.0)</f>
        <v>8</v>
      </c>
      <c r="G1083" s="4">
        <f>IFERROR(__xludf.DUMMYFUNCTION("""COMPUTED_VALUE"""),421.0)</f>
        <v>421</v>
      </c>
      <c r="H1083" s="5">
        <f>IFERROR(__xludf.DUMMYFUNCTION("""COMPUTED_VALUE"""),4297.73)</f>
        <v>4297.73</v>
      </c>
      <c r="I1083" s="5">
        <f>IFERROR(__xludf.DUMMYFUNCTION("""COMPUTED_VALUE"""),2126.95)</f>
        <v>2126.95</v>
      </c>
      <c r="J1083" s="5">
        <f>IFERROR(__xludf.DUMMYFUNCTION("""COMPUTED_VALUE"""),2124.92)</f>
        <v>2124.92</v>
      </c>
      <c r="K1083" s="5">
        <f>IFERROR(__xludf.DUMMYFUNCTION("""COMPUTED_VALUE"""),7190.26)</f>
        <v>7190.26</v>
      </c>
      <c r="L1083" s="4">
        <f>IFERROR(__xludf.DUMMYFUNCTION("""COMPUTED_VALUE"""),8.0)</f>
        <v>8</v>
      </c>
      <c r="M1083" s="4">
        <f>IFERROR(__xludf.DUMMYFUNCTION("""COMPUTED_VALUE"""),64.0)</f>
        <v>64</v>
      </c>
      <c r="N1083" s="2" t="str">
        <f>IFERROR(__xludf.DUMMYFUNCTION("""COMPUTED_VALUE"""),"FALSO")</f>
        <v>FALSO</v>
      </c>
    </row>
    <row r="1084">
      <c r="A1084" s="2">
        <f>IFERROR(__xludf.DUMMYFUNCTION("""COMPUTED_VALUE"""),1083.0)</f>
        <v>1083</v>
      </c>
      <c r="B1084" s="2" t="str">
        <f>IFERROR(__xludf.DUMMYFUNCTION("""COMPUTED_VALUE"""),"Alissa Hansill")</f>
        <v>Alissa Hansill</v>
      </c>
      <c r="C1084" s="2" t="str">
        <f>IFERROR(__xludf.DUMMYFUNCTION("""COMPUTED_VALUE"""),"ahansill2b@youtube.com")</f>
        <v>ahansill2b@youtube.com</v>
      </c>
      <c r="D1084" s="4">
        <f>IFERROR(__xludf.DUMMYFUNCTION("""COMPUTED_VALUE"""),24.0)</f>
        <v>24</v>
      </c>
      <c r="E1084" s="4">
        <f>IFERROR(__xludf.DUMMYFUNCTION("""COMPUTED_VALUE"""),9.0)</f>
        <v>9</v>
      </c>
      <c r="F1084" s="4">
        <f>IFERROR(__xludf.DUMMYFUNCTION("""COMPUTED_VALUE"""),10.0)</f>
        <v>10</v>
      </c>
      <c r="G1084" s="4">
        <f>IFERROR(__xludf.DUMMYFUNCTION("""COMPUTED_VALUE"""),266.0)</f>
        <v>266</v>
      </c>
      <c r="H1084" s="5">
        <f>IFERROR(__xludf.DUMMYFUNCTION("""COMPUTED_VALUE"""),5288.72)</f>
        <v>5288.72</v>
      </c>
      <c r="I1084" s="5">
        <f>IFERROR(__xludf.DUMMYFUNCTION("""COMPUTED_VALUE"""),8411.94)</f>
        <v>8411.94</v>
      </c>
      <c r="J1084" s="5">
        <f>IFERROR(__xludf.DUMMYFUNCTION("""COMPUTED_VALUE"""),1177.81)</f>
        <v>1177.81</v>
      </c>
      <c r="K1084" s="5">
        <f>IFERROR(__xludf.DUMMYFUNCTION("""COMPUTED_VALUE"""),5236.75)</f>
        <v>5236.75</v>
      </c>
      <c r="L1084" s="4">
        <f>IFERROR(__xludf.DUMMYFUNCTION("""COMPUTED_VALUE"""),16.0)</f>
        <v>16</v>
      </c>
      <c r="M1084" s="4">
        <f>IFERROR(__xludf.DUMMYFUNCTION("""COMPUTED_VALUE"""),41.0)</f>
        <v>41</v>
      </c>
      <c r="N1084" s="2" t="str">
        <f>IFERROR(__xludf.DUMMYFUNCTION("""COMPUTED_VALUE"""),"VERDADERO")</f>
        <v>VERDADERO</v>
      </c>
    </row>
    <row r="1085">
      <c r="A1085" s="2">
        <f>IFERROR(__xludf.DUMMYFUNCTION("""COMPUTED_VALUE"""),1084.0)</f>
        <v>1084</v>
      </c>
      <c r="B1085" s="2" t="str">
        <f>IFERROR(__xludf.DUMMYFUNCTION("""COMPUTED_VALUE"""),"Bliss Stouther")</f>
        <v>Bliss Stouther</v>
      </c>
      <c r="C1085" s="2" t="str">
        <f>IFERROR(__xludf.DUMMYFUNCTION("""COMPUTED_VALUE"""),"bstouther2c@elegantthemes.com")</f>
        <v>bstouther2c@elegantthemes.com</v>
      </c>
      <c r="D1085" s="4">
        <f>IFERROR(__xludf.DUMMYFUNCTION("""COMPUTED_VALUE"""),30.0)</f>
        <v>30</v>
      </c>
      <c r="E1085" s="4">
        <f>IFERROR(__xludf.DUMMYFUNCTION("""COMPUTED_VALUE"""),29.0)</f>
        <v>29</v>
      </c>
      <c r="F1085" s="4">
        <f>IFERROR(__xludf.DUMMYFUNCTION("""COMPUTED_VALUE"""),11.0)</f>
        <v>11</v>
      </c>
      <c r="G1085" s="4">
        <f>IFERROR(__xludf.DUMMYFUNCTION("""COMPUTED_VALUE"""),1297.0)</f>
        <v>1297</v>
      </c>
      <c r="H1085" s="5">
        <f>IFERROR(__xludf.DUMMYFUNCTION("""COMPUTED_VALUE"""),6495.51)</f>
        <v>6495.51</v>
      </c>
      <c r="I1085" s="5">
        <f>IFERROR(__xludf.DUMMYFUNCTION("""COMPUTED_VALUE"""),2291.49)</f>
        <v>2291.49</v>
      </c>
      <c r="J1085" s="5">
        <f>IFERROR(__xludf.DUMMYFUNCTION("""COMPUTED_VALUE"""),9824.54)</f>
        <v>9824.54</v>
      </c>
      <c r="K1085" s="5">
        <f>IFERROR(__xludf.DUMMYFUNCTION("""COMPUTED_VALUE"""),1615.38)</f>
        <v>1615.38</v>
      </c>
      <c r="L1085" s="4">
        <f>IFERROR(__xludf.DUMMYFUNCTION("""COMPUTED_VALUE"""),4.0)</f>
        <v>4</v>
      </c>
      <c r="M1085" s="4">
        <f>IFERROR(__xludf.DUMMYFUNCTION("""COMPUTED_VALUE"""),33.0)</f>
        <v>33</v>
      </c>
      <c r="N1085" s="2" t="str">
        <f>IFERROR(__xludf.DUMMYFUNCTION("""COMPUTED_VALUE"""),"FALSO")</f>
        <v>FALSO</v>
      </c>
    </row>
    <row r="1086">
      <c r="A1086" s="2">
        <f>IFERROR(__xludf.DUMMYFUNCTION("""COMPUTED_VALUE"""),1085.0)</f>
        <v>1085</v>
      </c>
      <c r="B1086" s="2" t="str">
        <f>IFERROR(__xludf.DUMMYFUNCTION("""COMPUTED_VALUE"""),"Yuri Herculson")</f>
        <v>Yuri Herculson</v>
      </c>
      <c r="C1086" s="2" t="str">
        <f>IFERROR(__xludf.DUMMYFUNCTION("""COMPUTED_VALUE"""),"yherculson2d@tamu.edu")</f>
        <v>yherculson2d@tamu.edu</v>
      </c>
      <c r="D1086" s="4">
        <f>IFERROR(__xludf.DUMMYFUNCTION("""COMPUTED_VALUE"""),29.0)</f>
        <v>29</v>
      </c>
      <c r="E1086" s="4">
        <f>IFERROR(__xludf.DUMMYFUNCTION("""COMPUTED_VALUE"""),64.0)</f>
        <v>64</v>
      </c>
      <c r="F1086" s="4">
        <f>IFERROR(__xludf.DUMMYFUNCTION("""COMPUTED_VALUE"""),4.0)</f>
        <v>4</v>
      </c>
      <c r="G1086" s="4">
        <f>IFERROR(__xludf.DUMMYFUNCTION("""COMPUTED_VALUE"""),1056.0)</f>
        <v>1056</v>
      </c>
      <c r="H1086" s="5">
        <f>IFERROR(__xludf.DUMMYFUNCTION("""COMPUTED_VALUE"""),1950.51)</f>
        <v>1950.51</v>
      </c>
      <c r="I1086" s="5">
        <f>IFERROR(__xludf.DUMMYFUNCTION("""COMPUTED_VALUE"""),6846.72)</f>
        <v>6846.72</v>
      </c>
      <c r="J1086" s="5">
        <f>IFERROR(__xludf.DUMMYFUNCTION("""COMPUTED_VALUE"""),2280.52)</f>
        <v>2280.52</v>
      </c>
      <c r="K1086" s="5">
        <f>IFERROR(__xludf.DUMMYFUNCTION("""COMPUTED_VALUE"""),3338.82)</f>
        <v>3338.82</v>
      </c>
      <c r="L1086" s="4">
        <f>IFERROR(__xludf.DUMMYFUNCTION("""COMPUTED_VALUE"""),18.0)</f>
        <v>18</v>
      </c>
      <c r="M1086" s="4">
        <f>IFERROR(__xludf.DUMMYFUNCTION("""COMPUTED_VALUE"""),62.0)</f>
        <v>62</v>
      </c>
      <c r="N1086" s="2" t="str">
        <f>IFERROR(__xludf.DUMMYFUNCTION("""COMPUTED_VALUE"""),"VERDADERO")</f>
        <v>VERDADERO</v>
      </c>
    </row>
    <row r="1087">
      <c r="A1087" s="2">
        <f>IFERROR(__xludf.DUMMYFUNCTION("""COMPUTED_VALUE"""),1086.0)</f>
        <v>1086</v>
      </c>
      <c r="B1087" s="2" t="str">
        <f>IFERROR(__xludf.DUMMYFUNCTION("""COMPUTED_VALUE"""),"Hanson Robion")</f>
        <v>Hanson Robion</v>
      </c>
      <c r="C1087" s="2" t="str">
        <f>IFERROR(__xludf.DUMMYFUNCTION("""COMPUTED_VALUE"""),"hrobion2e@nsw.gov.au")</f>
        <v>hrobion2e@nsw.gov.au</v>
      </c>
      <c r="D1087" s="4">
        <f>IFERROR(__xludf.DUMMYFUNCTION("""COMPUTED_VALUE"""),122.0)</f>
        <v>122</v>
      </c>
      <c r="E1087" s="4">
        <f>IFERROR(__xludf.DUMMYFUNCTION("""COMPUTED_VALUE"""),82.0)</f>
        <v>82</v>
      </c>
      <c r="F1087" s="4">
        <f>IFERROR(__xludf.DUMMYFUNCTION("""COMPUTED_VALUE"""),1.0)</f>
        <v>1</v>
      </c>
      <c r="G1087" s="4">
        <f>IFERROR(__xludf.DUMMYFUNCTION("""COMPUTED_VALUE"""),494.0)</f>
        <v>494</v>
      </c>
      <c r="H1087" s="5">
        <f>IFERROR(__xludf.DUMMYFUNCTION("""COMPUTED_VALUE"""),9134.58)</f>
        <v>9134.58</v>
      </c>
      <c r="I1087" s="5">
        <f>IFERROR(__xludf.DUMMYFUNCTION("""COMPUTED_VALUE"""),1150.79)</f>
        <v>1150.79</v>
      </c>
      <c r="J1087" s="5">
        <f>IFERROR(__xludf.DUMMYFUNCTION("""COMPUTED_VALUE"""),8430.92)</f>
        <v>8430.92</v>
      </c>
      <c r="K1087" s="5">
        <f>IFERROR(__xludf.DUMMYFUNCTION("""COMPUTED_VALUE"""),7789.4)</f>
        <v>7789.4</v>
      </c>
      <c r="L1087" s="4">
        <f>IFERROR(__xludf.DUMMYFUNCTION("""COMPUTED_VALUE"""),6.0)</f>
        <v>6</v>
      </c>
      <c r="M1087" s="4">
        <f>IFERROR(__xludf.DUMMYFUNCTION("""COMPUTED_VALUE"""),21.0)</f>
        <v>21</v>
      </c>
      <c r="N1087" s="2" t="str">
        <f>IFERROR(__xludf.DUMMYFUNCTION("""COMPUTED_VALUE"""),"FALSO")</f>
        <v>FALSO</v>
      </c>
    </row>
    <row r="1088">
      <c r="A1088" s="2">
        <f>IFERROR(__xludf.DUMMYFUNCTION("""COMPUTED_VALUE"""),1087.0)</f>
        <v>1087</v>
      </c>
      <c r="B1088" s="2" t="str">
        <f>IFERROR(__xludf.DUMMYFUNCTION("""COMPUTED_VALUE"""),"Sherri MacLaig")</f>
        <v>Sherri MacLaig</v>
      </c>
      <c r="C1088" s="2" t="str">
        <f>IFERROR(__xludf.DUMMYFUNCTION("""COMPUTED_VALUE"""),"smaclaig2f@hao123.com")</f>
        <v>smaclaig2f@hao123.com</v>
      </c>
      <c r="D1088" s="4">
        <f>IFERROR(__xludf.DUMMYFUNCTION("""COMPUTED_VALUE"""),124.0)</f>
        <v>124</v>
      </c>
      <c r="E1088" s="4">
        <f>IFERROR(__xludf.DUMMYFUNCTION("""COMPUTED_VALUE"""),73.0)</f>
        <v>73</v>
      </c>
      <c r="F1088" s="4">
        <f>IFERROR(__xludf.DUMMYFUNCTION("""COMPUTED_VALUE"""),8.0)</f>
        <v>8</v>
      </c>
      <c r="G1088" s="4">
        <f>IFERROR(__xludf.DUMMYFUNCTION("""COMPUTED_VALUE"""),696.0)</f>
        <v>696</v>
      </c>
      <c r="H1088" s="5">
        <f>IFERROR(__xludf.DUMMYFUNCTION("""COMPUTED_VALUE"""),6297.27)</f>
        <v>6297.27</v>
      </c>
      <c r="I1088" s="5">
        <f>IFERROR(__xludf.DUMMYFUNCTION("""COMPUTED_VALUE"""),2748.03)</f>
        <v>2748.03</v>
      </c>
      <c r="J1088" s="5">
        <f>IFERROR(__xludf.DUMMYFUNCTION("""COMPUTED_VALUE"""),2195.94)</f>
        <v>2195.94</v>
      </c>
      <c r="K1088" s="5">
        <f>IFERROR(__xludf.DUMMYFUNCTION("""COMPUTED_VALUE"""),323.6)</f>
        <v>323.6</v>
      </c>
      <c r="L1088" s="4">
        <f>IFERROR(__xludf.DUMMYFUNCTION("""COMPUTED_VALUE"""),9.0)</f>
        <v>9</v>
      </c>
      <c r="M1088" s="4">
        <f>IFERROR(__xludf.DUMMYFUNCTION("""COMPUTED_VALUE"""),58.0)</f>
        <v>58</v>
      </c>
      <c r="N1088" s="2" t="str">
        <f>IFERROR(__xludf.DUMMYFUNCTION("""COMPUTED_VALUE"""),"FALSO")</f>
        <v>FALSO</v>
      </c>
    </row>
    <row r="1089">
      <c r="A1089" s="2">
        <f>IFERROR(__xludf.DUMMYFUNCTION("""COMPUTED_VALUE"""),1088.0)</f>
        <v>1088</v>
      </c>
      <c r="B1089" s="2" t="str">
        <f>IFERROR(__xludf.DUMMYFUNCTION("""COMPUTED_VALUE"""),"Ruben Castletine")</f>
        <v>Ruben Castletine</v>
      </c>
      <c r="C1089" s="2" t="str">
        <f>IFERROR(__xludf.DUMMYFUNCTION("""COMPUTED_VALUE"""),"rcastletine2g@over-blog.com")</f>
        <v>rcastletine2g@over-blog.com</v>
      </c>
      <c r="D1089" s="4">
        <f>IFERROR(__xludf.DUMMYFUNCTION("""COMPUTED_VALUE"""),5.0)</f>
        <v>5</v>
      </c>
      <c r="E1089" s="4">
        <f>IFERROR(__xludf.DUMMYFUNCTION("""COMPUTED_VALUE"""),99.0)</f>
        <v>99</v>
      </c>
      <c r="F1089" s="4">
        <f>IFERROR(__xludf.DUMMYFUNCTION("""COMPUTED_VALUE"""),1.0)</f>
        <v>1</v>
      </c>
      <c r="G1089" s="4">
        <f>IFERROR(__xludf.DUMMYFUNCTION("""COMPUTED_VALUE"""),1546.0)</f>
        <v>1546</v>
      </c>
      <c r="H1089" s="5">
        <f>IFERROR(__xludf.DUMMYFUNCTION("""COMPUTED_VALUE"""),464.55)</f>
        <v>464.55</v>
      </c>
      <c r="I1089" s="5">
        <f>IFERROR(__xludf.DUMMYFUNCTION("""COMPUTED_VALUE"""),359.67)</f>
        <v>359.67</v>
      </c>
      <c r="J1089" s="5">
        <f>IFERROR(__xludf.DUMMYFUNCTION("""COMPUTED_VALUE"""),41.29)</f>
        <v>41.29</v>
      </c>
      <c r="K1089" s="5">
        <f>IFERROR(__xludf.DUMMYFUNCTION("""COMPUTED_VALUE"""),750.52)</f>
        <v>750.52</v>
      </c>
      <c r="L1089" s="4">
        <f>IFERROR(__xludf.DUMMYFUNCTION("""COMPUTED_VALUE"""),19.0)</f>
        <v>19</v>
      </c>
      <c r="M1089" s="4">
        <f>IFERROR(__xludf.DUMMYFUNCTION("""COMPUTED_VALUE"""),68.0)</f>
        <v>68</v>
      </c>
      <c r="N1089" s="2" t="str">
        <f>IFERROR(__xludf.DUMMYFUNCTION("""COMPUTED_VALUE"""),"VERDADERO")</f>
        <v>VERDADERO</v>
      </c>
    </row>
    <row r="1090">
      <c r="A1090" s="2">
        <f>IFERROR(__xludf.DUMMYFUNCTION("""COMPUTED_VALUE"""),1089.0)</f>
        <v>1089</v>
      </c>
      <c r="B1090" s="2" t="str">
        <f>IFERROR(__xludf.DUMMYFUNCTION("""COMPUTED_VALUE"""),"Kele Breem")</f>
        <v>Kele Breem</v>
      </c>
      <c r="C1090" s="2" t="str">
        <f>IFERROR(__xludf.DUMMYFUNCTION("""COMPUTED_VALUE"""),"kbreem2h@auda.org.au")</f>
        <v>kbreem2h@auda.org.au</v>
      </c>
      <c r="D1090" s="4">
        <f>IFERROR(__xludf.DUMMYFUNCTION("""COMPUTED_VALUE"""),49.0)</f>
        <v>49</v>
      </c>
      <c r="E1090" s="4">
        <f>IFERROR(__xludf.DUMMYFUNCTION("""COMPUTED_VALUE"""),81.0)</f>
        <v>81</v>
      </c>
      <c r="F1090" s="4">
        <f>IFERROR(__xludf.DUMMYFUNCTION("""COMPUTED_VALUE"""),2.0)</f>
        <v>2</v>
      </c>
      <c r="G1090" s="4">
        <f>IFERROR(__xludf.DUMMYFUNCTION("""COMPUTED_VALUE"""),1556.0)</f>
        <v>1556</v>
      </c>
      <c r="H1090" s="5">
        <f>IFERROR(__xludf.DUMMYFUNCTION("""COMPUTED_VALUE"""),8394.57)</f>
        <v>8394.57</v>
      </c>
      <c r="I1090" s="5">
        <f>IFERROR(__xludf.DUMMYFUNCTION("""COMPUTED_VALUE"""),5661.26)</f>
        <v>5661.26</v>
      </c>
      <c r="J1090" s="5">
        <f>IFERROR(__xludf.DUMMYFUNCTION("""COMPUTED_VALUE"""),6561.85)</f>
        <v>6561.85</v>
      </c>
      <c r="K1090" s="5">
        <f>IFERROR(__xludf.DUMMYFUNCTION("""COMPUTED_VALUE"""),3215.24)</f>
        <v>3215.24</v>
      </c>
      <c r="L1090" s="4">
        <f>IFERROR(__xludf.DUMMYFUNCTION("""COMPUTED_VALUE"""),11.0)</f>
        <v>11</v>
      </c>
      <c r="M1090" s="4">
        <f>IFERROR(__xludf.DUMMYFUNCTION("""COMPUTED_VALUE"""),62.0)</f>
        <v>62</v>
      </c>
      <c r="N1090" s="2" t="str">
        <f>IFERROR(__xludf.DUMMYFUNCTION("""COMPUTED_VALUE"""),"FALSO")</f>
        <v>FALSO</v>
      </c>
    </row>
    <row r="1091">
      <c r="A1091" s="2">
        <f>IFERROR(__xludf.DUMMYFUNCTION("""COMPUTED_VALUE"""),1090.0)</f>
        <v>1090</v>
      </c>
      <c r="B1091" s="2" t="str">
        <f>IFERROR(__xludf.DUMMYFUNCTION("""COMPUTED_VALUE"""),"Rebe Tukesby")</f>
        <v>Rebe Tukesby</v>
      </c>
      <c r="C1091" s="2" t="str">
        <f>IFERROR(__xludf.DUMMYFUNCTION("""COMPUTED_VALUE"""),"rtukesby2i@t-online.de")</f>
        <v>rtukesby2i@t-online.de</v>
      </c>
      <c r="D1091" s="4">
        <f>IFERROR(__xludf.DUMMYFUNCTION("""COMPUTED_VALUE"""),29.0)</f>
        <v>29</v>
      </c>
      <c r="E1091" s="4">
        <f>IFERROR(__xludf.DUMMYFUNCTION("""COMPUTED_VALUE"""),106.0)</f>
        <v>106</v>
      </c>
      <c r="F1091" s="4">
        <f>IFERROR(__xludf.DUMMYFUNCTION("""COMPUTED_VALUE"""),4.0)</f>
        <v>4</v>
      </c>
      <c r="G1091" s="4">
        <f>IFERROR(__xludf.DUMMYFUNCTION("""COMPUTED_VALUE"""),901.0)</f>
        <v>901</v>
      </c>
      <c r="H1091" s="5">
        <f>IFERROR(__xludf.DUMMYFUNCTION("""COMPUTED_VALUE"""),8870.47)</f>
        <v>8870.47</v>
      </c>
      <c r="I1091" s="5">
        <f>IFERROR(__xludf.DUMMYFUNCTION("""COMPUTED_VALUE"""),8664.68)</f>
        <v>8664.68</v>
      </c>
      <c r="J1091" s="5">
        <f>IFERROR(__xludf.DUMMYFUNCTION("""COMPUTED_VALUE"""),9064.28)</f>
        <v>9064.28</v>
      </c>
      <c r="K1091" s="5">
        <f>IFERROR(__xludf.DUMMYFUNCTION("""COMPUTED_VALUE"""),2683.11)</f>
        <v>2683.11</v>
      </c>
      <c r="L1091" s="4">
        <f>IFERROR(__xludf.DUMMYFUNCTION("""COMPUTED_VALUE"""),12.0)</f>
        <v>12</v>
      </c>
      <c r="M1091" s="4">
        <f>IFERROR(__xludf.DUMMYFUNCTION("""COMPUTED_VALUE"""),33.0)</f>
        <v>33</v>
      </c>
      <c r="N1091" s="2" t="str">
        <f>IFERROR(__xludf.DUMMYFUNCTION("""COMPUTED_VALUE"""),"FALSO")</f>
        <v>FALSO</v>
      </c>
    </row>
    <row r="1092">
      <c r="A1092" s="2">
        <f>IFERROR(__xludf.DUMMYFUNCTION("""COMPUTED_VALUE"""),1091.0)</f>
        <v>1091</v>
      </c>
      <c r="B1092" s="2" t="str">
        <f>IFERROR(__xludf.DUMMYFUNCTION("""COMPUTED_VALUE"""),"Madlen De Ruggiero")</f>
        <v>Madlen De Ruggiero</v>
      </c>
      <c r="C1092" s="2" t="str">
        <f>IFERROR(__xludf.DUMMYFUNCTION("""COMPUTED_VALUE"""),"mde2j@miibeian.gov.cn")</f>
        <v>mde2j@miibeian.gov.cn</v>
      </c>
      <c r="D1092" s="4">
        <f>IFERROR(__xludf.DUMMYFUNCTION("""COMPUTED_VALUE"""),150.0)</f>
        <v>150</v>
      </c>
      <c r="E1092" s="4">
        <f>IFERROR(__xludf.DUMMYFUNCTION("""COMPUTED_VALUE"""),113.0)</f>
        <v>113</v>
      </c>
      <c r="F1092" s="4">
        <f>IFERROR(__xludf.DUMMYFUNCTION("""COMPUTED_VALUE"""),5.0)</f>
        <v>5</v>
      </c>
      <c r="G1092" s="4">
        <f>IFERROR(__xludf.DUMMYFUNCTION("""COMPUTED_VALUE"""),963.0)</f>
        <v>963</v>
      </c>
      <c r="H1092" s="5">
        <f>IFERROR(__xludf.DUMMYFUNCTION("""COMPUTED_VALUE"""),9380.77)</f>
        <v>9380.77</v>
      </c>
      <c r="I1092" s="5">
        <f>IFERROR(__xludf.DUMMYFUNCTION("""COMPUTED_VALUE"""),2952.91)</f>
        <v>2952.91</v>
      </c>
      <c r="J1092" s="5">
        <f>IFERROR(__xludf.DUMMYFUNCTION("""COMPUTED_VALUE"""),1111.22)</f>
        <v>1111.22</v>
      </c>
      <c r="K1092" s="5">
        <f>IFERROR(__xludf.DUMMYFUNCTION("""COMPUTED_VALUE"""),2496.62)</f>
        <v>2496.62</v>
      </c>
      <c r="L1092" s="4">
        <f>IFERROR(__xludf.DUMMYFUNCTION("""COMPUTED_VALUE"""),6.0)</f>
        <v>6</v>
      </c>
      <c r="M1092" s="4">
        <f>IFERROR(__xludf.DUMMYFUNCTION("""COMPUTED_VALUE"""),30.0)</f>
        <v>30</v>
      </c>
      <c r="N1092" s="2" t="str">
        <f>IFERROR(__xludf.DUMMYFUNCTION("""COMPUTED_VALUE"""),"VERDADERO")</f>
        <v>VERDADERO</v>
      </c>
    </row>
    <row r="1093">
      <c r="A1093" s="2">
        <f>IFERROR(__xludf.DUMMYFUNCTION("""COMPUTED_VALUE"""),1092.0)</f>
        <v>1092</v>
      </c>
      <c r="B1093" s="2" t="str">
        <f>IFERROR(__xludf.DUMMYFUNCTION("""COMPUTED_VALUE"""),"Horten Toten")</f>
        <v>Horten Toten</v>
      </c>
      <c r="C1093" s="2" t="str">
        <f>IFERROR(__xludf.DUMMYFUNCTION("""COMPUTED_VALUE"""),"htoten2k@shareasale.com")</f>
        <v>htoten2k@shareasale.com</v>
      </c>
      <c r="D1093" s="4">
        <f>IFERROR(__xludf.DUMMYFUNCTION("""COMPUTED_VALUE"""),150.0)</f>
        <v>150</v>
      </c>
      <c r="E1093" s="4">
        <f>IFERROR(__xludf.DUMMYFUNCTION("""COMPUTED_VALUE"""),29.0)</f>
        <v>29</v>
      </c>
      <c r="F1093" s="4">
        <f>IFERROR(__xludf.DUMMYFUNCTION("""COMPUTED_VALUE"""),11.0)</f>
        <v>11</v>
      </c>
      <c r="G1093" s="4">
        <f>IFERROR(__xludf.DUMMYFUNCTION("""COMPUTED_VALUE"""),415.0)</f>
        <v>415</v>
      </c>
      <c r="H1093" s="5">
        <f>IFERROR(__xludf.DUMMYFUNCTION("""COMPUTED_VALUE"""),6241.88)</f>
        <v>6241.88</v>
      </c>
      <c r="I1093" s="5">
        <f>IFERROR(__xludf.DUMMYFUNCTION("""COMPUTED_VALUE"""),3177.98)</f>
        <v>3177.98</v>
      </c>
      <c r="J1093" s="5">
        <f>IFERROR(__xludf.DUMMYFUNCTION("""COMPUTED_VALUE"""),4674.04)</f>
        <v>4674.04</v>
      </c>
      <c r="K1093" s="5">
        <f>IFERROR(__xludf.DUMMYFUNCTION("""COMPUTED_VALUE"""),4374.39)</f>
        <v>4374.39</v>
      </c>
      <c r="L1093" s="4">
        <f>IFERROR(__xludf.DUMMYFUNCTION("""COMPUTED_VALUE"""),13.0)</f>
        <v>13</v>
      </c>
      <c r="M1093" s="4">
        <f>IFERROR(__xludf.DUMMYFUNCTION("""COMPUTED_VALUE"""),40.0)</f>
        <v>40</v>
      </c>
      <c r="N1093" s="2" t="str">
        <f>IFERROR(__xludf.DUMMYFUNCTION("""COMPUTED_VALUE"""),"FALSO")</f>
        <v>FALSO</v>
      </c>
    </row>
    <row r="1094">
      <c r="A1094" s="2">
        <f>IFERROR(__xludf.DUMMYFUNCTION("""COMPUTED_VALUE"""),1093.0)</f>
        <v>1093</v>
      </c>
      <c r="B1094" s="2" t="str">
        <f>IFERROR(__xludf.DUMMYFUNCTION("""COMPUTED_VALUE"""),"Lotta Marusik")</f>
        <v>Lotta Marusik</v>
      </c>
      <c r="C1094" s="2" t="str">
        <f>IFERROR(__xludf.DUMMYFUNCTION("""COMPUTED_VALUE"""),"lmarusik2l@hugedomains.com")</f>
        <v>lmarusik2l@hugedomains.com</v>
      </c>
      <c r="D1094" s="4">
        <f>IFERROR(__xludf.DUMMYFUNCTION("""COMPUTED_VALUE"""),65.0)</f>
        <v>65</v>
      </c>
      <c r="E1094" s="4">
        <f>IFERROR(__xludf.DUMMYFUNCTION("""COMPUTED_VALUE"""),81.0)</f>
        <v>81</v>
      </c>
      <c r="F1094" s="4">
        <f>IFERROR(__xludf.DUMMYFUNCTION("""COMPUTED_VALUE"""),2.0)</f>
        <v>2</v>
      </c>
      <c r="G1094" s="4">
        <f>IFERROR(__xludf.DUMMYFUNCTION("""COMPUTED_VALUE"""),693.0)</f>
        <v>693</v>
      </c>
      <c r="H1094" s="5">
        <f>IFERROR(__xludf.DUMMYFUNCTION("""COMPUTED_VALUE"""),6555.69)</f>
        <v>6555.69</v>
      </c>
      <c r="I1094" s="5">
        <f>IFERROR(__xludf.DUMMYFUNCTION("""COMPUTED_VALUE"""),1072.68)</f>
        <v>1072.68</v>
      </c>
      <c r="J1094" s="5">
        <f>IFERROR(__xludf.DUMMYFUNCTION("""COMPUTED_VALUE"""),8248.55)</f>
        <v>8248.55</v>
      </c>
      <c r="K1094" s="5">
        <f>IFERROR(__xludf.DUMMYFUNCTION("""COMPUTED_VALUE"""),7328.12)</f>
        <v>7328.12</v>
      </c>
      <c r="L1094" s="4">
        <f>IFERROR(__xludf.DUMMYFUNCTION("""COMPUTED_VALUE"""),9.0)</f>
        <v>9</v>
      </c>
      <c r="M1094" s="4">
        <f>IFERROR(__xludf.DUMMYFUNCTION("""COMPUTED_VALUE"""),10.0)</f>
        <v>10</v>
      </c>
      <c r="N1094" s="2" t="str">
        <f>IFERROR(__xludf.DUMMYFUNCTION("""COMPUTED_VALUE"""),"VERDADERO")</f>
        <v>VERDADERO</v>
      </c>
    </row>
    <row r="1095">
      <c r="A1095" s="2">
        <f>IFERROR(__xludf.DUMMYFUNCTION("""COMPUTED_VALUE"""),1094.0)</f>
        <v>1094</v>
      </c>
      <c r="B1095" s="2" t="str">
        <f>IFERROR(__xludf.DUMMYFUNCTION("""COMPUTED_VALUE"""),"Chick Gaveltone")</f>
        <v>Chick Gaveltone</v>
      </c>
      <c r="C1095" s="2" t="str">
        <f>IFERROR(__xludf.DUMMYFUNCTION("""COMPUTED_VALUE"""),"cgaveltone2m@epa.gov")</f>
        <v>cgaveltone2m@epa.gov</v>
      </c>
      <c r="D1095" s="4">
        <f>IFERROR(__xludf.DUMMYFUNCTION("""COMPUTED_VALUE"""),137.0)</f>
        <v>137</v>
      </c>
      <c r="E1095" s="4">
        <f>IFERROR(__xludf.DUMMYFUNCTION("""COMPUTED_VALUE"""),81.0)</f>
        <v>81</v>
      </c>
      <c r="F1095" s="4">
        <f>IFERROR(__xludf.DUMMYFUNCTION("""COMPUTED_VALUE"""),2.0)</f>
        <v>2</v>
      </c>
      <c r="G1095" s="4">
        <f>IFERROR(__xludf.DUMMYFUNCTION("""COMPUTED_VALUE"""),1557.0)</f>
        <v>1557</v>
      </c>
      <c r="H1095" s="5">
        <f>IFERROR(__xludf.DUMMYFUNCTION("""COMPUTED_VALUE"""),4584.98)</f>
        <v>4584.98</v>
      </c>
      <c r="I1095" s="5">
        <f>IFERROR(__xludf.DUMMYFUNCTION("""COMPUTED_VALUE"""),752.69)</f>
        <v>752.69</v>
      </c>
      <c r="J1095" s="5">
        <f>IFERROR(__xludf.DUMMYFUNCTION("""COMPUTED_VALUE"""),802.99)</f>
        <v>802.99</v>
      </c>
      <c r="K1095" s="5">
        <f>IFERROR(__xludf.DUMMYFUNCTION("""COMPUTED_VALUE"""),3393.62)</f>
        <v>3393.62</v>
      </c>
      <c r="L1095" s="4">
        <f>IFERROR(__xludf.DUMMYFUNCTION("""COMPUTED_VALUE"""),10.0)</f>
        <v>10</v>
      </c>
      <c r="M1095" s="4">
        <f>IFERROR(__xludf.DUMMYFUNCTION("""COMPUTED_VALUE"""),86.0)</f>
        <v>86</v>
      </c>
      <c r="N1095" s="2" t="str">
        <f>IFERROR(__xludf.DUMMYFUNCTION("""COMPUTED_VALUE"""),"FALSO")</f>
        <v>FALSO</v>
      </c>
    </row>
    <row r="1096">
      <c r="A1096" s="2">
        <f>IFERROR(__xludf.DUMMYFUNCTION("""COMPUTED_VALUE"""),1095.0)</f>
        <v>1095</v>
      </c>
      <c r="B1096" s="2" t="str">
        <f>IFERROR(__xludf.DUMMYFUNCTION("""COMPUTED_VALUE"""),"Even Briant")</f>
        <v>Even Briant</v>
      </c>
      <c r="C1096" s="2" t="str">
        <f>IFERROR(__xludf.DUMMYFUNCTION("""COMPUTED_VALUE"""),"ebriant2n@bigcartel.com")</f>
        <v>ebriant2n@bigcartel.com</v>
      </c>
      <c r="D1096" s="4">
        <f>IFERROR(__xludf.DUMMYFUNCTION("""COMPUTED_VALUE"""),65.0)</f>
        <v>65</v>
      </c>
      <c r="E1096" s="4">
        <f>IFERROR(__xludf.DUMMYFUNCTION("""COMPUTED_VALUE"""),81.0)</f>
        <v>81</v>
      </c>
      <c r="F1096" s="4">
        <f>IFERROR(__xludf.DUMMYFUNCTION("""COMPUTED_VALUE"""),2.0)</f>
        <v>2</v>
      </c>
      <c r="G1096" s="4">
        <f>IFERROR(__xludf.DUMMYFUNCTION("""COMPUTED_VALUE"""),574.0)</f>
        <v>574</v>
      </c>
      <c r="H1096" s="5">
        <f>IFERROR(__xludf.DUMMYFUNCTION("""COMPUTED_VALUE"""),2370.72)</f>
        <v>2370.72</v>
      </c>
      <c r="I1096" s="5">
        <f>IFERROR(__xludf.DUMMYFUNCTION("""COMPUTED_VALUE"""),1037.94)</f>
        <v>1037.94</v>
      </c>
      <c r="J1096" s="5">
        <f>IFERROR(__xludf.DUMMYFUNCTION("""COMPUTED_VALUE"""),343.79)</f>
        <v>343.79</v>
      </c>
      <c r="K1096" s="5">
        <f>IFERROR(__xludf.DUMMYFUNCTION("""COMPUTED_VALUE"""),3463.35)</f>
        <v>3463.35</v>
      </c>
      <c r="L1096" s="4">
        <f>IFERROR(__xludf.DUMMYFUNCTION("""COMPUTED_VALUE"""),13.0)</f>
        <v>13</v>
      </c>
      <c r="M1096" s="4">
        <f>IFERROR(__xludf.DUMMYFUNCTION("""COMPUTED_VALUE"""),15.0)</f>
        <v>15</v>
      </c>
      <c r="N1096" s="2" t="str">
        <f>IFERROR(__xludf.DUMMYFUNCTION("""COMPUTED_VALUE"""),"FALSO")</f>
        <v>FALSO</v>
      </c>
    </row>
    <row r="1097">
      <c r="A1097" s="2">
        <f>IFERROR(__xludf.DUMMYFUNCTION("""COMPUTED_VALUE"""),1096.0)</f>
        <v>1096</v>
      </c>
      <c r="B1097" s="2" t="str">
        <f>IFERROR(__xludf.DUMMYFUNCTION("""COMPUTED_VALUE"""),"Vallie Noirel")</f>
        <v>Vallie Noirel</v>
      </c>
      <c r="C1097" s="2" t="str">
        <f>IFERROR(__xludf.DUMMYFUNCTION("""COMPUTED_VALUE"""),"vnoirel2o@who.int")</f>
        <v>vnoirel2o@who.int</v>
      </c>
      <c r="D1097" s="4">
        <f>IFERROR(__xludf.DUMMYFUNCTION("""COMPUTED_VALUE"""),5.0)</f>
        <v>5</v>
      </c>
      <c r="E1097" s="4">
        <f>IFERROR(__xludf.DUMMYFUNCTION("""COMPUTED_VALUE"""),107.0)</f>
        <v>107</v>
      </c>
      <c r="F1097" s="4">
        <f>IFERROR(__xludf.DUMMYFUNCTION("""COMPUTED_VALUE"""),5.0)</f>
        <v>5</v>
      </c>
      <c r="G1097" s="4">
        <f>IFERROR(__xludf.DUMMYFUNCTION("""COMPUTED_VALUE"""),1219.0)</f>
        <v>1219</v>
      </c>
      <c r="H1097" s="5">
        <f>IFERROR(__xludf.DUMMYFUNCTION("""COMPUTED_VALUE"""),846.4)</f>
        <v>846.4</v>
      </c>
      <c r="I1097" s="5">
        <f>IFERROR(__xludf.DUMMYFUNCTION("""COMPUTED_VALUE"""),6492.94)</f>
        <v>6492.94</v>
      </c>
      <c r="J1097" s="5">
        <f>IFERROR(__xludf.DUMMYFUNCTION("""COMPUTED_VALUE"""),8925.59)</f>
        <v>8925.59</v>
      </c>
      <c r="K1097" s="5">
        <f>IFERROR(__xludf.DUMMYFUNCTION("""COMPUTED_VALUE"""),9863.39)</f>
        <v>9863.39</v>
      </c>
      <c r="L1097" s="4">
        <f>IFERROR(__xludf.DUMMYFUNCTION("""COMPUTED_VALUE"""),17.0)</f>
        <v>17</v>
      </c>
      <c r="M1097" s="4">
        <f>IFERROR(__xludf.DUMMYFUNCTION("""COMPUTED_VALUE"""),9.0)</f>
        <v>9</v>
      </c>
      <c r="N1097" s="2" t="str">
        <f>IFERROR(__xludf.DUMMYFUNCTION("""COMPUTED_VALUE"""),"VERDADERO")</f>
        <v>VERDADERO</v>
      </c>
    </row>
    <row r="1098">
      <c r="A1098" s="2">
        <f>IFERROR(__xludf.DUMMYFUNCTION("""COMPUTED_VALUE"""),1097.0)</f>
        <v>1097</v>
      </c>
      <c r="B1098" s="2" t="str">
        <f>IFERROR(__xludf.DUMMYFUNCTION("""COMPUTED_VALUE"""),"Gale Creavan")</f>
        <v>Gale Creavan</v>
      </c>
      <c r="C1098" s="2" t="str">
        <f>IFERROR(__xludf.DUMMYFUNCTION("""COMPUTED_VALUE"""),"gcreavan2p@samsung.com")</f>
        <v>gcreavan2p@samsung.com</v>
      </c>
      <c r="D1098" s="4">
        <f>IFERROR(__xludf.DUMMYFUNCTION("""COMPUTED_VALUE"""),29.0)</f>
        <v>29</v>
      </c>
      <c r="E1098" s="4">
        <f>IFERROR(__xludf.DUMMYFUNCTION("""COMPUTED_VALUE"""),48.0)</f>
        <v>48</v>
      </c>
      <c r="F1098" s="4">
        <f>IFERROR(__xludf.DUMMYFUNCTION("""COMPUTED_VALUE"""),4.0)</f>
        <v>4</v>
      </c>
      <c r="G1098" s="4">
        <f>IFERROR(__xludf.DUMMYFUNCTION("""COMPUTED_VALUE"""),856.0)</f>
        <v>856</v>
      </c>
      <c r="H1098" s="5">
        <f>IFERROR(__xludf.DUMMYFUNCTION("""COMPUTED_VALUE"""),8906.73)</f>
        <v>8906.73</v>
      </c>
      <c r="I1098" s="5">
        <f>IFERROR(__xludf.DUMMYFUNCTION("""COMPUTED_VALUE"""),1910.78)</f>
        <v>1910.78</v>
      </c>
      <c r="J1098" s="5">
        <f>IFERROR(__xludf.DUMMYFUNCTION("""COMPUTED_VALUE"""),4402.01)</f>
        <v>4402.01</v>
      </c>
      <c r="K1098" s="5">
        <f>IFERROR(__xludf.DUMMYFUNCTION("""COMPUTED_VALUE"""),5233.64)</f>
        <v>5233.64</v>
      </c>
      <c r="L1098" s="4">
        <f>IFERROR(__xludf.DUMMYFUNCTION("""COMPUTED_VALUE"""),3.0)</f>
        <v>3</v>
      </c>
      <c r="M1098" s="4">
        <f>IFERROR(__xludf.DUMMYFUNCTION("""COMPUTED_VALUE"""),67.0)</f>
        <v>67</v>
      </c>
      <c r="N1098" s="2" t="str">
        <f>IFERROR(__xludf.DUMMYFUNCTION("""COMPUTED_VALUE"""),"VERDADERO")</f>
        <v>VERDADERO</v>
      </c>
    </row>
    <row r="1099">
      <c r="A1099" s="2">
        <f>IFERROR(__xludf.DUMMYFUNCTION("""COMPUTED_VALUE"""),1098.0)</f>
        <v>1098</v>
      </c>
      <c r="B1099" s="2" t="str">
        <f>IFERROR(__xludf.DUMMYFUNCTION("""COMPUTED_VALUE"""),"Barbe MacGillivray")</f>
        <v>Barbe MacGillivray</v>
      </c>
      <c r="C1099" s="2" t="str">
        <f>IFERROR(__xludf.DUMMYFUNCTION("""COMPUTED_VALUE"""),"bmacgillivray2q@istockphoto.com")</f>
        <v>bmacgillivray2q@istockphoto.com</v>
      </c>
      <c r="D1099" s="4">
        <f>IFERROR(__xludf.DUMMYFUNCTION("""COMPUTED_VALUE"""),120.0)</f>
        <v>120</v>
      </c>
      <c r="E1099" s="4">
        <f>IFERROR(__xludf.DUMMYFUNCTION("""COMPUTED_VALUE"""),81.0)</f>
        <v>81</v>
      </c>
      <c r="F1099" s="4">
        <f>IFERROR(__xludf.DUMMYFUNCTION("""COMPUTED_VALUE"""),2.0)</f>
        <v>2</v>
      </c>
      <c r="G1099" s="4">
        <f>IFERROR(__xludf.DUMMYFUNCTION("""COMPUTED_VALUE"""),1481.0)</f>
        <v>1481</v>
      </c>
      <c r="H1099" s="5">
        <f>IFERROR(__xludf.DUMMYFUNCTION("""COMPUTED_VALUE"""),1978.14)</f>
        <v>1978.14</v>
      </c>
      <c r="I1099" s="5">
        <f>IFERROR(__xludf.DUMMYFUNCTION("""COMPUTED_VALUE"""),1538.44)</f>
        <v>1538.44</v>
      </c>
      <c r="J1099" s="5">
        <f>IFERROR(__xludf.DUMMYFUNCTION("""COMPUTED_VALUE"""),4670.75)</f>
        <v>4670.75</v>
      </c>
      <c r="K1099" s="5">
        <f>IFERROR(__xludf.DUMMYFUNCTION("""COMPUTED_VALUE"""),8138.73)</f>
        <v>8138.73</v>
      </c>
      <c r="L1099" s="4">
        <f>IFERROR(__xludf.DUMMYFUNCTION("""COMPUTED_VALUE"""),17.0)</f>
        <v>17</v>
      </c>
      <c r="M1099" s="4">
        <f>IFERROR(__xludf.DUMMYFUNCTION("""COMPUTED_VALUE"""),67.0)</f>
        <v>67</v>
      </c>
      <c r="N1099" s="2" t="str">
        <f>IFERROR(__xludf.DUMMYFUNCTION("""COMPUTED_VALUE"""),"FALSO")</f>
        <v>FALSO</v>
      </c>
    </row>
    <row r="1100">
      <c r="A1100" s="2">
        <f>IFERROR(__xludf.DUMMYFUNCTION("""COMPUTED_VALUE"""),1099.0)</f>
        <v>1099</v>
      </c>
      <c r="B1100" s="2" t="str">
        <f>IFERROR(__xludf.DUMMYFUNCTION("""COMPUTED_VALUE"""),"Hamlin Bilbrey")</f>
        <v>Hamlin Bilbrey</v>
      </c>
      <c r="C1100" s="2" t="str">
        <f>IFERROR(__xludf.DUMMYFUNCTION("""COMPUTED_VALUE"""),"hbilbrey2r@google.ru")</f>
        <v>hbilbrey2r@google.ru</v>
      </c>
      <c r="D1100" s="4">
        <f>IFERROR(__xludf.DUMMYFUNCTION("""COMPUTED_VALUE"""),29.0)</f>
        <v>29</v>
      </c>
      <c r="E1100" s="4">
        <f>IFERROR(__xludf.DUMMYFUNCTION("""COMPUTED_VALUE"""),99.0)</f>
        <v>99</v>
      </c>
      <c r="F1100" s="4">
        <f>IFERROR(__xludf.DUMMYFUNCTION("""COMPUTED_VALUE"""),1.0)</f>
        <v>1</v>
      </c>
      <c r="G1100" s="4">
        <f>IFERROR(__xludf.DUMMYFUNCTION("""COMPUTED_VALUE"""),344.0)</f>
        <v>344</v>
      </c>
      <c r="H1100" s="5">
        <f>IFERROR(__xludf.DUMMYFUNCTION("""COMPUTED_VALUE"""),8577.34)</f>
        <v>8577.34</v>
      </c>
      <c r="I1100" s="5">
        <f>IFERROR(__xludf.DUMMYFUNCTION("""COMPUTED_VALUE"""),1632.43)</f>
        <v>1632.43</v>
      </c>
      <c r="J1100" s="5">
        <f>IFERROR(__xludf.DUMMYFUNCTION("""COMPUTED_VALUE"""),7966.76)</f>
        <v>7966.76</v>
      </c>
      <c r="K1100" s="5">
        <f>IFERROR(__xludf.DUMMYFUNCTION("""COMPUTED_VALUE"""),3678.37)</f>
        <v>3678.37</v>
      </c>
      <c r="L1100" s="4">
        <f>IFERROR(__xludf.DUMMYFUNCTION("""COMPUTED_VALUE"""),16.0)</f>
        <v>16</v>
      </c>
      <c r="M1100" s="4">
        <f>IFERROR(__xludf.DUMMYFUNCTION("""COMPUTED_VALUE"""),7.0)</f>
        <v>7</v>
      </c>
      <c r="N1100" s="2" t="str">
        <f>IFERROR(__xludf.DUMMYFUNCTION("""COMPUTED_VALUE"""),"FALSO")</f>
        <v>FALSO</v>
      </c>
    </row>
    <row r="1101">
      <c r="A1101" s="2">
        <f>IFERROR(__xludf.DUMMYFUNCTION("""COMPUTED_VALUE"""),1100.0)</f>
        <v>1100</v>
      </c>
      <c r="B1101" s="2" t="str">
        <f>IFERROR(__xludf.DUMMYFUNCTION("""COMPUTED_VALUE"""),"Boonie Sudy")</f>
        <v>Boonie Sudy</v>
      </c>
      <c r="C1101" s="2" t="str">
        <f>IFERROR(__xludf.DUMMYFUNCTION("""COMPUTED_VALUE"""),"bsudy2s@squarespace.com")</f>
        <v>bsudy2s@squarespace.com</v>
      </c>
      <c r="D1101" s="4">
        <f>IFERROR(__xludf.DUMMYFUNCTION("""COMPUTED_VALUE"""),88.0)</f>
        <v>88</v>
      </c>
      <c r="E1101" s="4">
        <f>IFERROR(__xludf.DUMMYFUNCTION("""COMPUTED_VALUE"""),81.0)</f>
        <v>81</v>
      </c>
      <c r="F1101" s="4">
        <f>IFERROR(__xludf.DUMMYFUNCTION("""COMPUTED_VALUE"""),2.0)</f>
        <v>2</v>
      </c>
      <c r="G1101" s="4">
        <f>IFERROR(__xludf.DUMMYFUNCTION("""COMPUTED_VALUE"""),272.0)</f>
        <v>272</v>
      </c>
      <c r="H1101" s="5">
        <f>IFERROR(__xludf.DUMMYFUNCTION("""COMPUTED_VALUE"""),146.8)</f>
        <v>146.8</v>
      </c>
      <c r="I1101" s="5">
        <f>IFERROR(__xludf.DUMMYFUNCTION("""COMPUTED_VALUE"""),6325.8)</f>
        <v>6325.8</v>
      </c>
      <c r="J1101" s="5">
        <f>IFERROR(__xludf.DUMMYFUNCTION("""COMPUTED_VALUE"""),5082.08)</f>
        <v>5082.08</v>
      </c>
      <c r="K1101" s="5">
        <f>IFERROR(__xludf.DUMMYFUNCTION("""COMPUTED_VALUE"""),4772.89)</f>
        <v>4772.89</v>
      </c>
      <c r="L1101" s="4">
        <f>IFERROR(__xludf.DUMMYFUNCTION("""COMPUTED_VALUE"""),19.0)</f>
        <v>19</v>
      </c>
      <c r="M1101" s="4">
        <f>IFERROR(__xludf.DUMMYFUNCTION("""COMPUTED_VALUE"""),99.0)</f>
        <v>99</v>
      </c>
      <c r="N1101" s="2" t="str">
        <f>IFERROR(__xludf.DUMMYFUNCTION("""COMPUTED_VALUE"""),"VERDADERO")</f>
        <v>VERDADERO</v>
      </c>
    </row>
    <row r="1102">
      <c r="A1102" s="2">
        <f>IFERROR(__xludf.DUMMYFUNCTION("""COMPUTED_VALUE"""),1101.0)</f>
        <v>1101</v>
      </c>
      <c r="B1102" s="2" t="str">
        <f>IFERROR(__xludf.DUMMYFUNCTION("""COMPUTED_VALUE"""),"Candace Perris")</f>
        <v>Candace Perris</v>
      </c>
      <c r="C1102" s="2" t="str">
        <f>IFERROR(__xludf.DUMMYFUNCTION("""COMPUTED_VALUE"""),"cperris2t@phoca.cz")</f>
        <v>cperris2t@phoca.cz</v>
      </c>
      <c r="D1102" s="4">
        <f>IFERROR(__xludf.DUMMYFUNCTION("""COMPUTED_VALUE"""),49.0)</f>
        <v>49</v>
      </c>
      <c r="E1102" s="4">
        <f>IFERROR(__xludf.DUMMYFUNCTION("""COMPUTED_VALUE"""),58.0)</f>
        <v>58</v>
      </c>
      <c r="F1102" s="4">
        <f>IFERROR(__xludf.DUMMYFUNCTION("""COMPUTED_VALUE"""),8.0)</f>
        <v>8</v>
      </c>
      <c r="G1102" s="4">
        <f>IFERROR(__xludf.DUMMYFUNCTION("""COMPUTED_VALUE"""),543.0)</f>
        <v>543</v>
      </c>
      <c r="H1102" s="5">
        <f>IFERROR(__xludf.DUMMYFUNCTION("""COMPUTED_VALUE"""),9442.59)</f>
        <v>9442.59</v>
      </c>
      <c r="I1102" s="5">
        <f>IFERROR(__xludf.DUMMYFUNCTION("""COMPUTED_VALUE"""),7483.55)</f>
        <v>7483.55</v>
      </c>
      <c r="J1102" s="5">
        <f>IFERROR(__xludf.DUMMYFUNCTION("""COMPUTED_VALUE"""),1961.7)</f>
        <v>1961.7</v>
      </c>
      <c r="K1102" s="5">
        <f>IFERROR(__xludf.DUMMYFUNCTION("""COMPUTED_VALUE"""),7994.88)</f>
        <v>7994.88</v>
      </c>
      <c r="L1102" s="4">
        <f>IFERROR(__xludf.DUMMYFUNCTION("""COMPUTED_VALUE"""),10.0)</f>
        <v>10</v>
      </c>
      <c r="M1102" s="4">
        <f>IFERROR(__xludf.DUMMYFUNCTION("""COMPUTED_VALUE"""),92.0)</f>
        <v>92</v>
      </c>
      <c r="N1102" s="2" t="str">
        <f>IFERROR(__xludf.DUMMYFUNCTION("""COMPUTED_VALUE"""),"FALSO")</f>
        <v>FALSO</v>
      </c>
    </row>
    <row r="1103">
      <c r="A1103" s="2">
        <f>IFERROR(__xludf.DUMMYFUNCTION("""COMPUTED_VALUE"""),1102.0)</f>
        <v>1102</v>
      </c>
      <c r="B1103" s="2" t="str">
        <f>IFERROR(__xludf.DUMMYFUNCTION("""COMPUTED_VALUE"""),"Allis Hurlestone")</f>
        <v>Allis Hurlestone</v>
      </c>
      <c r="C1103" s="2" t="str">
        <f>IFERROR(__xludf.DUMMYFUNCTION("""COMPUTED_VALUE"""),"ahurlestone2u@newsvine.com")</f>
        <v>ahurlestone2u@newsvine.com</v>
      </c>
      <c r="D1103" s="4">
        <f>IFERROR(__xludf.DUMMYFUNCTION("""COMPUTED_VALUE"""),35.0)</f>
        <v>35</v>
      </c>
      <c r="E1103" s="4">
        <f>IFERROR(__xludf.DUMMYFUNCTION("""COMPUTED_VALUE"""),35.0)</f>
        <v>35</v>
      </c>
      <c r="F1103" s="4">
        <f>IFERROR(__xludf.DUMMYFUNCTION("""COMPUTED_VALUE"""),9.0)</f>
        <v>9</v>
      </c>
      <c r="G1103" s="4">
        <f>IFERROR(__xludf.DUMMYFUNCTION("""COMPUTED_VALUE"""),1594.0)</f>
        <v>1594</v>
      </c>
      <c r="H1103" s="5">
        <f>IFERROR(__xludf.DUMMYFUNCTION("""COMPUTED_VALUE"""),2393.25)</f>
        <v>2393.25</v>
      </c>
      <c r="I1103" s="5">
        <f>IFERROR(__xludf.DUMMYFUNCTION("""COMPUTED_VALUE"""),8697.95)</f>
        <v>8697.95</v>
      </c>
      <c r="J1103" s="5">
        <f>IFERROR(__xludf.DUMMYFUNCTION("""COMPUTED_VALUE"""),2117.99)</f>
        <v>2117.99</v>
      </c>
      <c r="K1103" s="5">
        <f>IFERROR(__xludf.DUMMYFUNCTION("""COMPUTED_VALUE"""),6028.01)</f>
        <v>6028.01</v>
      </c>
      <c r="L1103" s="4">
        <f>IFERROR(__xludf.DUMMYFUNCTION("""COMPUTED_VALUE"""),6.0)</f>
        <v>6</v>
      </c>
      <c r="M1103" s="4">
        <f>IFERROR(__xludf.DUMMYFUNCTION("""COMPUTED_VALUE"""),87.0)</f>
        <v>87</v>
      </c>
      <c r="N1103" s="2" t="str">
        <f>IFERROR(__xludf.DUMMYFUNCTION("""COMPUTED_VALUE"""),"VERDADERO")</f>
        <v>VERDADERO</v>
      </c>
    </row>
    <row r="1104">
      <c r="A1104" s="2">
        <f>IFERROR(__xludf.DUMMYFUNCTION("""COMPUTED_VALUE"""),1103.0)</f>
        <v>1103</v>
      </c>
      <c r="B1104" s="2" t="str">
        <f>IFERROR(__xludf.DUMMYFUNCTION("""COMPUTED_VALUE"""),"Dreddy Wallbrook")</f>
        <v>Dreddy Wallbrook</v>
      </c>
      <c r="C1104" s="2" t="str">
        <f>IFERROR(__xludf.DUMMYFUNCTION("""COMPUTED_VALUE"""),"dwallbrook2v@mac.com")</f>
        <v>dwallbrook2v@mac.com</v>
      </c>
      <c r="D1104" s="4">
        <f>IFERROR(__xludf.DUMMYFUNCTION("""COMPUTED_VALUE"""),29.0)</f>
        <v>29</v>
      </c>
      <c r="E1104" s="4">
        <f>IFERROR(__xludf.DUMMYFUNCTION("""COMPUTED_VALUE"""),119.0)</f>
        <v>119</v>
      </c>
      <c r="F1104" s="4">
        <f>IFERROR(__xludf.DUMMYFUNCTION("""COMPUTED_VALUE"""),10.0)</f>
        <v>10</v>
      </c>
      <c r="G1104" s="4">
        <f>IFERROR(__xludf.DUMMYFUNCTION("""COMPUTED_VALUE"""),1588.0)</f>
        <v>1588</v>
      </c>
      <c r="H1104" s="5">
        <f>IFERROR(__xludf.DUMMYFUNCTION("""COMPUTED_VALUE"""),3925.79)</f>
        <v>3925.79</v>
      </c>
      <c r="I1104" s="5">
        <f>IFERROR(__xludf.DUMMYFUNCTION("""COMPUTED_VALUE"""),9283.39)</f>
        <v>9283.39</v>
      </c>
      <c r="J1104" s="5">
        <f>IFERROR(__xludf.DUMMYFUNCTION("""COMPUTED_VALUE"""),1172.11)</f>
        <v>1172.11</v>
      </c>
      <c r="K1104" s="5">
        <f>IFERROR(__xludf.DUMMYFUNCTION("""COMPUTED_VALUE"""),9614.32)</f>
        <v>9614.32</v>
      </c>
      <c r="L1104" s="4">
        <f>IFERROR(__xludf.DUMMYFUNCTION("""COMPUTED_VALUE"""),5.0)</f>
        <v>5</v>
      </c>
      <c r="M1104" s="4">
        <f>IFERROR(__xludf.DUMMYFUNCTION("""COMPUTED_VALUE"""),46.0)</f>
        <v>46</v>
      </c>
      <c r="N1104" s="2" t="str">
        <f>IFERROR(__xludf.DUMMYFUNCTION("""COMPUTED_VALUE"""),"FALSO")</f>
        <v>FALSO</v>
      </c>
    </row>
    <row r="1105">
      <c r="A1105" s="2">
        <f>IFERROR(__xludf.DUMMYFUNCTION("""COMPUTED_VALUE"""),1104.0)</f>
        <v>1104</v>
      </c>
      <c r="B1105" s="2" t="str">
        <f>IFERROR(__xludf.DUMMYFUNCTION("""COMPUTED_VALUE"""),"Art Selwyn")</f>
        <v>Art Selwyn</v>
      </c>
      <c r="C1105" s="2" t="str">
        <f>IFERROR(__xludf.DUMMYFUNCTION("""COMPUTED_VALUE"""),"aselwyn2w@google.com.br")</f>
        <v>aselwyn2w@google.com.br</v>
      </c>
      <c r="D1105" s="4">
        <f>IFERROR(__xludf.DUMMYFUNCTION("""COMPUTED_VALUE"""),120.0)</f>
        <v>120</v>
      </c>
      <c r="E1105" s="4">
        <f>IFERROR(__xludf.DUMMYFUNCTION("""COMPUTED_VALUE"""),67.0)</f>
        <v>67</v>
      </c>
      <c r="F1105" s="4">
        <f>IFERROR(__xludf.DUMMYFUNCTION("""COMPUTED_VALUE"""),7.0)</f>
        <v>7</v>
      </c>
      <c r="G1105" s="4">
        <f>IFERROR(__xludf.DUMMYFUNCTION("""COMPUTED_VALUE"""),1450.0)</f>
        <v>1450</v>
      </c>
      <c r="H1105" s="5">
        <f>IFERROR(__xludf.DUMMYFUNCTION("""COMPUTED_VALUE"""),455.09)</f>
        <v>455.09</v>
      </c>
      <c r="I1105" s="5">
        <f>IFERROR(__xludf.DUMMYFUNCTION("""COMPUTED_VALUE"""),3364.0)</f>
        <v>3364</v>
      </c>
      <c r="J1105" s="5">
        <f>IFERROR(__xludf.DUMMYFUNCTION("""COMPUTED_VALUE"""),8910.61)</f>
        <v>8910.61</v>
      </c>
      <c r="K1105" s="5">
        <f>IFERROR(__xludf.DUMMYFUNCTION("""COMPUTED_VALUE"""),5218.66)</f>
        <v>5218.66</v>
      </c>
      <c r="L1105" s="4">
        <f>IFERROR(__xludf.DUMMYFUNCTION("""COMPUTED_VALUE"""),17.0)</f>
        <v>17</v>
      </c>
      <c r="M1105" s="4">
        <f>IFERROR(__xludf.DUMMYFUNCTION("""COMPUTED_VALUE"""),46.0)</f>
        <v>46</v>
      </c>
      <c r="N1105" s="2" t="str">
        <f>IFERROR(__xludf.DUMMYFUNCTION("""COMPUTED_VALUE"""),"VERDADERO")</f>
        <v>VERDADERO</v>
      </c>
    </row>
    <row r="1106">
      <c r="A1106" s="2">
        <f>IFERROR(__xludf.DUMMYFUNCTION("""COMPUTED_VALUE"""),1105.0)</f>
        <v>1105</v>
      </c>
      <c r="B1106" s="2" t="str">
        <f>IFERROR(__xludf.DUMMYFUNCTION("""COMPUTED_VALUE"""),"Thadeus Arnaud")</f>
        <v>Thadeus Arnaud</v>
      </c>
      <c r="C1106" s="2" t="str">
        <f>IFERROR(__xludf.DUMMYFUNCTION("""COMPUTED_VALUE"""),"tarnaud2x@sitemeter.com")</f>
        <v>tarnaud2x@sitemeter.com</v>
      </c>
      <c r="D1106" s="4">
        <f>IFERROR(__xludf.DUMMYFUNCTION("""COMPUTED_VALUE"""),29.0)</f>
        <v>29</v>
      </c>
      <c r="E1106" s="4">
        <f>IFERROR(__xludf.DUMMYFUNCTION("""COMPUTED_VALUE"""),59.0)</f>
        <v>59</v>
      </c>
      <c r="F1106" s="4">
        <f>IFERROR(__xludf.DUMMYFUNCTION("""COMPUTED_VALUE"""),10.0)</f>
        <v>10</v>
      </c>
      <c r="G1106" s="4">
        <f>IFERROR(__xludf.DUMMYFUNCTION("""COMPUTED_VALUE"""),1513.0)</f>
        <v>1513</v>
      </c>
      <c r="H1106" s="5">
        <f>IFERROR(__xludf.DUMMYFUNCTION("""COMPUTED_VALUE"""),7913.72)</f>
        <v>7913.72</v>
      </c>
      <c r="I1106" s="5">
        <f>IFERROR(__xludf.DUMMYFUNCTION("""COMPUTED_VALUE"""),7997.33)</f>
        <v>7997.33</v>
      </c>
      <c r="J1106" s="5">
        <f>IFERROR(__xludf.DUMMYFUNCTION("""COMPUTED_VALUE"""),7280.21)</f>
        <v>7280.21</v>
      </c>
      <c r="K1106" s="5">
        <f>IFERROR(__xludf.DUMMYFUNCTION("""COMPUTED_VALUE"""),9013.92)</f>
        <v>9013.92</v>
      </c>
      <c r="L1106" s="4">
        <f>IFERROR(__xludf.DUMMYFUNCTION("""COMPUTED_VALUE"""),12.0)</f>
        <v>12</v>
      </c>
      <c r="M1106" s="4">
        <f>IFERROR(__xludf.DUMMYFUNCTION("""COMPUTED_VALUE"""),56.0)</f>
        <v>56</v>
      </c>
      <c r="N1106" s="2" t="str">
        <f>IFERROR(__xludf.DUMMYFUNCTION("""COMPUTED_VALUE"""),"VERDADERO")</f>
        <v>VERDADERO</v>
      </c>
    </row>
    <row r="1107">
      <c r="A1107" s="2">
        <f>IFERROR(__xludf.DUMMYFUNCTION("""COMPUTED_VALUE"""),1106.0)</f>
        <v>1106</v>
      </c>
      <c r="B1107" s="2" t="str">
        <f>IFERROR(__xludf.DUMMYFUNCTION("""COMPUTED_VALUE"""),"Stormi Kerrod")</f>
        <v>Stormi Kerrod</v>
      </c>
      <c r="C1107" s="2" t="str">
        <f>IFERROR(__xludf.DUMMYFUNCTION("""COMPUTED_VALUE"""),"skerrod2y@berkeley.edu")</f>
        <v>skerrod2y@berkeley.edu</v>
      </c>
      <c r="D1107" s="4">
        <f>IFERROR(__xludf.DUMMYFUNCTION("""COMPUTED_VALUE"""),153.0)</f>
        <v>153</v>
      </c>
      <c r="E1107" s="4">
        <f>IFERROR(__xludf.DUMMYFUNCTION("""COMPUTED_VALUE"""),107.0)</f>
        <v>107</v>
      </c>
      <c r="F1107" s="4">
        <f>IFERROR(__xludf.DUMMYFUNCTION("""COMPUTED_VALUE"""),5.0)</f>
        <v>5</v>
      </c>
      <c r="G1107" s="4">
        <f>IFERROR(__xludf.DUMMYFUNCTION("""COMPUTED_VALUE"""),643.0)</f>
        <v>643</v>
      </c>
      <c r="H1107" s="5">
        <f>IFERROR(__xludf.DUMMYFUNCTION("""COMPUTED_VALUE"""),7011.86)</f>
        <v>7011.86</v>
      </c>
      <c r="I1107" s="5">
        <f>IFERROR(__xludf.DUMMYFUNCTION("""COMPUTED_VALUE"""),2134.08)</f>
        <v>2134.08</v>
      </c>
      <c r="J1107" s="5">
        <f>IFERROR(__xludf.DUMMYFUNCTION("""COMPUTED_VALUE"""),1772.59)</f>
        <v>1772.59</v>
      </c>
      <c r="K1107" s="5">
        <f>IFERROR(__xludf.DUMMYFUNCTION("""COMPUTED_VALUE"""),6906.87)</f>
        <v>6906.87</v>
      </c>
      <c r="L1107" s="4">
        <f>IFERROR(__xludf.DUMMYFUNCTION("""COMPUTED_VALUE"""),13.0)</f>
        <v>13</v>
      </c>
      <c r="M1107" s="4">
        <f>IFERROR(__xludf.DUMMYFUNCTION("""COMPUTED_VALUE"""),23.0)</f>
        <v>23</v>
      </c>
      <c r="N1107" s="2" t="str">
        <f>IFERROR(__xludf.DUMMYFUNCTION("""COMPUTED_VALUE"""),"VERDADERO")</f>
        <v>VERDADERO</v>
      </c>
    </row>
    <row r="1108">
      <c r="A1108" s="2">
        <f>IFERROR(__xludf.DUMMYFUNCTION("""COMPUTED_VALUE"""),1107.0)</f>
        <v>1107</v>
      </c>
      <c r="B1108" s="2" t="str">
        <f>IFERROR(__xludf.DUMMYFUNCTION("""COMPUTED_VALUE"""),"Carmel Strand")</f>
        <v>Carmel Strand</v>
      </c>
      <c r="C1108" s="2" t="str">
        <f>IFERROR(__xludf.DUMMYFUNCTION("""COMPUTED_VALUE"""),"cstrand2z@livejournal.com")</f>
        <v>cstrand2z@livejournal.com</v>
      </c>
      <c r="D1108" s="4">
        <f>IFERROR(__xludf.DUMMYFUNCTION("""COMPUTED_VALUE"""),157.0)</f>
        <v>157</v>
      </c>
      <c r="E1108" s="4">
        <f>IFERROR(__xludf.DUMMYFUNCTION("""COMPUTED_VALUE"""),64.0)</f>
        <v>64</v>
      </c>
      <c r="F1108" s="4">
        <f>IFERROR(__xludf.DUMMYFUNCTION("""COMPUTED_VALUE"""),4.0)</f>
        <v>4</v>
      </c>
      <c r="G1108" s="4">
        <f>IFERROR(__xludf.DUMMYFUNCTION("""COMPUTED_VALUE"""),1281.0)</f>
        <v>1281</v>
      </c>
      <c r="H1108" s="5">
        <f>IFERROR(__xludf.DUMMYFUNCTION("""COMPUTED_VALUE"""),2571.48)</f>
        <v>2571.48</v>
      </c>
      <c r="I1108" s="5">
        <f>IFERROR(__xludf.DUMMYFUNCTION("""COMPUTED_VALUE"""),2114.9)</f>
        <v>2114.9</v>
      </c>
      <c r="J1108" s="5">
        <f>IFERROR(__xludf.DUMMYFUNCTION("""COMPUTED_VALUE"""),7577.97)</f>
        <v>7577.97</v>
      </c>
      <c r="K1108" s="5">
        <f>IFERROR(__xludf.DUMMYFUNCTION("""COMPUTED_VALUE"""),9980.7)</f>
        <v>9980.7</v>
      </c>
      <c r="L1108" s="4">
        <f>IFERROR(__xludf.DUMMYFUNCTION("""COMPUTED_VALUE"""),13.0)</f>
        <v>13</v>
      </c>
      <c r="M1108" s="4">
        <f>IFERROR(__xludf.DUMMYFUNCTION("""COMPUTED_VALUE"""),13.0)</f>
        <v>13</v>
      </c>
      <c r="N1108" s="2" t="str">
        <f>IFERROR(__xludf.DUMMYFUNCTION("""COMPUTED_VALUE"""),"FALSO")</f>
        <v>FALSO</v>
      </c>
    </row>
    <row r="1109">
      <c r="A1109" s="2">
        <f>IFERROR(__xludf.DUMMYFUNCTION("""COMPUTED_VALUE"""),1108.0)</f>
        <v>1108</v>
      </c>
      <c r="B1109" s="2" t="str">
        <f>IFERROR(__xludf.DUMMYFUNCTION("""COMPUTED_VALUE"""),"Herb Pantry")</f>
        <v>Herb Pantry</v>
      </c>
      <c r="C1109" s="2" t="str">
        <f>IFERROR(__xludf.DUMMYFUNCTION("""COMPUTED_VALUE"""),"hpantry30@scientificamerican.com")</f>
        <v>hpantry30@scientificamerican.com</v>
      </c>
      <c r="D1109" s="4">
        <f>IFERROR(__xludf.DUMMYFUNCTION("""COMPUTED_VALUE"""),29.0)</f>
        <v>29</v>
      </c>
      <c r="E1109" s="4">
        <f>IFERROR(__xludf.DUMMYFUNCTION("""COMPUTED_VALUE"""),68.0)</f>
        <v>68</v>
      </c>
      <c r="F1109" s="4">
        <f>IFERROR(__xludf.DUMMYFUNCTION("""COMPUTED_VALUE"""),13.0)</f>
        <v>13</v>
      </c>
      <c r="G1109" s="4">
        <f>IFERROR(__xludf.DUMMYFUNCTION("""COMPUTED_VALUE"""),1115.0)</f>
        <v>1115</v>
      </c>
      <c r="H1109" s="5">
        <f>IFERROR(__xludf.DUMMYFUNCTION("""COMPUTED_VALUE"""),4316.66)</f>
        <v>4316.66</v>
      </c>
      <c r="I1109" s="5">
        <f>IFERROR(__xludf.DUMMYFUNCTION("""COMPUTED_VALUE"""),5095.86)</f>
        <v>5095.86</v>
      </c>
      <c r="J1109" s="5">
        <f>IFERROR(__xludf.DUMMYFUNCTION("""COMPUTED_VALUE"""),4886.23)</f>
        <v>4886.23</v>
      </c>
      <c r="K1109" s="5">
        <f>IFERROR(__xludf.DUMMYFUNCTION("""COMPUTED_VALUE"""),1634.21)</f>
        <v>1634.21</v>
      </c>
      <c r="L1109" s="4">
        <f>IFERROR(__xludf.DUMMYFUNCTION("""COMPUTED_VALUE"""),9.0)</f>
        <v>9</v>
      </c>
      <c r="M1109" s="4">
        <f>IFERROR(__xludf.DUMMYFUNCTION("""COMPUTED_VALUE"""),72.0)</f>
        <v>72</v>
      </c>
      <c r="N1109" s="2" t="str">
        <f>IFERROR(__xludf.DUMMYFUNCTION("""COMPUTED_VALUE"""),"VERDADERO")</f>
        <v>VERDADERO</v>
      </c>
    </row>
    <row r="1110">
      <c r="A1110" s="2">
        <f>IFERROR(__xludf.DUMMYFUNCTION("""COMPUTED_VALUE"""),1109.0)</f>
        <v>1109</v>
      </c>
      <c r="B1110" s="2" t="str">
        <f>IFERROR(__xludf.DUMMYFUNCTION("""COMPUTED_VALUE"""),"Fredrika Lendon")</f>
        <v>Fredrika Lendon</v>
      </c>
      <c r="C1110" s="2" t="str">
        <f>IFERROR(__xludf.DUMMYFUNCTION("""COMPUTED_VALUE"""),"flendon31@dropbox.com")</f>
        <v>flendon31@dropbox.com</v>
      </c>
      <c r="D1110" s="4">
        <f>IFERROR(__xludf.DUMMYFUNCTION("""COMPUTED_VALUE"""),29.0)</f>
        <v>29</v>
      </c>
      <c r="E1110" s="4">
        <f>IFERROR(__xludf.DUMMYFUNCTION("""COMPUTED_VALUE"""),81.0)</f>
        <v>81</v>
      </c>
      <c r="F1110" s="4">
        <f>IFERROR(__xludf.DUMMYFUNCTION("""COMPUTED_VALUE"""),2.0)</f>
        <v>2</v>
      </c>
      <c r="G1110" s="4">
        <f>IFERROR(__xludf.DUMMYFUNCTION("""COMPUTED_VALUE"""),203.0)</f>
        <v>203</v>
      </c>
      <c r="H1110" s="5">
        <f>IFERROR(__xludf.DUMMYFUNCTION("""COMPUTED_VALUE"""),2054.65)</f>
        <v>2054.65</v>
      </c>
      <c r="I1110" s="5">
        <f>IFERROR(__xludf.DUMMYFUNCTION("""COMPUTED_VALUE"""),7696.71)</f>
        <v>7696.71</v>
      </c>
      <c r="J1110" s="5">
        <f>IFERROR(__xludf.DUMMYFUNCTION("""COMPUTED_VALUE"""),7739.17)</f>
        <v>7739.17</v>
      </c>
      <c r="K1110" s="5">
        <f>IFERROR(__xludf.DUMMYFUNCTION("""COMPUTED_VALUE"""),895.01)</f>
        <v>895.01</v>
      </c>
      <c r="L1110" s="4">
        <f>IFERROR(__xludf.DUMMYFUNCTION("""COMPUTED_VALUE"""),14.0)</f>
        <v>14</v>
      </c>
      <c r="M1110" s="4">
        <f>IFERROR(__xludf.DUMMYFUNCTION("""COMPUTED_VALUE"""),71.0)</f>
        <v>71</v>
      </c>
      <c r="N1110" s="2" t="str">
        <f>IFERROR(__xludf.DUMMYFUNCTION("""COMPUTED_VALUE"""),"VERDADERO")</f>
        <v>VERDADERO</v>
      </c>
    </row>
    <row r="1111">
      <c r="A1111" s="2">
        <f>IFERROR(__xludf.DUMMYFUNCTION("""COMPUTED_VALUE"""),1110.0)</f>
        <v>1110</v>
      </c>
      <c r="B1111" s="2" t="str">
        <f>IFERROR(__xludf.DUMMYFUNCTION("""COMPUTED_VALUE"""),"Auguste Pifford")</f>
        <v>Auguste Pifford</v>
      </c>
      <c r="C1111" s="2" t="str">
        <f>IFERROR(__xludf.DUMMYFUNCTION("""COMPUTED_VALUE"""),"apifford32@creativecommons.org")</f>
        <v>apifford32@creativecommons.org</v>
      </c>
      <c r="D1111" s="4">
        <f>IFERROR(__xludf.DUMMYFUNCTION("""COMPUTED_VALUE"""),120.0)</f>
        <v>120</v>
      </c>
      <c r="E1111" s="4">
        <f>IFERROR(__xludf.DUMMYFUNCTION("""COMPUTED_VALUE"""),66.0)</f>
        <v>66</v>
      </c>
      <c r="F1111" s="4">
        <f>IFERROR(__xludf.DUMMYFUNCTION("""COMPUTED_VALUE"""),6.0)</f>
        <v>6</v>
      </c>
      <c r="G1111" s="4">
        <f>IFERROR(__xludf.DUMMYFUNCTION("""COMPUTED_VALUE"""),533.0)</f>
        <v>533</v>
      </c>
      <c r="H1111" s="5">
        <f>IFERROR(__xludf.DUMMYFUNCTION("""COMPUTED_VALUE"""),3965.32)</f>
        <v>3965.32</v>
      </c>
      <c r="I1111" s="5">
        <f>IFERROR(__xludf.DUMMYFUNCTION("""COMPUTED_VALUE"""),9409.53)</f>
        <v>9409.53</v>
      </c>
      <c r="J1111" s="5">
        <f>IFERROR(__xludf.DUMMYFUNCTION("""COMPUTED_VALUE"""),7269.98)</f>
        <v>7269.98</v>
      </c>
      <c r="K1111" s="5">
        <f>IFERROR(__xludf.DUMMYFUNCTION("""COMPUTED_VALUE"""),6427.32)</f>
        <v>6427.32</v>
      </c>
      <c r="L1111" s="4">
        <f>IFERROR(__xludf.DUMMYFUNCTION("""COMPUTED_VALUE"""),7.0)</f>
        <v>7</v>
      </c>
      <c r="M1111" s="4">
        <f>IFERROR(__xludf.DUMMYFUNCTION("""COMPUTED_VALUE"""),31.0)</f>
        <v>31</v>
      </c>
      <c r="N1111" s="2" t="str">
        <f>IFERROR(__xludf.DUMMYFUNCTION("""COMPUTED_VALUE"""),"VERDADERO")</f>
        <v>VERDADERO</v>
      </c>
    </row>
    <row r="1112">
      <c r="A1112" s="2">
        <f>IFERROR(__xludf.DUMMYFUNCTION("""COMPUTED_VALUE"""),1111.0)</f>
        <v>1111</v>
      </c>
      <c r="B1112" s="2" t="str">
        <f>IFERROR(__xludf.DUMMYFUNCTION("""COMPUTED_VALUE"""),"Derril Ca")</f>
        <v>Derril Ca</v>
      </c>
      <c r="C1112" s="2" t="str">
        <f>IFERROR(__xludf.DUMMYFUNCTION("""COMPUTED_VALUE"""),"dca33@unc.edu")</f>
        <v>dca33@unc.edu</v>
      </c>
      <c r="D1112" s="4">
        <f>IFERROR(__xludf.DUMMYFUNCTION("""COMPUTED_VALUE"""),143.0)</f>
        <v>143</v>
      </c>
      <c r="E1112" s="4">
        <f>IFERROR(__xludf.DUMMYFUNCTION("""COMPUTED_VALUE"""),40.0)</f>
        <v>40</v>
      </c>
      <c r="F1112" s="4">
        <f>IFERROR(__xludf.DUMMYFUNCTION("""COMPUTED_VALUE"""),1.0)</f>
        <v>1</v>
      </c>
      <c r="G1112" s="4">
        <f>IFERROR(__xludf.DUMMYFUNCTION("""COMPUTED_VALUE"""),730.0)</f>
        <v>730</v>
      </c>
      <c r="H1112" s="5">
        <f>IFERROR(__xludf.DUMMYFUNCTION("""COMPUTED_VALUE"""),6734.09)</f>
        <v>6734.09</v>
      </c>
      <c r="I1112" s="5">
        <f>IFERROR(__xludf.DUMMYFUNCTION("""COMPUTED_VALUE"""),4458.02)</f>
        <v>4458.02</v>
      </c>
      <c r="J1112" s="5">
        <f>IFERROR(__xludf.DUMMYFUNCTION("""COMPUTED_VALUE"""),2267.33)</f>
        <v>2267.33</v>
      </c>
      <c r="K1112" s="5">
        <f>IFERROR(__xludf.DUMMYFUNCTION("""COMPUTED_VALUE"""),2012.46)</f>
        <v>2012.46</v>
      </c>
      <c r="L1112" s="4">
        <f>IFERROR(__xludf.DUMMYFUNCTION("""COMPUTED_VALUE"""),3.0)</f>
        <v>3</v>
      </c>
      <c r="M1112" s="4">
        <f>IFERROR(__xludf.DUMMYFUNCTION("""COMPUTED_VALUE"""),21.0)</f>
        <v>21</v>
      </c>
      <c r="N1112" s="2" t="str">
        <f>IFERROR(__xludf.DUMMYFUNCTION("""COMPUTED_VALUE"""),"VERDADERO")</f>
        <v>VERDADERO</v>
      </c>
    </row>
    <row r="1113">
      <c r="A1113" s="2">
        <f>IFERROR(__xludf.DUMMYFUNCTION("""COMPUTED_VALUE"""),1112.0)</f>
        <v>1112</v>
      </c>
      <c r="B1113" s="2" t="str">
        <f>IFERROR(__xludf.DUMMYFUNCTION("""COMPUTED_VALUE"""),"Dorri Tacey")</f>
        <v>Dorri Tacey</v>
      </c>
      <c r="C1113" s="2" t="str">
        <f>IFERROR(__xludf.DUMMYFUNCTION("""COMPUTED_VALUE"""),"dtacey34@mashable.com")</f>
        <v>dtacey34@mashable.com</v>
      </c>
      <c r="D1113" s="4">
        <f>IFERROR(__xludf.DUMMYFUNCTION("""COMPUTED_VALUE"""),29.0)</f>
        <v>29</v>
      </c>
      <c r="E1113" s="4">
        <f>IFERROR(__xludf.DUMMYFUNCTION("""COMPUTED_VALUE"""),81.0)</f>
        <v>81</v>
      </c>
      <c r="F1113" s="4">
        <f>IFERROR(__xludf.DUMMYFUNCTION("""COMPUTED_VALUE"""),2.0)</f>
        <v>2</v>
      </c>
      <c r="G1113" s="4">
        <f>IFERROR(__xludf.DUMMYFUNCTION("""COMPUTED_VALUE"""),1182.0)</f>
        <v>1182</v>
      </c>
      <c r="H1113" s="5">
        <f>IFERROR(__xludf.DUMMYFUNCTION("""COMPUTED_VALUE"""),9055.65)</f>
        <v>9055.65</v>
      </c>
      <c r="I1113" s="5">
        <f>IFERROR(__xludf.DUMMYFUNCTION("""COMPUTED_VALUE"""),1660.54)</f>
        <v>1660.54</v>
      </c>
      <c r="J1113" s="5">
        <f>IFERROR(__xludf.DUMMYFUNCTION("""COMPUTED_VALUE"""),9471.7)</f>
        <v>9471.7</v>
      </c>
      <c r="K1113" s="5">
        <f>IFERROR(__xludf.DUMMYFUNCTION("""COMPUTED_VALUE"""),4899.25)</f>
        <v>4899.25</v>
      </c>
      <c r="L1113" s="4">
        <f>IFERROR(__xludf.DUMMYFUNCTION("""COMPUTED_VALUE"""),18.0)</f>
        <v>18</v>
      </c>
      <c r="M1113" s="4">
        <f>IFERROR(__xludf.DUMMYFUNCTION("""COMPUTED_VALUE"""),5.0)</f>
        <v>5</v>
      </c>
      <c r="N1113" s="2" t="str">
        <f>IFERROR(__xludf.DUMMYFUNCTION("""COMPUTED_VALUE"""),"FALSO")</f>
        <v>FALSO</v>
      </c>
    </row>
    <row r="1114">
      <c r="A1114" s="2">
        <f>IFERROR(__xludf.DUMMYFUNCTION("""COMPUTED_VALUE"""),1113.0)</f>
        <v>1113</v>
      </c>
      <c r="B1114" s="2" t="str">
        <f>IFERROR(__xludf.DUMMYFUNCTION("""COMPUTED_VALUE"""),"Colman Peeke")</f>
        <v>Colman Peeke</v>
      </c>
      <c r="C1114" s="2" t="str">
        <f>IFERROR(__xludf.DUMMYFUNCTION("""COMPUTED_VALUE"""),"cpeeke35@livejournal.com")</f>
        <v>cpeeke35@livejournal.com</v>
      </c>
      <c r="D1114" s="4">
        <f>IFERROR(__xludf.DUMMYFUNCTION("""COMPUTED_VALUE"""),65.0)</f>
        <v>65</v>
      </c>
      <c r="E1114" s="4">
        <f>IFERROR(__xludf.DUMMYFUNCTION("""COMPUTED_VALUE"""),81.0)</f>
        <v>81</v>
      </c>
      <c r="F1114" s="4">
        <f>IFERROR(__xludf.DUMMYFUNCTION("""COMPUTED_VALUE"""),2.0)</f>
        <v>2</v>
      </c>
      <c r="G1114" s="4">
        <f>IFERROR(__xludf.DUMMYFUNCTION("""COMPUTED_VALUE"""),1578.0)</f>
        <v>1578</v>
      </c>
      <c r="H1114" s="5">
        <f>IFERROR(__xludf.DUMMYFUNCTION("""COMPUTED_VALUE"""),6067.77)</f>
        <v>6067.77</v>
      </c>
      <c r="I1114" s="5">
        <f>IFERROR(__xludf.DUMMYFUNCTION("""COMPUTED_VALUE"""),2597.83)</f>
        <v>2597.83</v>
      </c>
      <c r="J1114" s="5">
        <f>IFERROR(__xludf.DUMMYFUNCTION("""COMPUTED_VALUE"""),9615.26)</f>
        <v>9615.26</v>
      </c>
      <c r="K1114" s="5">
        <f>IFERROR(__xludf.DUMMYFUNCTION("""COMPUTED_VALUE"""),7435.28)</f>
        <v>7435.28</v>
      </c>
      <c r="L1114" s="4">
        <f>IFERROR(__xludf.DUMMYFUNCTION("""COMPUTED_VALUE"""),7.0)</f>
        <v>7</v>
      </c>
      <c r="M1114" s="4">
        <f>IFERROR(__xludf.DUMMYFUNCTION("""COMPUTED_VALUE"""),59.0)</f>
        <v>59</v>
      </c>
      <c r="N1114" s="2" t="str">
        <f>IFERROR(__xludf.DUMMYFUNCTION("""COMPUTED_VALUE"""),"FALSO")</f>
        <v>FALSO</v>
      </c>
    </row>
    <row r="1115">
      <c r="A1115" s="2">
        <f>IFERROR(__xludf.DUMMYFUNCTION("""COMPUTED_VALUE"""),1114.0)</f>
        <v>1114</v>
      </c>
      <c r="B1115" s="2" t="str">
        <f>IFERROR(__xludf.DUMMYFUNCTION("""COMPUTED_VALUE"""),"Nickie Denver")</f>
        <v>Nickie Denver</v>
      </c>
      <c r="C1115" s="2" t="str">
        <f>IFERROR(__xludf.DUMMYFUNCTION("""COMPUTED_VALUE"""),"ndenver36@dailymotion.com")</f>
        <v>ndenver36@dailymotion.com</v>
      </c>
      <c r="D1115" s="4">
        <f>IFERROR(__xludf.DUMMYFUNCTION("""COMPUTED_VALUE"""),132.0)</f>
        <v>132</v>
      </c>
      <c r="E1115" s="4">
        <f>IFERROR(__xludf.DUMMYFUNCTION("""COMPUTED_VALUE"""),29.0)</f>
        <v>29</v>
      </c>
      <c r="F1115" s="4">
        <f>IFERROR(__xludf.DUMMYFUNCTION("""COMPUTED_VALUE"""),11.0)</f>
        <v>11</v>
      </c>
      <c r="G1115" s="4">
        <f>IFERROR(__xludf.DUMMYFUNCTION("""COMPUTED_VALUE"""),1209.0)</f>
        <v>1209</v>
      </c>
      <c r="H1115" s="5">
        <f>IFERROR(__xludf.DUMMYFUNCTION("""COMPUTED_VALUE"""),9079.16)</f>
        <v>9079.16</v>
      </c>
      <c r="I1115" s="5">
        <f>IFERROR(__xludf.DUMMYFUNCTION("""COMPUTED_VALUE"""),7803.45)</f>
        <v>7803.45</v>
      </c>
      <c r="J1115" s="5">
        <f>IFERROR(__xludf.DUMMYFUNCTION("""COMPUTED_VALUE"""),278.74)</f>
        <v>278.74</v>
      </c>
      <c r="K1115" s="5">
        <f>IFERROR(__xludf.DUMMYFUNCTION("""COMPUTED_VALUE"""),3460.6)</f>
        <v>3460.6</v>
      </c>
      <c r="L1115" s="4">
        <f>IFERROR(__xludf.DUMMYFUNCTION("""COMPUTED_VALUE"""),15.0)</f>
        <v>15</v>
      </c>
      <c r="M1115" s="4">
        <f>IFERROR(__xludf.DUMMYFUNCTION("""COMPUTED_VALUE"""),88.0)</f>
        <v>88</v>
      </c>
      <c r="N1115" s="2" t="str">
        <f>IFERROR(__xludf.DUMMYFUNCTION("""COMPUTED_VALUE"""),"VERDADERO")</f>
        <v>VERDADERO</v>
      </c>
    </row>
    <row r="1116">
      <c r="A1116" s="2">
        <f>IFERROR(__xludf.DUMMYFUNCTION("""COMPUTED_VALUE"""),1115.0)</f>
        <v>1115</v>
      </c>
      <c r="B1116" s="2" t="str">
        <f>IFERROR(__xludf.DUMMYFUNCTION("""COMPUTED_VALUE"""),"Rudy Medler")</f>
        <v>Rudy Medler</v>
      </c>
      <c r="C1116" s="2" t="str">
        <f>IFERROR(__xludf.DUMMYFUNCTION("""COMPUTED_VALUE"""),"rmedler37@friendfeed.com")</f>
        <v>rmedler37@friendfeed.com</v>
      </c>
      <c r="D1116" s="4">
        <f>IFERROR(__xludf.DUMMYFUNCTION("""COMPUTED_VALUE"""),124.0)</f>
        <v>124</v>
      </c>
      <c r="E1116" s="4">
        <f>IFERROR(__xludf.DUMMYFUNCTION("""COMPUTED_VALUE"""),81.0)</f>
        <v>81</v>
      </c>
      <c r="F1116" s="4">
        <f>IFERROR(__xludf.DUMMYFUNCTION("""COMPUTED_VALUE"""),2.0)</f>
        <v>2</v>
      </c>
      <c r="G1116" s="4">
        <f>IFERROR(__xludf.DUMMYFUNCTION("""COMPUTED_VALUE"""),210.0)</f>
        <v>210</v>
      </c>
      <c r="H1116" s="5">
        <f>IFERROR(__xludf.DUMMYFUNCTION("""COMPUTED_VALUE"""),4473.49)</f>
        <v>4473.49</v>
      </c>
      <c r="I1116" s="5">
        <f>IFERROR(__xludf.DUMMYFUNCTION("""COMPUTED_VALUE"""),7055.57)</f>
        <v>7055.57</v>
      </c>
      <c r="J1116" s="5">
        <f>IFERROR(__xludf.DUMMYFUNCTION("""COMPUTED_VALUE"""),4290.35)</f>
        <v>4290.35</v>
      </c>
      <c r="K1116" s="5">
        <f>IFERROR(__xludf.DUMMYFUNCTION("""COMPUTED_VALUE"""),2769.62)</f>
        <v>2769.62</v>
      </c>
      <c r="L1116" s="4">
        <f>IFERROR(__xludf.DUMMYFUNCTION("""COMPUTED_VALUE"""),3.0)</f>
        <v>3</v>
      </c>
      <c r="M1116" s="4">
        <f>IFERROR(__xludf.DUMMYFUNCTION("""COMPUTED_VALUE"""),70.0)</f>
        <v>70</v>
      </c>
      <c r="N1116" s="2" t="str">
        <f>IFERROR(__xludf.DUMMYFUNCTION("""COMPUTED_VALUE"""),"FALSO")</f>
        <v>FALSO</v>
      </c>
    </row>
    <row r="1117">
      <c r="A1117" s="2">
        <f>IFERROR(__xludf.DUMMYFUNCTION("""COMPUTED_VALUE"""),1116.0)</f>
        <v>1116</v>
      </c>
      <c r="B1117" s="2" t="str">
        <f>IFERROR(__xludf.DUMMYFUNCTION("""COMPUTED_VALUE"""),"Renato Tennewell")</f>
        <v>Renato Tennewell</v>
      </c>
      <c r="C1117" s="2" t="str">
        <f>IFERROR(__xludf.DUMMYFUNCTION("""COMPUTED_VALUE"""),"rtennewell38@csmonitor.com")</f>
        <v>rtennewell38@csmonitor.com</v>
      </c>
      <c r="D1117" s="4">
        <f>IFERROR(__xludf.DUMMYFUNCTION("""COMPUTED_VALUE"""),157.0)</f>
        <v>157</v>
      </c>
      <c r="E1117" s="4">
        <f>IFERROR(__xludf.DUMMYFUNCTION("""COMPUTED_VALUE"""),81.0)</f>
        <v>81</v>
      </c>
      <c r="F1117" s="4">
        <f>IFERROR(__xludf.DUMMYFUNCTION("""COMPUTED_VALUE"""),2.0)</f>
        <v>2</v>
      </c>
      <c r="G1117" s="4">
        <f>IFERROR(__xludf.DUMMYFUNCTION("""COMPUTED_VALUE"""),1506.0)</f>
        <v>1506</v>
      </c>
      <c r="H1117" s="5">
        <f>IFERROR(__xludf.DUMMYFUNCTION("""COMPUTED_VALUE"""),6652.86)</f>
        <v>6652.86</v>
      </c>
      <c r="I1117" s="5">
        <f>IFERROR(__xludf.DUMMYFUNCTION("""COMPUTED_VALUE"""),8958.08)</f>
        <v>8958.08</v>
      </c>
      <c r="J1117" s="5">
        <f>IFERROR(__xludf.DUMMYFUNCTION("""COMPUTED_VALUE"""),8738.55)</f>
        <v>8738.55</v>
      </c>
      <c r="K1117" s="5">
        <f>IFERROR(__xludf.DUMMYFUNCTION("""COMPUTED_VALUE"""),2841.08)</f>
        <v>2841.08</v>
      </c>
      <c r="L1117" s="4">
        <f>IFERROR(__xludf.DUMMYFUNCTION("""COMPUTED_VALUE"""),4.0)</f>
        <v>4</v>
      </c>
      <c r="M1117" s="4">
        <f>IFERROR(__xludf.DUMMYFUNCTION("""COMPUTED_VALUE"""),76.0)</f>
        <v>76</v>
      </c>
      <c r="N1117" s="2" t="str">
        <f>IFERROR(__xludf.DUMMYFUNCTION("""COMPUTED_VALUE"""),"FALSO")</f>
        <v>FALSO</v>
      </c>
    </row>
    <row r="1118">
      <c r="A1118" s="2">
        <f>IFERROR(__xludf.DUMMYFUNCTION("""COMPUTED_VALUE"""),1117.0)</f>
        <v>1117</v>
      </c>
      <c r="B1118" s="2" t="str">
        <f>IFERROR(__xludf.DUMMYFUNCTION("""COMPUTED_VALUE"""),"Rhody Viles")</f>
        <v>Rhody Viles</v>
      </c>
      <c r="C1118" s="2" t="str">
        <f>IFERROR(__xludf.DUMMYFUNCTION("""COMPUTED_VALUE"""),"rviles39@1688.com")</f>
        <v>rviles39@1688.com</v>
      </c>
      <c r="D1118" s="4">
        <f>IFERROR(__xludf.DUMMYFUNCTION("""COMPUTED_VALUE"""),121.0)</f>
        <v>121</v>
      </c>
      <c r="E1118" s="4">
        <f>IFERROR(__xludf.DUMMYFUNCTION("""COMPUTED_VALUE"""),81.0)</f>
        <v>81</v>
      </c>
      <c r="F1118" s="4">
        <f>IFERROR(__xludf.DUMMYFUNCTION("""COMPUTED_VALUE"""),2.0)</f>
        <v>2</v>
      </c>
      <c r="G1118" s="4">
        <f>IFERROR(__xludf.DUMMYFUNCTION("""COMPUTED_VALUE"""),1140.0)</f>
        <v>1140</v>
      </c>
      <c r="H1118" s="5">
        <f>IFERROR(__xludf.DUMMYFUNCTION("""COMPUTED_VALUE"""),7243.81)</f>
        <v>7243.81</v>
      </c>
      <c r="I1118" s="5">
        <f>IFERROR(__xludf.DUMMYFUNCTION("""COMPUTED_VALUE"""),2785.05)</f>
        <v>2785.05</v>
      </c>
      <c r="J1118" s="5">
        <f>IFERROR(__xludf.DUMMYFUNCTION("""COMPUTED_VALUE"""),3485.88)</f>
        <v>3485.88</v>
      </c>
      <c r="K1118" s="5">
        <f>IFERROR(__xludf.DUMMYFUNCTION("""COMPUTED_VALUE"""),5038.15)</f>
        <v>5038.15</v>
      </c>
      <c r="L1118" s="4">
        <f>IFERROR(__xludf.DUMMYFUNCTION("""COMPUTED_VALUE"""),2.0)</f>
        <v>2</v>
      </c>
      <c r="M1118" s="4">
        <f>IFERROR(__xludf.DUMMYFUNCTION("""COMPUTED_VALUE"""),60.0)</f>
        <v>60</v>
      </c>
      <c r="N1118" s="2" t="str">
        <f>IFERROR(__xludf.DUMMYFUNCTION("""COMPUTED_VALUE"""),"FALSO")</f>
        <v>FALSO</v>
      </c>
    </row>
    <row r="1119">
      <c r="A1119" s="2">
        <f>IFERROR(__xludf.DUMMYFUNCTION("""COMPUTED_VALUE"""),1118.0)</f>
        <v>1118</v>
      </c>
      <c r="B1119" s="2" t="str">
        <f>IFERROR(__xludf.DUMMYFUNCTION("""COMPUTED_VALUE"""),"Flinn Enevoldsen")</f>
        <v>Flinn Enevoldsen</v>
      </c>
      <c r="C1119" s="2" t="str">
        <f>IFERROR(__xludf.DUMMYFUNCTION("""COMPUTED_VALUE"""),"fenevoldsen3a@mit.edu")</f>
        <v>fenevoldsen3a@mit.edu</v>
      </c>
      <c r="D1119" s="4">
        <f>IFERROR(__xludf.DUMMYFUNCTION("""COMPUTED_VALUE"""),65.0)</f>
        <v>65</v>
      </c>
      <c r="E1119" s="4">
        <f>IFERROR(__xludf.DUMMYFUNCTION("""COMPUTED_VALUE"""),81.0)</f>
        <v>81</v>
      </c>
      <c r="F1119" s="4">
        <f>IFERROR(__xludf.DUMMYFUNCTION("""COMPUTED_VALUE"""),2.0)</f>
        <v>2</v>
      </c>
      <c r="G1119" s="4">
        <f>IFERROR(__xludf.DUMMYFUNCTION("""COMPUTED_VALUE"""),357.0)</f>
        <v>357</v>
      </c>
      <c r="H1119" s="5">
        <f>IFERROR(__xludf.DUMMYFUNCTION("""COMPUTED_VALUE"""),2447.58)</f>
        <v>2447.58</v>
      </c>
      <c r="I1119" s="5">
        <f>IFERROR(__xludf.DUMMYFUNCTION("""COMPUTED_VALUE"""),4177.3)</f>
        <v>4177.3</v>
      </c>
      <c r="J1119" s="5">
        <f>IFERROR(__xludf.DUMMYFUNCTION("""COMPUTED_VALUE"""),7121.7)</f>
        <v>7121.7</v>
      </c>
      <c r="K1119" s="5">
        <f>IFERROR(__xludf.DUMMYFUNCTION("""COMPUTED_VALUE"""),9689.94)</f>
        <v>9689.94</v>
      </c>
      <c r="L1119" s="4">
        <f>IFERROR(__xludf.DUMMYFUNCTION("""COMPUTED_VALUE"""),4.0)</f>
        <v>4</v>
      </c>
      <c r="M1119" s="4">
        <f>IFERROR(__xludf.DUMMYFUNCTION("""COMPUTED_VALUE"""),1.0)</f>
        <v>1</v>
      </c>
      <c r="N1119" s="2" t="str">
        <f>IFERROR(__xludf.DUMMYFUNCTION("""COMPUTED_VALUE"""),"VERDADERO")</f>
        <v>VERDADERO</v>
      </c>
    </row>
    <row r="1120">
      <c r="A1120" s="2">
        <f>IFERROR(__xludf.DUMMYFUNCTION("""COMPUTED_VALUE"""),1119.0)</f>
        <v>1119</v>
      </c>
      <c r="B1120" s="2" t="str">
        <f>IFERROR(__xludf.DUMMYFUNCTION("""COMPUTED_VALUE"""),"Deedee Trevaskus")</f>
        <v>Deedee Trevaskus</v>
      </c>
      <c r="C1120" s="2" t="str">
        <f>IFERROR(__xludf.DUMMYFUNCTION("""COMPUTED_VALUE"""),"dtrevaskus3b@networksolutions.com")</f>
        <v>dtrevaskus3b@networksolutions.com</v>
      </c>
      <c r="D1120" s="4">
        <f>IFERROR(__xludf.DUMMYFUNCTION("""COMPUTED_VALUE"""),17.0)</f>
        <v>17</v>
      </c>
      <c r="E1120" s="4">
        <f>IFERROR(__xludf.DUMMYFUNCTION("""COMPUTED_VALUE"""),81.0)</f>
        <v>81</v>
      </c>
      <c r="F1120" s="4">
        <f>IFERROR(__xludf.DUMMYFUNCTION("""COMPUTED_VALUE"""),2.0)</f>
        <v>2</v>
      </c>
      <c r="G1120" s="4">
        <f>IFERROR(__xludf.DUMMYFUNCTION("""COMPUTED_VALUE"""),567.0)</f>
        <v>567</v>
      </c>
      <c r="H1120" s="5">
        <f>IFERROR(__xludf.DUMMYFUNCTION("""COMPUTED_VALUE"""),2478.48)</f>
        <v>2478.48</v>
      </c>
      <c r="I1120" s="5">
        <f>IFERROR(__xludf.DUMMYFUNCTION("""COMPUTED_VALUE"""),2018.41)</f>
        <v>2018.41</v>
      </c>
      <c r="J1120" s="5">
        <f>IFERROR(__xludf.DUMMYFUNCTION("""COMPUTED_VALUE"""),7719.94)</f>
        <v>7719.94</v>
      </c>
      <c r="K1120" s="5">
        <f>IFERROR(__xludf.DUMMYFUNCTION("""COMPUTED_VALUE"""),2323.21)</f>
        <v>2323.21</v>
      </c>
      <c r="L1120" s="4">
        <f>IFERROR(__xludf.DUMMYFUNCTION("""COMPUTED_VALUE"""),4.0)</f>
        <v>4</v>
      </c>
      <c r="M1120" s="4">
        <f>IFERROR(__xludf.DUMMYFUNCTION("""COMPUTED_VALUE"""),56.0)</f>
        <v>56</v>
      </c>
      <c r="N1120" s="2" t="str">
        <f>IFERROR(__xludf.DUMMYFUNCTION("""COMPUTED_VALUE"""),"FALSO")</f>
        <v>FALSO</v>
      </c>
    </row>
    <row r="1121">
      <c r="A1121" s="2">
        <f>IFERROR(__xludf.DUMMYFUNCTION("""COMPUTED_VALUE"""),1120.0)</f>
        <v>1120</v>
      </c>
      <c r="B1121" s="2" t="str">
        <f>IFERROR(__xludf.DUMMYFUNCTION("""COMPUTED_VALUE"""),"Pavel Scally")</f>
        <v>Pavel Scally</v>
      </c>
      <c r="C1121" s="2" t="str">
        <f>IFERROR(__xludf.DUMMYFUNCTION("""COMPUTED_VALUE"""),"pscally3c@linkedin.com")</f>
        <v>pscally3c@linkedin.com</v>
      </c>
      <c r="D1121" s="4">
        <f>IFERROR(__xludf.DUMMYFUNCTION("""COMPUTED_VALUE"""),29.0)</f>
        <v>29</v>
      </c>
      <c r="E1121" s="4">
        <f>IFERROR(__xludf.DUMMYFUNCTION("""COMPUTED_VALUE"""),107.0)</f>
        <v>107</v>
      </c>
      <c r="F1121" s="4">
        <f>IFERROR(__xludf.DUMMYFUNCTION("""COMPUTED_VALUE"""),5.0)</f>
        <v>5</v>
      </c>
      <c r="G1121" s="4">
        <f>IFERROR(__xludf.DUMMYFUNCTION("""COMPUTED_VALUE"""),97.0)</f>
        <v>97</v>
      </c>
      <c r="H1121" s="5">
        <f>IFERROR(__xludf.DUMMYFUNCTION("""COMPUTED_VALUE"""),9960.56)</f>
        <v>9960.56</v>
      </c>
      <c r="I1121" s="5">
        <f>IFERROR(__xludf.DUMMYFUNCTION("""COMPUTED_VALUE"""),6386.47)</f>
        <v>6386.47</v>
      </c>
      <c r="J1121" s="5">
        <f>IFERROR(__xludf.DUMMYFUNCTION("""COMPUTED_VALUE"""),1140.31)</f>
        <v>1140.31</v>
      </c>
      <c r="K1121" s="5">
        <f>IFERROR(__xludf.DUMMYFUNCTION("""COMPUTED_VALUE"""),2187.08)</f>
        <v>2187.08</v>
      </c>
      <c r="L1121" s="4">
        <f>IFERROR(__xludf.DUMMYFUNCTION("""COMPUTED_VALUE"""),13.0)</f>
        <v>13</v>
      </c>
      <c r="M1121" s="4">
        <f>IFERROR(__xludf.DUMMYFUNCTION("""COMPUTED_VALUE"""),18.0)</f>
        <v>18</v>
      </c>
      <c r="N1121" s="2" t="str">
        <f>IFERROR(__xludf.DUMMYFUNCTION("""COMPUTED_VALUE"""),"FALSO")</f>
        <v>FALSO</v>
      </c>
    </row>
    <row r="1122">
      <c r="A1122" s="2">
        <f>IFERROR(__xludf.DUMMYFUNCTION("""COMPUTED_VALUE"""),1121.0)</f>
        <v>1121</v>
      </c>
      <c r="B1122" s="2" t="str">
        <f>IFERROR(__xludf.DUMMYFUNCTION("""COMPUTED_VALUE"""),"Debbie Bellenger")</f>
        <v>Debbie Bellenger</v>
      </c>
      <c r="C1122" s="2" t="str">
        <f>IFERROR(__xludf.DUMMYFUNCTION("""COMPUTED_VALUE"""),"dbellenger3d@ox.ac.uk")</f>
        <v>dbellenger3d@ox.ac.uk</v>
      </c>
      <c r="D1122" s="4">
        <f>IFERROR(__xludf.DUMMYFUNCTION("""COMPUTED_VALUE"""),65.0)</f>
        <v>65</v>
      </c>
      <c r="E1122" s="4">
        <f>IFERROR(__xludf.DUMMYFUNCTION("""COMPUTED_VALUE"""),35.0)</f>
        <v>35</v>
      </c>
      <c r="F1122" s="4">
        <f>IFERROR(__xludf.DUMMYFUNCTION("""COMPUTED_VALUE"""),10.0)</f>
        <v>10</v>
      </c>
      <c r="G1122" s="4">
        <f>IFERROR(__xludf.DUMMYFUNCTION("""COMPUTED_VALUE"""),1292.0)</f>
        <v>1292</v>
      </c>
      <c r="H1122" s="5">
        <f>IFERROR(__xludf.DUMMYFUNCTION("""COMPUTED_VALUE"""),9306.37)</f>
        <v>9306.37</v>
      </c>
      <c r="I1122" s="5">
        <f>IFERROR(__xludf.DUMMYFUNCTION("""COMPUTED_VALUE"""),7082.51)</f>
        <v>7082.51</v>
      </c>
      <c r="J1122" s="5">
        <f>IFERROR(__xludf.DUMMYFUNCTION("""COMPUTED_VALUE"""),5553.4)</f>
        <v>5553.4</v>
      </c>
      <c r="K1122" s="5">
        <f>IFERROR(__xludf.DUMMYFUNCTION("""COMPUTED_VALUE"""),4698.94)</f>
        <v>4698.94</v>
      </c>
      <c r="L1122" s="4">
        <f>IFERROR(__xludf.DUMMYFUNCTION("""COMPUTED_VALUE"""),6.0)</f>
        <v>6</v>
      </c>
      <c r="M1122" s="4">
        <f>IFERROR(__xludf.DUMMYFUNCTION("""COMPUTED_VALUE"""),28.0)</f>
        <v>28</v>
      </c>
      <c r="N1122" s="2" t="str">
        <f>IFERROR(__xludf.DUMMYFUNCTION("""COMPUTED_VALUE"""),"VERDADERO")</f>
        <v>VERDADERO</v>
      </c>
    </row>
    <row r="1123">
      <c r="A1123" s="2">
        <f>IFERROR(__xludf.DUMMYFUNCTION("""COMPUTED_VALUE"""),1122.0)</f>
        <v>1122</v>
      </c>
      <c r="B1123" s="2" t="str">
        <f>IFERROR(__xludf.DUMMYFUNCTION("""COMPUTED_VALUE"""),"Melvin Dovinson")</f>
        <v>Melvin Dovinson</v>
      </c>
      <c r="C1123" s="2" t="str">
        <f>IFERROR(__xludf.DUMMYFUNCTION("""COMPUTED_VALUE"""),"mdovinson3e@devhub.com")</f>
        <v>mdovinson3e@devhub.com</v>
      </c>
      <c r="D1123" s="4">
        <f>IFERROR(__xludf.DUMMYFUNCTION("""COMPUTED_VALUE"""),120.0)</f>
        <v>120</v>
      </c>
      <c r="E1123" s="4">
        <f>IFERROR(__xludf.DUMMYFUNCTION("""COMPUTED_VALUE"""),81.0)</f>
        <v>81</v>
      </c>
      <c r="F1123" s="4">
        <f>IFERROR(__xludf.DUMMYFUNCTION("""COMPUTED_VALUE"""),2.0)</f>
        <v>2</v>
      </c>
      <c r="G1123" s="4">
        <f>IFERROR(__xludf.DUMMYFUNCTION("""COMPUTED_VALUE"""),589.0)</f>
        <v>589</v>
      </c>
      <c r="H1123" s="5">
        <f>IFERROR(__xludf.DUMMYFUNCTION("""COMPUTED_VALUE"""),981.55)</f>
        <v>981.55</v>
      </c>
      <c r="I1123" s="5">
        <f>IFERROR(__xludf.DUMMYFUNCTION("""COMPUTED_VALUE"""),1508.87)</f>
        <v>1508.87</v>
      </c>
      <c r="J1123" s="5">
        <f>IFERROR(__xludf.DUMMYFUNCTION("""COMPUTED_VALUE"""),776.72)</f>
        <v>776.72</v>
      </c>
      <c r="K1123" s="5">
        <f>IFERROR(__xludf.DUMMYFUNCTION("""COMPUTED_VALUE"""),881.32)</f>
        <v>881.32</v>
      </c>
      <c r="L1123" s="4">
        <f>IFERROR(__xludf.DUMMYFUNCTION("""COMPUTED_VALUE"""),9.0)</f>
        <v>9</v>
      </c>
      <c r="M1123" s="4">
        <f>IFERROR(__xludf.DUMMYFUNCTION("""COMPUTED_VALUE"""),38.0)</f>
        <v>38</v>
      </c>
      <c r="N1123" s="2" t="str">
        <f>IFERROR(__xludf.DUMMYFUNCTION("""COMPUTED_VALUE"""),"FALSO")</f>
        <v>FALSO</v>
      </c>
    </row>
    <row r="1124">
      <c r="A1124" s="2">
        <f>IFERROR(__xludf.DUMMYFUNCTION("""COMPUTED_VALUE"""),1123.0)</f>
        <v>1123</v>
      </c>
      <c r="B1124" s="2" t="str">
        <f>IFERROR(__xludf.DUMMYFUNCTION("""COMPUTED_VALUE"""),"Jorrie Enoksson")</f>
        <v>Jorrie Enoksson</v>
      </c>
      <c r="C1124" s="2" t="str">
        <f>IFERROR(__xludf.DUMMYFUNCTION("""COMPUTED_VALUE"""),"jenoksson3f@blogspot.com")</f>
        <v>jenoksson3f@blogspot.com</v>
      </c>
      <c r="D1124" s="4">
        <f>IFERROR(__xludf.DUMMYFUNCTION("""COMPUTED_VALUE"""),29.0)</f>
        <v>29</v>
      </c>
      <c r="E1124" s="4">
        <f>IFERROR(__xludf.DUMMYFUNCTION("""COMPUTED_VALUE"""),81.0)</f>
        <v>81</v>
      </c>
      <c r="F1124" s="4">
        <f>IFERROR(__xludf.DUMMYFUNCTION("""COMPUTED_VALUE"""),2.0)</f>
        <v>2</v>
      </c>
      <c r="G1124" s="4">
        <f>IFERROR(__xludf.DUMMYFUNCTION("""COMPUTED_VALUE"""),1093.0)</f>
        <v>1093</v>
      </c>
      <c r="H1124" s="5">
        <f>IFERROR(__xludf.DUMMYFUNCTION("""COMPUTED_VALUE"""),1186.33)</f>
        <v>1186.33</v>
      </c>
      <c r="I1124" s="5">
        <f>IFERROR(__xludf.DUMMYFUNCTION("""COMPUTED_VALUE"""),9309.07)</f>
        <v>9309.07</v>
      </c>
      <c r="J1124" s="5">
        <f>IFERROR(__xludf.DUMMYFUNCTION("""COMPUTED_VALUE"""),1264.62)</f>
        <v>1264.62</v>
      </c>
      <c r="K1124" s="5">
        <f>IFERROR(__xludf.DUMMYFUNCTION("""COMPUTED_VALUE"""),2694.61)</f>
        <v>2694.61</v>
      </c>
      <c r="L1124" s="4">
        <f>IFERROR(__xludf.DUMMYFUNCTION("""COMPUTED_VALUE"""),13.0)</f>
        <v>13</v>
      </c>
      <c r="M1124" s="4">
        <f>IFERROR(__xludf.DUMMYFUNCTION("""COMPUTED_VALUE"""),80.0)</f>
        <v>80</v>
      </c>
      <c r="N1124" s="2" t="str">
        <f>IFERROR(__xludf.DUMMYFUNCTION("""COMPUTED_VALUE"""),"FALSO")</f>
        <v>FALSO</v>
      </c>
    </row>
    <row r="1125">
      <c r="A1125" s="2">
        <f>IFERROR(__xludf.DUMMYFUNCTION("""COMPUTED_VALUE"""),1124.0)</f>
        <v>1124</v>
      </c>
      <c r="B1125" s="2" t="str">
        <f>IFERROR(__xludf.DUMMYFUNCTION("""COMPUTED_VALUE"""),"Leese Pinnijar")</f>
        <v>Leese Pinnijar</v>
      </c>
      <c r="C1125" s="2" t="str">
        <f>IFERROR(__xludf.DUMMYFUNCTION("""COMPUTED_VALUE"""),"lpinnijar3g@comcast.net")</f>
        <v>lpinnijar3g@comcast.net</v>
      </c>
      <c r="D1125" s="4">
        <f>IFERROR(__xludf.DUMMYFUNCTION("""COMPUTED_VALUE"""),65.0)</f>
        <v>65</v>
      </c>
      <c r="E1125" s="4">
        <f>IFERROR(__xludf.DUMMYFUNCTION("""COMPUTED_VALUE"""),65.0)</f>
        <v>65</v>
      </c>
      <c r="F1125" s="4">
        <f>IFERROR(__xludf.DUMMYFUNCTION("""COMPUTED_VALUE"""),9.0)</f>
        <v>9</v>
      </c>
      <c r="G1125" s="4">
        <f>IFERROR(__xludf.DUMMYFUNCTION("""COMPUTED_VALUE"""),1001.0)</f>
        <v>1001</v>
      </c>
      <c r="H1125" s="5">
        <f>IFERROR(__xludf.DUMMYFUNCTION("""COMPUTED_VALUE"""),2502.41)</f>
        <v>2502.41</v>
      </c>
      <c r="I1125" s="5">
        <f>IFERROR(__xludf.DUMMYFUNCTION("""COMPUTED_VALUE"""),4757.56)</f>
        <v>4757.56</v>
      </c>
      <c r="J1125" s="5">
        <f>IFERROR(__xludf.DUMMYFUNCTION("""COMPUTED_VALUE"""),2097.7)</f>
        <v>2097.7</v>
      </c>
      <c r="K1125" s="5">
        <f>IFERROR(__xludf.DUMMYFUNCTION("""COMPUTED_VALUE"""),2631.09)</f>
        <v>2631.09</v>
      </c>
      <c r="L1125" s="4">
        <f>IFERROR(__xludf.DUMMYFUNCTION("""COMPUTED_VALUE"""),16.0)</f>
        <v>16</v>
      </c>
      <c r="M1125" s="4">
        <f>IFERROR(__xludf.DUMMYFUNCTION("""COMPUTED_VALUE"""),6.0)</f>
        <v>6</v>
      </c>
      <c r="N1125" s="2" t="str">
        <f>IFERROR(__xludf.DUMMYFUNCTION("""COMPUTED_VALUE"""),"FALSO")</f>
        <v>FALSO</v>
      </c>
    </row>
    <row r="1126">
      <c r="A1126" s="2">
        <f>IFERROR(__xludf.DUMMYFUNCTION("""COMPUTED_VALUE"""),1125.0)</f>
        <v>1125</v>
      </c>
      <c r="B1126" s="2" t="str">
        <f>IFERROR(__xludf.DUMMYFUNCTION("""COMPUTED_VALUE"""),"Flint Hallatt")</f>
        <v>Flint Hallatt</v>
      </c>
      <c r="C1126" s="2" t="str">
        <f>IFERROR(__xludf.DUMMYFUNCTION("""COMPUTED_VALUE"""),"fhallatt3h@jimdo.com")</f>
        <v>fhallatt3h@jimdo.com</v>
      </c>
      <c r="D1126" s="4">
        <f>IFERROR(__xludf.DUMMYFUNCTION("""COMPUTED_VALUE"""),29.0)</f>
        <v>29</v>
      </c>
      <c r="E1126" s="4">
        <f>IFERROR(__xludf.DUMMYFUNCTION("""COMPUTED_VALUE"""),56.0)</f>
        <v>56</v>
      </c>
      <c r="F1126" s="4">
        <f>IFERROR(__xludf.DUMMYFUNCTION("""COMPUTED_VALUE"""),6.0)</f>
        <v>6</v>
      </c>
      <c r="G1126" s="4">
        <f>IFERROR(__xludf.DUMMYFUNCTION("""COMPUTED_VALUE"""),647.0)</f>
        <v>647</v>
      </c>
      <c r="H1126" s="5">
        <f>IFERROR(__xludf.DUMMYFUNCTION("""COMPUTED_VALUE"""),4944.09)</f>
        <v>4944.09</v>
      </c>
      <c r="I1126" s="5">
        <f>IFERROR(__xludf.DUMMYFUNCTION("""COMPUTED_VALUE"""),8175.84)</f>
        <v>8175.84</v>
      </c>
      <c r="J1126" s="5">
        <f>IFERROR(__xludf.DUMMYFUNCTION("""COMPUTED_VALUE"""),3615.37)</f>
        <v>3615.37</v>
      </c>
      <c r="K1126" s="5">
        <f>IFERROR(__xludf.DUMMYFUNCTION("""COMPUTED_VALUE"""),4305.05)</f>
        <v>4305.05</v>
      </c>
      <c r="L1126" s="4">
        <f>IFERROR(__xludf.DUMMYFUNCTION("""COMPUTED_VALUE"""),17.0)</f>
        <v>17</v>
      </c>
      <c r="M1126" s="4">
        <f>IFERROR(__xludf.DUMMYFUNCTION("""COMPUTED_VALUE"""),77.0)</f>
        <v>77</v>
      </c>
      <c r="N1126" s="2" t="str">
        <f>IFERROR(__xludf.DUMMYFUNCTION("""COMPUTED_VALUE"""),"VERDADERO")</f>
        <v>VERDADERO</v>
      </c>
    </row>
    <row r="1127">
      <c r="A1127" s="2">
        <f>IFERROR(__xludf.DUMMYFUNCTION("""COMPUTED_VALUE"""),1126.0)</f>
        <v>1126</v>
      </c>
      <c r="B1127" s="2" t="str">
        <f>IFERROR(__xludf.DUMMYFUNCTION("""COMPUTED_VALUE"""),"Joye Hensmans")</f>
        <v>Joye Hensmans</v>
      </c>
      <c r="C1127" s="2" t="str">
        <f>IFERROR(__xludf.DUMMYFUNCTION("""COMPUTED_VALUE"""),"jhensmans3i@chicagotribune.com")</f>
        <v>jhensmans3i@chicagotribune.com</v>
      </c>
      <c r="D1127" s="4">
        <f>IFERROR(__xludf.DUMMYFUNCTION("""COMPUTED_VALUE"""),5.0)</f>
        <v>5</v>
      </c>
      <c r="E1127" s="4">
        <f>IFERROR(__xludf.DUMMYFUNCTION("""COMPUTED_VALUE"""),66.0)</f>
        <v>66</v>
      </c>
      <c r="F1127" s="4">
        <f>IFERROR(__xludf.DUMMYFUNCTION("""COMPUTED_VALUE"""),6.0)</f>
        <v>6</v>
      </c>
      <c r="G1127" s="4">
        <f>IFERROR(__xludf.DUMMYFUNCTION("""COMPUTED_VALUE"""),749.0)</f>
        <v>749</v>
      </c>
      <c r="H1127" s="5">
        <f>IFERROR(__xludf.DUMMYFUNCTION("""COMPUTED_VALUE"""),4554.63)</f>
        <v>4554.63</v>
      </c>
      <c r="I1127" s="5">
        <f>IFERROR(__xludf.DUMMYFUNCTION("""COMPUTED_VALUE"""),7304.27)</f>
        <v>7304.27</v>
      </c>
      <c r="J1127" s="5">
        <f>IFERROR(__xludf.DUMMYFUNCTION("""COMPUTED_VALUE"""),1689.54)</f>
        <v>1689.54</v>
      </c>
      <c r="K1127" s="5">
        <f>IFERROR(__xludf.DUMMYFUNCTION("""COMPUTED_VALUE"""),3560.91)</f>
        <v>3560.91</v>
      </c>
      <c r="L1127" s="4">
        <f>IFERROR(__xludf.DUMMYFUNCTION("""COMPUTED_VALUE"""),1.0)</f>
        <v>1</v>
      </c>
      <c r="M1127" s="4">
        <f>IFERROR(__xludf.DUMMYFUNCTION("""COMPUTED_VALUE"""),78.0)</f>
        <v>78</v>
      </c>
      <c r="N1127" s="2" t="str">
        <f>IFERROR(__xludf.DUMMYFUNCTION("""COMPUTED_VALUE"""),"VERDADERO")</f>
        <v>VERDADERO</v>
      </c>
    </row>
    <row r="1128">
      <c r="A1128" s="2">
        <f>IFERROR(__xludf.DUMMYFUNCTION("""COMPUTED_VALUE"""),1127.0)</f>
        <v>1127</v>
      </c>
      <c r="B1128" s="2" t="str">
        <f>IFERROR(__xludf.DUMMYFUNCTION("""COMPUTED_VALUE"""),"Baldwin Einchcombe")</f>
        <v>Baldwin Einchcombe</v>
      </c>
      <c r="C1128" s="2" t="str">
        <f>IFERROR(__xludf.DUMMYFUNCTION("""COMPUTED_VALUE"""),"beinchcombe3j@linkedin.com")</f>
        <v>beinchcombe3j@linkedin.com</v>
      </c>
      <c r="D1128" s="4">
        <f>IFERROR(__xludf.DUMMYFUNCTION("""COMPUTED_VALUE"""),19.0)</f>
        <v>19</v>
      </c>
      <c r="E1128" s="4">
        <f>IFERROR(__xludf.DUMMYFUNCTION("""COMPUTED_VALUE"""),64.0)</f>
        <v>64</v>
      </c>
      <c r="F1128" s="4">
        <f>IFERROR(__xludf.DUMMYFUNCTION("""COMPUTED_VALUE"""),4.0)</f>
        <v>4</v>
      </c>
      <c r="G1128" s="4">
        <f>IFERROR(__xludf.DUMMYFUNCTION("""COMPUTED_VALUE"""),253.0)</f>
        <v>253</v>
      </c>
      <c r="H1128" s="5">
        <f>IFERROR(__xludf.DUMMYFUNCTION("""COMPUTED_VALUE"""),1858.25)</f>
        <v>1858.25</v>
      </c>
      <c r="I1128" s="5">
        <f>IFERROR(__xludf.DUMMYFUNCTION("""COMPUTED_VALUE"""),9117.93)</f>
        <v>9117.93</v>
      </c>
      <c r="J1128" s="5">
        <f>IFERROR(__xludf.DUMMYFUNCTION("""COMPUTED_VALUE"""),1589.69)</f>
        <v>1589.69</v>
      </c>
      <c r="K1128" s="5">
        <f>IFERROR(__xludf.DUMMYFUNCTION("""COMPUTED_VALUE"""),6411.5)</f>
        <v>6411.5</v>
      </c>
      <c r="L1128" s="4">
        <f>IFERROR(__xludf.DUMMYFUNCTION("""COMPUTED_VALUE"""),3.0)</f>
        <v>3</v>
      </c>
      <c r="M1128" s="4">
        <f>IFERROR(__xludf.DUMMYFUNCTION("""COMPUTED_VALUE"""),8.0)</f>
        <v>8</v>
      </c>
      <c r="N1128" s="2" t="str">
        <f>IFERROR(__xludf.DUMMYFUNCTION("""COMPUTED_VALUE"""),"VERDADERO")</f>
        <v>VERDADERO</v>
      </c>
    </row>
    <row r="1129">
      <c r="A1129" s="2">
        <f>IFERROR(__xludf.DUMMYFUNCTION("""COMPUTED_VALUE"""),1128.0)</f>
        <v>1128</v>
      </c>
      <c r="B1129" s="2" t="str">
        <f>IFERROR(__xludf.DUMMYFUNCTION("""COMPUTED_VALUE"""),"Erek Normand")</f>
        <v>Erek Normand</v>
      </c>
      <c r="C1129" s="2" t="str">
        <f>IFERROR(__xludf.DUMMYFUNCTION("""COMPUTED_VALUE"""),"enormand3k@ebay.com")</f>
        <v>enormand3k@ebay.com</v>
      </c>
      <c r="D1129" s="4">
        <f>IFERROR(__xludf.DUMMYFUNCTION("""COMPUTED_VALUE"""),121.0)</f>
        <v>121</v>
      </c>
      <c r="E1129" s="4">
        <f>IFERROR(__xludf.DUMMYFUNCTION("""COMPUTED_VALUE"""),66.0)</f>
        <v>66</v>
      </c>
      <c r="F1129" s="4">
        <f>IFERROR(__xludf.DUMMYFUNCTION("""COMPUTED_VALUE"""),6.0)</f>
        <v>6</v>
      </c>
      <c r="G1129" s="4">
        <f>IFERROR(__xludf.DUMMYFUNCTION("""COMPUTED_VALUE"""),858.0)</f>
        <v>858</v>
      </c>
      <c r="H1129" s="5">
        <f>IFERROR(__xludf.DUMMYFUNCTION("""COMPUTED_VALUE"""),1356.59)</f>
        <v>1356.59</v>
      </c>
      <c r="I1129" s="5">
        <f>IFERROR(__xludf.DUMMYFUNCTION("""COMPUTED_VALUE"""),9873.23)</f>
        <v>9873.23</v>
      </c>
      <c r="J1129" s="5">
        <f>IFERROR(__xludf.DUMMYFUNCTION("""COMPUTED_VALUE"""),9701.73)</f>
        <v>9701.73</v>
      </c>
      <c r="K1129" s="5">
        <f>IFERROR(__xludf.DUMMYFUNCTION("""COMPUTED_VALUE"""),908.52)</f>
        <v>908.52</v>
      </c>
      <c r="L1129" s="4">
        <f>IFERROR(__xludf.DUMMYFUNCTION("""COMPUTED_VALUE"""),3.0)</f>
        <v>3</v>
      </c>
      <c r="M1129" s="4">
        <f>IFERROR(__xludf.DUMMYFUNCTION("""COMPUTED_VALUE"""),14.0)</f>
        <v>14</v>
      </c>
      <c r="N1129" s="2" t="str">
        <f>IFERROR(__xludf.DUMMYFUNCTION("""COMPUTED_VALUE"""),"VERDADERO")</f>
        <v>VERDADERO</v>
      </c>
    </row>
    <row r="1130">
      <c r="A1130" s="2">
        <f>IFERROR(__xludf.DUMMYFUNCTION("""COMPUTED_VALUE"""),1129.0)</f>
        <v>1129</v>
      </c>
      <c r="B1130" s="2" t="str">
        <f>IFERROR(__xludf.DUMMYFUNCTION("""COMPUTED_VALUE"""),"Jacquelin Yeeles")</f>
        <v>Jacquelin Yeeles</v>
      </c>
      <c r="C1130" s="2" t="str">
        <f>IFERROR(__xludf.DUMMYFUNCTION("""COMPUTED_VALUE"""),"jyeeles3l@cnbc.com")</f>
        <v>jyeeles3l@cnbc.com</v>
      </c>
      <c r="D1130" s="4">
        <f>IFERROR(__xludf.DUMMYFUNCTION("""COMPUTED_VALUE"""),29.0)</f>
        <v>29</v>
      </c>
      <c r="E1130" s="4">
        <f>IFERROR(__xludf.DUMMYFUNCTION("""COMPUTED_VALUE"""),81.0)</f>
        <v>81</v>
      </c>
      <c r="F1130" s="4">
        <f>IFERROR(__xludf.DUMMYFUNCTION("""COMPUTED_VALUE"""),2.0)</f>
        <v>2</v>
      </c>
      <c r="G1130" s="4">
        <f>IFERROR(__xludf.DUMMYFUNCTION("""COMPUTED_VALUE"""),177.0)</f>
        <v>177</v>
      </c>
      <c r="H1130" s="5">
        <f>IFERROR(__xludf.DUMMYFUNCTION("""COMPUTED_VALUE"""),3247.98)</f>
        <v>3247.98</v>
      </c>
      <c r="I1130" s="5">
        <f>IFERROR(__xludf.DUMMYFUNCTION("""COMPUTED_VALUE"""),1775.82)</f>
        <v>1775.82</v>
      </c>
      <c r="J1130" s="5">
        <f>IFERROR(__xludf.DUMMYFUNCTION("""COMPUTED_VALUE"""),3295.76)</f>
        <v>3295.76</v>
      </c>
      <c r="K1130" s="5">
        <f>IFERROR(__xludf.DUMMYFUNCTION("""COMPUTED_VALUE"""),9976.38)</f>
        <v>9976.38</v>
      </c>
      <c r="L1130" s="4">
        <f>IFERROR(__xludf.DUMMYFUNCTION("""COMPUTED_VALUE"""),3.0)</f>
        <v>3</v>
      </c>
      <c r="M1130" s="4">
        <f>IFERROR(__xludf.DUMMYFUNCTION("""COMPUTED_VALUE"""),4.0)</f>
        <v>4</v>
      </c>
      <c r="N1130" s="2" t="str">
        <f>IFERROR(__xludf.DUMMYFUNCTION("""COMPUTED_VALUE"""),"FALSO")</f>
        <v>FALSO</v>
      </c>
    </row>
    <row r="1131">
      <c r="A1131" s="2">
        <f>IFERROR(__xludf.DUMMYFUNCTION("""COMPUTED_VALUE"""),1130.0)</f>
        <v>1130</v>
      </c>
      <c r="B1131" s="2" t="str">
        <f>IFERROR(__xludf.DUMMYFUNCTION("""COMPUTED_VALUE"""),"Beverlee Yakubov")</f>
        <v>Beverlee Yakubov</v>
      </c>
      <c r="C1131" s="2" t="str">
        <f>IFERROR(__xludf.DUMMYFUNCTION("""COMPUTED_VALUE"""),"byakubov3m@storify.com")</f>
        <v>byakubov3m@storify.com</v>
      </c>
      <c r="D1131" s="4">
        <f>IFERROR(__xludf.DUMMYFUNCTION("""COMPUTED_VALUE"""),69.0)</f>
        <v>69</v>
      </c>
      <c r="E1131" s="4">
        <f>IFERROR(__xludf.DUMMYFUNCTION("""COMPUTED_VALUE"""),81.0)</f>
        <v>81</v>
      </c>
      <c r="F1131" s="4">
        <f>IFERROR(__xludf.DUMMYFUNCTION("""COMPUTED_VALUE"""),2.0)</f>
        <v>2</v>
      </c>
      <c r="G1131" s="4">
        <f>IFERROR(__xludf.DUMMYFUNCTION("""COMPUTED_VALUE"""),949.0)</f>
        <v>949</v>
      </c>
      <c r="H1131" s="5">
        <f>IFERROR(__xludf.DUMMYFUNCTION("""COMPUTED_VALUE"""),7790.07)</f>
        <v>7790.07</v>
      </c>
      <c r="I1131" s="5">
        <f>IFERROR(__xludf.DUMMYFUNCTION("""COMPUTED_VALUE"""),8538.3)</f>
        <v>8538.3</v>
      </c>
      <c r="J1131" s="5">
        <f>IFERROR(__xludf.DUMMYFUNCTION("""COMPUTED_VALUE"""),9286.83)</f>
        <v>9286.83</v>
      </c>
      <c r="K1131" s="5">
        <f>IFERROR(__xludf.DUMMYFUNCTION("""COMPUTED_VALUE"""),3625.32)</f>
        <v>3625.32</v>
      </c>
      <c r="L1131" s="4">
        <f>IFERROR(__xludf.DUMMYFUNCTION("""COMPUTED_VALUE"""),4.0)</f>
        <v>4</v>
      </c>
      <c r="M1131" s="4">
        <f>IFERROR(__xludf.DUMMYFUNCTION("""COMPUTED_VALUE"""),82.0)</f>
        <v>82</v>
      </c>
      <c r="N1131" s="2" t="str">
        <f>IFERROR(__xludf.DUMMYFUNCTION("""COMPUTED_VALUE"""),"FALSO")</f>
        <v>FALSO</v>
      </c>
    </row>
    <row r="1132">
      <c r="A1132" s="2">
        <f>IFERROR(__xludf.DUMMYFUNCTION("""COMPUTED_VALUE"""),1131.0)</f>
        <v>1131</v>
      </c>
      <c r="B1132" s="2" t="str">
        <f>IFERROR(__xludf.DUMMYFUNCTION("""COMPUTED_VALUE"""),"Ezra Ragles")</f>
        <v>Ezra Ragles</v>
      </c>
      <c r="C1132" s="2" t="str">
        <f>IFERROR(__xludf.DUMMYFUNCTION("""COMPUTED_VALUE"""),"eragles3n@mysql.com")</f>
        <v>eragles3n@mysql.com</v>
      </c>
      <c r="D1132" s="4">
        <f>IFERROR(__xludf.DUMMYFUNCTION("""COMPUTED_VALUE"""),124.0)</f>
        <v>124</v>
      </c>
      <c r="E1132" s="4">
        <f>IFERROR(__xludf.DUMMYFUNCTION("""COMPUTED_VALUE"""),17.0)</f>
        <v>17</v>
      </c>
      <c r="F1132" s="4">
        <f>IFERROR(__xludf.DUMMYFUNCTION("""COMPUTED_VALUE"""),5.0)</f>
        <v>5</v>
      </c>
      <c r="G1132" s="4">
        <f>IFERROR(__xludf.DUMMYFUNCTION("""COMPUTED_VALUE"""),468.0)</f>
        <v>468</v>
      </c>
      <c r="H1132" s="5">
        <f>IFERROR(__xludf.DUMMYFUNCTION("""COMPUTED_VALUE"""),985.07)</f>
        <v>985.07</v>
      </c>
      <c r="I1132" s="5">
        <f>IFERROR(__xludf.DUMMYFUNCTION("""COMPUTED_VALUE"""),1704.89)</f>
        <v>1704.89</v>
      </c>
      <c r="J1132" s="5">
        <f>IFERROR(__xludf.DUMMYFUNCTION("""COMPUTED_VALUE"""),1443.63)</f>
        <v>1443.63</v>
      </c>
      <c r="K1132" s="5">
        <f>IFERROR(__xludf.DUMMYFUNCTION("""COMPUTED_VALUE"""),8506.11)</f>
        <v>8506.11</v>
      </c>
      <c r="L1132" s="4">
        <f>IFERROR(__xludf.DUMMYFUNCTION("""COMPUTED_VALUE"""),16.0)</f>
        <v>16</v>
      </c>
      <c r="M1132" s="4">
        <f>IFERROR(__xludf.DUMMYFUNCTION("""COMPUTED_VALUE"""),38.0)</f>
        <v>38</v>
      </c>
      <c r="N1132" s="2" t="str">
        <f>IFERROR(__xludf.DUMMYFUNCTION("""COMPUTED_VALUE"""),"VERDADERO")</f>
        <v>VERDADERO</v>
      </c>
    </row>
    <row r="1133">
      <c r="A1133" s="2">
        <f>IFERROR(__xludf.DUMMYFUNCTION("""COMPUTED_VALUE"""),1132.0)</f>
        <v>1132</v>
      </c>
      <c r="B1133" s="2" t="str">
        <f>IFERROR(__xludf.DUMMYFUNCTION("""COMPUTED_VALUE"""),"Umberto Domenico")</f>
        <v>Umberto Domenico</v>
      </c>
      <c r="C1133" s="2" t="str">
        <f>IFERROR(__xludf.DUMMYFUNCTION("""COMPUTED_VALUE"""),"udomenico3o@economist.com")</f>
        <v>udomenico3o@economist.com</v>
      </c>
      <c r="D1133" s="4">
        <f>IFERROR(__xludf.DUMMYFUNCTION("""COMPUTED_VALUE"""),143.0)</f>
        <v>143</v>
      </c>
      <c r="E1133" s="4">
        <f>IFERROR(__xludf.DUMMYFUNCTION("""COMPUTED_VALUE"""),54.0)</f>
        <v>54</v>
      </c>
      <c r="F1133" s="4">
        <f>IFERROR(__xludf.DUMMYFUNCTION("""COMPUTED_VALUE"""),10.0)</f>
        <v>10</v>
      </c>
      <c r="G1133" s="4">
        <f>IFERROR(__xludf.DUMMYFUNCTION("""COMPUTED_VALUE"""),1370.0)</f>
        <v>1370</v>
      </c>
      <c r="H1133" s="5">
        <f>IFERROR(__xludf.DUMMYFUNCTION("""COMPUTED_VALUE"""),7821.06)</f>
        <v>7821.06</v>
      </c>
      <c r="I1133" s="5">
        <f>IFERROR(__xludf.DUMMYFUNCTION("""COMPUTED_VALUE"""),5376.96)</f>
        <v>5376.96</v>
      </c>
      <c r="J1133" s="5">
        <f>IFERROR(__xludf.DUMMYFUNCTION("""COMPUTED_VALUE"""),1304.93)</f>
        <v>1304.93</v>
      </c>
      <c r="K1133" s="5">
        <f>IFERROR(__xludf.DUMMYFUNCTION("""COMPUTED_VALUE"""),8149.6)</f>
        <v>8149.6</v>
      </c>
      <c r="L1133" s="4">
        <f>IFERROR(__xludf.DUMMYFUNCTION("""COMPUTED_VALUE"""),7.0)</f>
        <v>7</v>
      </c>
      <c r="M1133" s="4">
        <f>IFERROR(__xludf.DUMMYFUNCTION("""COMPUTED_VALUE"""),35.0)</f>
        <v>35</v>
      </c>
      <c r="N1133" s="2" t="str">
        <f>IFERROR(__xludf.DUMMYFUNCTION("""COMPUTED_VALUE"""),"VERDADERO")</f>
        <v>VERDADERO</v>
      </c>
    </row>
    <row r="1134">
      <c r="A1134" s="2">
        <f>IFERROR(__xludf.DUMMYFUNCTION("""COMPUTED_VALUE"""),1133.0)</f>
        <v>1133</v>
      </c>
      <c r="B1134" s="2" t="str">
        <f>IFERROR(__xludf.DUMMYFUNCTION("""COMPUTED_VALUE"""),"Ram Siely")</f>
        <v>Ram Siely</v>
      </c>
      <c r="C1134" s="2" t="str">
        <f>IFERROR(__xludf.DUMMYFUNCTION("""COMPUTED_VALUE"""),"rsiely3p@dot.gov")</f>
        <v>rsiely3p@dot.gov</v>
      </c>
      <c r="D1134" s="4">
        <f>IFERROR(__xludf.DUMMYFUNCTION("""COMPUTED_VALUE"""),121.0)</f>
        <v>121</v>
      </c>
      <c r="E1134" s="4">
        <f>IFERROR(__xludf.DUMMYFUNCTION("""COMPUTED_VALUE"""),25.0)</f>
        <v>25</v>
      </c>
      <c r="F1134" s="4">
        <f>IFERROR(__xludf.DUMMYFUNCTION("""COMPUTED_VALUE"""),4.0)</f>
        <v>4</v>
      </c>
      <c r="G1134" s="4">
        <f>IFERROR(__xludf.DUMMYFUNCTION("""COMPUTED_VALUE"""),777.0)</f>
        <v>777</v>
      </c>
      <c r="H1134" s="5">
        <f>IFERROR(__xludf.DUMMYFUNCTION("""COMPUTED_VALUE"""),9788.46)</f>
        <v>9788.46</v>
      </c>
      <c r="I1134" s="5">
        <f>IFERROR(__xludf.DUMMYFUNCTION("""COMPUTED_VALUE"""),407.33)</f>
        <v>407.33</v>
      </c>
      <c r="J1134" s="5">
        <f>IFERROR(__xludf.DUMMYFUNCTION("""COMPUTED_VALUE"""),725.88)</f>
        <v>725.88</v>
      </c>
      <c r="K1134" s="5">
        <f>IFERROR(__xludf.DUMMYFUNCTION("""COMPUTED_VALUE"""),1820.71)</f>
        <v>1820.71</v>
      </c>
      <c r="L1134" s="4">
        <f>IFERROR(__xludf.DUMMYFUNCTION("""COMPUTED_VALUE"""),17.0)</f>
        <v>17</v>
      </c>
      <c r="M1134" s="4">
        <f>IFERROR(__xludf.DUMMYFUNCTION("""COMPUTED_VALUE"""),58.0)</f>
        <v>58</v>
      </c>
      <c r="N1134" s="2" t="str">
        <f>IFERROR(__xludf.DUMMYFUNCTION("""COMPUTED_VALUE"""),"VERDADERO")</f>
        <v>VERDADERO</v>
      </c>
    </row>
    <row r="1135">
      <c r="A1135" s="2">
        <f>IFERROR(__xludf.DUMMYFUNCTION("""COMPUTED_VALUE"""),1134.0)</f>
        <v>1134</v>
      </c>
      <c r="B1135" s="2" t="str">
        <f>IFERROR(__xludf.DUMMYFUNCTION("""COMPUTED_VALUE"""),"Michele Eliaz")</f>
        <v>Michele Eliaz</v>
      </c>
      <c r="C1135" s="2" t="str">
        <f>IFERROR(__xludf.DUMMYFUNCTION("""COMPUTED_VALUE"""),"meliaz3q@live.com")</f>
        <v>meliaz3q@live.com</v>
      </c>
      <c r="D1135" s="4">
        <f>IFERROR(__xludf.DUMMYFUNCTION("""COMPUTED_VALUE"""),74.0)</f>
        <v>74</v>
      </c>
      <c r="E1135" s="4">
        <f>IFERROR(__xludf.DUMMYFUNCTION("""COMPUTED_VALUE"""),64.0)</f>
        <v>64</v>
      </c>
      <c r="F1135" s="4">
        <f>IFERROR(__xludf.DUMMYFUNCTION("""COMPUTED_VALUE"""),4.0)</f>
        <v>4</v>
      </c>
      <c r="G1135" s="4">
        <f>IFERROR(__xludf.DUMMYFUNCTION("""COMPUTED_VALUE"""),1134.0)</f>
        <v>1134</v>
      </c>
      <c r="H1135" s="5">
        <f>IFERROR(__xludf.DUMMYFUNCTION("""COMPUTED_VALUE"""),9435.4)</f>
        <v>9435.4</v>
      </c>
      <c r="I1135" s="5">
        <f>IFERROR(__xludf.DUMMYFUNCTION("""COMPUTED_VALUE"""),9328.81)</f>
        <v>9328.81</v>
      </c>
      <c r="J1135" s="5">
        <f>IFERROR(__xludf.DUMMYFUNCTION("""COMPUTED_VALUE"""),6333.15)</f>
        <v>6333.15</v>
      </c>
      <c r="K1135" s="5">
        <f>IFERROR(__xludf.DUMMYFUNCTION("""COMPUTED_VALUE"""),5346.48)</f>
        <v>5346.48</v>
      </c>
      <c r="L1135" s="4">
        <f>IFERROR(__xludf.DUMMYFUNCTION("""COMPUTED_VALUE"""),16.0)</f>
        <v>16</v>
      </c>
      <c r="M1135" s="4">
        <f>IFERROR(__xludf.DUMMYFUNCTION("""COMPUTED_VALUE"""),87.0)</f>
        <v>87</v>
      </c>
      <c r="N1135" s="2" t="str">
        <f>IFERROR(__xludf.DUMMYFUNCTION("""COMPUTED_VALUE"""),"FALSO")</f>
        <v>FALSO</v>
      </c>
    </row>
    <row r="1136">
      <c r="A1136" s="2">
        <f>IFERROR(__xludf.DUMMYFUNCTION("""COMPUTED_VALUE"""),1135.0)</f>
        <v>1135</v>
      </c>
      <c r="B1136" s="2" t="str">
        <f>IFERROR(__xludf.DUMMYFUNCTION("""COMPUTED_VALUE"""),"Rossie Boylin")</f>
        <v>Rossie Boylin</v>
      </c>
      <c r="C1136" s="2" t="str">
        <f>IFERROR(__xludf.DUMMYFUNCTION("""COMPUTED_VALUE"""),"rboylin3r@bigcartel.com")</f>
        <v>rboylin3r@bigcartel.com</v>
      </c>
      <c r="D1136" s="4">
        <f>IFERROR(__xludf.DUMMYFUNCTION("""COMPUTED_VALUE"""),29.0)</f>
        <v>29</v>
      </c>
      <c r="E1136" s="4">
        <f>IFERROR(__xludf.DUMMYFUNCTION("""COMPUTED_VALUE"""),111.0)</f>
        <v>111</v>
      </c>
      <c r="F1136" s="4">
        <f>IFERROR(__xludf.DUMMYFUNCTION("""COMPUTED_VALUE"""),4.0)</f>
        <v>4</v>
      </c>
      <c r="G1136" s="4">
        <f>IFERROR(__xludf.DUMMYFUNCTION("""COMPUTED_VALUE"""),274.0)</f>
        <v>274</v>
      </c>
      <c r="H1136" s="5">
        <f>IFERROR(__xludf.DUMMYFUNCTION("""COMPUTED_VALUE"""),1717.19)</f>
        <v>1717.19</v>
      </c>
      <c r="I1136" s="5">
        <f>IFERROR(__xludf.DUMMYFUNCTION("""COMPUTED_VALUE"""),6613.48)</f>
        <v>6613.48</v>
      </c>
      <c r="J1136" s="5">
        <f>IFERROR(__xludf.DUMMYFUNCTION("""COMPUTED_VALUE"""),428.34)</f>
        <v>428.34</v>
      </c>
      <c r="K1136" s="5">
        <f>IFERROR(__xludf.DUMMYFUNCTION("""COMPUTED_VALUE"""),6058.82)</f>
        <v>6058.82</v>
      </c>
      <c r="L1136" s="4">
        <f>IFERROR(__xludf.DUMMYFUNCTION("""COMPUTED_VALUE"""),15.0)</f>
        <v>15</v>
      </c>
      <c r="M1136" s="4">
        <f>IFERROR(__xludf.DUMMYFUNCTION("""COMPUTED_VALUE"""),29.0)</f>
        <v>29</v>
      </c>
      <c r="N1136" s="2" t="str">
        <f>IFERROR(__xludf.DUMMYFUNCTION("""COMPUTED_VALUE"""),"VERDADERO")</f>
        <v>VERDADERO</v>
      </c>
    </row>
    <row r="1137">
      <c r="A1137" s="2">
        <f>IFERROR(__xludf.DUMMYFUNCTION("""COMPUTED_VALUE"""),1136.0)</f>
        <v>1136</v>
      </c>
      <c r="B1137" s="2" t="str">
        <f>IFERROR(__xludf.DUMMYFUNCTION("""COMPUTED_VALUE"""),"Joseph Wanek")</f>
        <v>Joseph Wanek</v>
      </c>
      <c r="C1137" s="2" t="str">
        <f>IFERROR(__xludf.DUMMYFUNCTION("""COMPUTED_VALUE"""),"jwanek3s@twitter.com")</f>
        <v>jwanek3s@twitter.com</v>
      </c>
      <c r="D1137" s="4">
        <f>IFERROR(__xludf.DUMMYFUNCTION("""COMPUTED_VALUE"""),81.0)</f>
        <v>81</v>
      </c>
      <c r="E1137" s="4">
        <f>IFERROR(__xludf.DUMMYFUNCTION("""COMPUTED_VALUE"""),56.0)</f>
        <v>56</v>
      </c>
      <c r="F1137" s="4">
        <f>IFERROR(__xludf.DUMMYFUNCTION("""COMPUTED_VALUE"""),6.0)</f>
        <v>6</v>
      </c>
      <c r="G1137" s="4">
        <f>IFERROR(__xludf.DUMMYFUNCTION("""COMPUTED_VALUE"""),647.0)</f>
        <v>647</v>
      </c>
      <c r="H1137" s="5">
        <f>IFERROR(__xludf.DUMMYFUNCTION("""COMPUTED_VALUE"""),6646.6)</f>
        <v>6646.6</v>
      </c>
      <c r="I1137" s="5">
        <f>IFERROR(__xludf.DUMMYFUNCTION("""COMPUTED_VALUE"""),1451.82)</f>
        <v>1451.82</v>
      </c>
      <c r="J1137" s="5">
        <f>IFERROR(__xludf.DUMMYFUNCTION("""COMPUTED_VALUE"""),3550.46)</f>
        <v>3550.46</v>
      </c>
      <c r="K1137" s="5">
        <f>IFERROR(__xludf.DUMMYFUNCTION("""COMPUTED_VALUE"""),2693.26)</f>
        <v>2693.26</v>
      </c>
      <c r="L1137" s="4">
        <f>IFERROR(__xludf.DUMMYFUNCTION("""COMPUTED_VALUE"""),18.0)</f>
        <v>18</v>
      </c>
      <c r="M1137" s="4">
        <f>IFERROR(__xludf.DUMMYFUNCTION("""COMPUTED_VALUE"""),96.0)</f>
        <v>96</v>
      </c>
      <c r="N1137" s="2" t="str">
        <f>IFERROR(__xludf.DUMMYFUNCTION("""COMPUTED_VALUE"""),"VERDADERO")</f>
        <v>VERDADERO</v>
      </c>
    </row>
    <row r="1138">
      <c r="A1138" s="2">
        <f>IFERROR(__xludf.DUMMYFUNCTION("""COMPUTED_VALUE"""),1137.0)</f>
        <v>1137</v>
      </c>
      <c r="B1138" s="2" t="str">
        <f>IFERROR(__xludf.DUMMYFUNCTION("""COMPUTED_VALUE"""),"Sandor Hamp")</f>
        <v>Sandor Hamp</v>
      </c>
      <c r="C1138" s="2" t="str">
        <f>IFERROR(__xludf.DUMMYFUNCTION("""COMPUTED_VALUE"""),"shamp3t@wikimedia.org")</f>
        <v>shamp3t@wikimedia.org</v>
      </c>
      <c r="D1138" s="4">
        <f>IFERROR(__xludf.DUMMYFUNCTION("""COMPUTED_VALUE"""),119.0)</f>
        <v>119</v>
      </c>
      <c r="E1138" s="4">
        <f>IFERROR(__xludf.DUMMYFUNCTION("""COMPUTED_VALUE"""),64.0)</f>
        <v>64</v>
      </c>
      <c r="F1138" s="4">
        <f>IFERROR(__xludf.DUMMYFUNCTION("""COMPUTED_VALUE"""),4.0)</f>
        <v>4</v>
      </c>
      <c r="G1138" s="4">
        <f>IFERROR(__xludf.DUMMYFUNCTION("""COMPUTED_VALUE"""),1555.0)</f>
        <v>1555</v>
      </c>
      <c r="H1138" s="5">
        <f>IFERROR(__xludf.DUMMYFUNCTION("""COMPUTED_VALUE"""),5588.04)</f>
        <v>5588.04</v>
      </c>
      <c r="I1138" s="5">
        <f>IFERROR(__xludf.DUMMYFUNCTION("""COMPUTED_VALUE"""),3117.02)</f>
        <v>3117.02</v>
      </c>
      <c r="J1138" s="5">
        <f>IFERROR(__xludf.DUMMYFUNCTION("""COMPUTED_VALUE"""),5040.25)</f>
        <v>5040.25</v>
      </c>
      <c r="K1138" s="5">
        <f>IFERROR(__xludf.DUMMYFUNCTION("""COMPUTED_VALUE"""),8393.95)</f>
        <v>8393.95</v>
      </c>
      <c r="L1138" s="4">
        <f>IFERROR(__xludf.DUMMYFUNCTION("""COMPUTED_VALUE"""),17.0)</f>
        <v>17</v>
      </c>
      <c r="M1138" s="4">
        <f>IFERROR(__xludf.DUMMYFUNCTION("""COMPUTED_VALUE"""),93.0)</f>
        <v>93</v>
      </c>
      <c r="N1138" s="2" t="str">
        <f>IFERROR(__xludf.DUMMYFUNCTION("""COMPUTED_VALUE"""),"VERDADERO")</f>
        <v>VERDADERO</v>
      </c>
    </row>
    <row r="1139">
      <c r="A1139" s="2">
        <f>IFERROR(__xludf.DUMMYFUNCTION("""COMPUTED_VALUE"""),1138.0)</f>
        <v>1138</v>
      </c>
      <c r="B1139" s="2" t="str">
        <f>IFERROR(__xludf.DUMMYFUNCTION("""COMPUTED_VALUE"""),"Elvis Rosendahl")</f>
        <v>Elvis Rosendahl</v>
      </c>
      <c r="C1139" s="2" t="str">
        <f>IFERROR(__xludf.DUMMYFUNCTION("""COMPUTED_VALUE"""),"erosendahl3u@devhub.com")</f>
        <v>erosendahl3u@devhub.com</v>
      </c>
      <c r="D1139" s="4">
        <f>IFERROR(__xludf.DUMMYFUNCTION("""COMPUTED_VALUE"""),114.0)</f>
        <v>114</v>
      </c>
      <c r="E1139" s="4">
        <f>IFERROR(__xludf.DUMMYFUNCTION("""COMPUTED_VALUE"""),102.0)</f>
        <v>102</v>
      </c>
      <c r="F1139" s="4">
        <f>IFERROR(__xludf.DUMMYFUNCTION("""COMPUTED_VALUE"""),4.0)</f>
        <v>4</v>
      </c>
      <c r="G1139" s="4">
        <f>IFERROR(__xludf.DUMMYFUNCTION("""COMPUTED_VALUE"""),692.0)</f>
        <v>692</v>
      </c>
      <c r="H1139" s="5">
        <f>IFERROR(__xludf.DUMMYFUNCTION("""COMPUTED_VALUE"""),6157.46)</f>
        <v>6157.46</v>
      </c>
      <c r="I1139" s="5">
        <f>IFERROR(__xludf.DUMMYFUNCTION("""COMPUTED_VALUE"""),563.31)</f>
        <v>563.31</v>
      </c>
      <c r="J1139" s="5">
        <f>IFERROR(__xludf.DUMMYFUNCTION("""COMPUTED_VALUE"""),4365.77)</f>
        <v>4365.77</v>
      </c>
      <c r="K1139" s="5">
        <f>IFERROR(__xludf.DUMMYFUNCTION("""COMPUTED_VALUE"""),7676.07)</f>
        <v>7676.07</v>
      </c>
      <c r="L1139" s="4">
        <f>IFERROR(__xludf.DUMMYFUNCTION("""COMPUTED_VALUE"""),18.0)</f>
        <v>18</v>
      </c>
      <c r="M1139" s="4">
        <f>IFERROR(__xludf.DUMMYFUNCTION("""COMPUTED_VALUE"""),31.0)</f>
        <v>31</v>
      </c>
      <c r="N1139" s="2" t="str">
        <f>IFERROR(__xludf.DUMMYFUNCTION("""COMPUTED_VALUE"""),"VERDADERO")</f>
        <v>VERDADERO</v>
      </c>
    </row>
    <row r="1140">
      <c r="A1140" s="2">
        <f>IFERROR(__xludf.DUMMYFUNCTION("""COMPUTED_VALUE"""),1139.0)</f>
        <v>1139</v>
      </c>
      <c r="B1140" s="2" t="str">
        <f>IFERROR(__xludf.DUMMYFUNCTION("""COMPUTED_VALUE"""),"Wendel Escudier")</f>
        <v>Wendel Escudier</v>
      </c>
      <c r="C1140" s="2" t="str">
        <f>IFERROR(__xludf.DUMMYFUNCTION("""COMPUTED_VALUE"""),"wescudier3v@ovh.net")</f>
        <v>wescudier3v@ovh.net</v>
      </c>
      <c r="D1140" s="4">
        <f>IFERROR(__xludf.DUMMYFUNCTION("""COMPUTED_VALUE"""),137.0)</f>
        <v>137</v>
      </c>
      <c r="E1140" s="4">
        <f>IFERROR(__xludf.DUMMYFUNCTION("""COMPUTED_VALUE"""),111.0)</f>
        <v>111</v>
      </c>
      <c r="F1140" s="4">
        <f>IFERROR(__xludf.DUMMYFUNCTION("""COMPUTED_VALUE"""),4.0)</f>
        <v>4</v>
      </c>
      <c r="G1140" s="4">
        <f>IFERROR(__xludf.DUMMYFUNCTION("""COMPUTED_VALUE"""),1562.0)</f>
        <v>1562</v>
      </c>
      <c r="H1140" s="5">
        <f>IFERROR(__xludf.DUMMYFUNCTION("""COMPUTED_VALUE"""),7237.5)</f>
        <v>7237.5</v>
      </c>
      <c r="I1140" s="5">
        <f>IFERROR(__xludf.DUMMYFUNCTION("""COMPUTED_VALUE"""),2457.54)</f>
        <v>2457.54</v>
      </c>
      <c r="J1140" s="5">
        <f>IFERROR(__xludf.DUMMYFUNCTION("""COMPUTED_VALUE"""),6622.96)</f>
        <v>6622.96</v>
      </c>
      <c r="K1140" s="5">
        <f>IFERROR(__xludf.DUMMYFUNCTION("""COMPUTED_VALUE"""),1802.13)</f>
        <v>1802.13</v>
      </c>
      <c r="L1140" s="4">
        <f>IFERROR(__xludf.DUMMYFUNCTION("""COMPUTED_VALUE"""),11.0)</f>
        <v>11</v>
      </c>
      <c r="M1140" s="4">
        <f>IFERROR(__xludf.DUMMYFUNCTION("""COMPUTED_VALUE"""),1.0)</f>
        <v>1</v>
      </c>
      <c r="N1140" s="2" t="str">
        <f>IFERROR(__xludf.DUMMYFUNCTION("""COMPUTED_VALUE"""),"FALSO")</f>
        <v>FALSO</v>
      </c>
    </row>
    <row r="1141">
      <c r="A1141" s="2">
        <f>IFERROR(__xludf.DUMMYFUNCTION("""COMPUTED_VALUE"""),1140.0)</f>
        <v>1140</v>
      </c>
      <c r="B1141" s="2" t="str">
        <f>IFERROR(__xludf.DUMMYFUNCTION("""COMPUTED_VALUE"""),"Larisa Giacovetti")</f>
        <v>Larisa Giacovetti</v>
      </c>
      <c r="C1141" s="2" t="str">
        <f>IFERROR(__xludf.DUMMYFUNCTION("""COMPUTED_VALUE"""),"lgiacovetti3w@wired.com")</f>
        <v>lgiacovetti3w@wired.com</v>
      </c>
      <c r="D1141" s="4">
        <f>IFERROR(__xludf.DUMMYFUNCTION("""COMPUTED_VALUE"""),17.0)</f>
        <v>17</v>
      </c>
      <c r="E1141" s="4">
        <f>IFERROR(__xludf.DUMMYFUNCTION("""COMPUTED_VALUE"""),81.0)</f>
        <v>81</v>
      </c>
      <c r="F1141" s="4">
        <f>IFERROR(__xludf.DUMMYFUNCTION("""COMPUTED_VALUE"""),2.0)</f>
        <v>2</v>
      </c>
      <c r="G1141" s="4">
        <f>IFERROR(__xludf.DUMMYFUNCTION("""COMPUTED_VALUE"""),262.0)</f>
        <v>262</v>
      </c>
      <c r="H1141" s="5">
        <f>IFERROR(__xludf.DUMMYFUNCTION("""COMPUTED_VALUE"""),7204.05)</f>
        <v>7204.05</v>
      </c>
      <c r="I1141" s="5">
        <f>IFERROR(__xludf.DUMMYFUNCTION("""COMPUTED_VALUE"""),7715.31)</f>
        <v>7715.31</v>
      </c>
      <c r="J1141" s="5">
        <f>IFERROR(__xludf.DUMMYFUNCTION("""COMPUTED_VALUE"""),6329.94)</f>
        <v>6329.94</v>
      </c>
      <c r="K1141" s="5">
        <f>IFERROR(__xludf.DUMMYFUNCTION("""COMPUTED_VALUE"""),1390.95)</f>
        <v>1390.95</v>
      </c>
      <c r="L1141" s="4">
        <f>IFERROR(__xludf.DUMMYFUNCTION("""COMPUTED_VALUE"""),5.0)</f>
        <v>5</v>
      </c>
      <c r="M1141" s="4">
        <f>IFERROR(__xludf.DUMMYFUNCTION("""COMPUTED_VALUE"""),44.0)</f>
        <v>44</v>
      </c>
      <c r="N1141" s="2" t="str">
        <f>IFERROR(__xludf.DUMMYFUNCTION("""COMPUTED_VALUE"""),"VERDADERO")</f>
        <v>VERDADERO</v>
      </c>
    </row>
    <row r="1142">
      <c r="A1142" s="2">
        <f>IFERROR(__xludf.DUMMYFUNCTION("""COMPUTED_VALUE"""),1141.0)</f>
        <v>1141</v>
      </c>
      <c r="B1142" s="2" t="str">
        <f>IFERROR(__xludf.DUMMYFUNCTION("""COMPUTED_VALUE"""),"Wendall Trace")</f>
        <v>Wendall Trace</v>
      </c>
      <c r="C1142" s="2" t="str">
        <f>IFERROR(__xludf.DUMMYFUNCTION("""COMPUTED_VALUE"""),"wtrace3x@google.com.au")</f>
        <v>wtrace3x@google.com.au</v>
      </c>
      <c r="D1142" s="4">
        <f>IFERROR(__xludf.DUMMYFUNCTION("""COMPUTED_VALUE"""),115.0)</f>
        <v>115</v>
      </c>
      <c r="E1142" s="4">
        <f>IFERROR(__xludf.DUMMYFUNCTION("""COMPUTED_VALUE"""),81.0)</f>
        <v>81</v>
      </c>
      <c r="F1142" s="4">
        <f>IFERROR(__xludf.DUMMYFUNCTION("""COMPUTED_VALUE"""),2.0)</f>
        <v>2</v>
      </c>
      <c r="G1142" s="4">
        <f>IFERROR(__xludf.DUMMYFUNCTION("""COMPUTED_VALUE"""),572.0)</f>
        <v>572</v>
      </c>
      <c r="H1142" s="5">
        <f>IFERROR(__xludf.DUMMYFUNCTION("""COMPUTED_VALUE"""),939.37)</f>
        <v>939.37</v>
      </c>
      <c r="I1142" s="5">
        <f>IFERROR(__xludf.DUMMYFUNCTION("""COMPUTED_VALUE"""),5047.96)</f>
        <v>5047.96</v>
      </c>
      <c r="J1142" s="5">
        <f>IFERROR(__xludf.DUMMYFUNCTION("""COMPUTED_VALUE"""),8868.57)</f>
        <v>8868.57</v>
      </c>
      <c r="K1142" s="5">
        <f>IFERROR(__xludf.DUMMYFUNCTION("""COMPUTED_VALUE"""),9363.74)</f>
        <v>9363.74</v>
      </c>
      <c r="L1142" s="4">
        <f>IFERROR(__xludf.DUMMYFUNCTION("""COMPUTED_VALUE"""),13.0)</f>
        <v>13</v>
      </c>
      <c r="M1142" s="4">
        <f>IFERROR(__xludf.DUMMYFUNCTION("""COMPUTED_VALUE"""),98.0)</f>
        <v>98</v>
      </c>
      <c r="N1142" s="2" t="str">
        <f>IFERROR(__xludf.DUMMYFUNCTION("""COMPUTED_VALUE"""),"FALSO")</f>
        <v>FALSO</v>
      </c>
    </row>
    <row r="1143">
      <c r="A1143" s="2">
        <f>IFERROR(__xludf.DUMMYFUNCTION("""COMPUTED_VALUE"""),1142.0)</f>
        <v>1142</v>
      </c>
      <c r="B1143" s="2" t="str">
        <f>IFERROR(__xludf.DUMMYFUNCTION("""COMPUTED_VALUE"""),"Scottie Rissen")</f>
        <v>Scottie Rissen</v>
      </c>
      <c r="C1143" s="2" t="str">
        <f>IFERROR(__xludf.DUMMYFUNCTION("""COMPUTED_VALUE"""),"srissen3y@rediff.com")</f>
        <v>srissen3y@rediff.com</v>
      </c>
      <c r="D1143" s="4">
        <f>IFERROR(__xludf.DUMMYFUNCTION("""COMPUTED_VALUE"""),65.0)</f>
        <v>65</v>
      </c>
      <c r="E1143" s="4">
        <f>IFERROR(__xludf.DUMMYFUNCTION("""COMPUTED_VALUE"""),102.0)</f>
        <v>102</v>
      </c>
      <c r="F1143" s="4">
        <f>IFERROR(__xludf.DUMMYFUNCTION("""COMPUTED_VALUE"""),4.0)</f>
        <v>4</v>
      </c>
      <c r="G1143" s="4">
        <f>IFERROR(__xludf.DUMMYFUNCTION("""COMPUTED_VALUE"""),529.0)</f>
        <v>529</v>
      </c>
      <c r="H1143" s="5">
        <f>IFERROR(__xludf.DUMMYFUNCTION("""COMPUTED_VALUE"""),7748.0)</f>
        <v>7748</v>
      </c>
      <c r="I1143" s="5">
        <f>IFERROR(__xludf.DUMMYFUNCTION("""COMPUTED_VALUE"""),1639.96)</f>
        <v>1639.96</v>
      </c>
      <c r="J1143" s="5">
        <f>IFERROR(__xludf.DUMMYFUNCTION("""COMPUTED_VALUE"""),4247.79)</f>
        <v>4247.79</v>
      </c>
      <c r="K1143" s="5">
        <f>IFERROR(__xludf.DUMMYFUNCTION("""COMPUTED_VALUE"""),4818.37)</f>
        <v>4818.37</v>
      </c>
      <c r="L1143" s="4">
        <f>IFERROR(__xludf.DUMMYFUNCTION("""COMPUTED_VALUE"""),1.0)</f>
        <v>1</v>
      </c>
      <c r="M1143" s="4">
        <f>IFERROR(__xludf.DUMMYFUNCTION("""COMPUTED_VALUE"""),31.0)</f>
        <v>31</v>
      </c>
      <c r="N1143" s="2" t="str">
        <f>IFERROR(__xludf.DUMMYFUNCTION("""COMPUTED_VALUE"""),"FALSO")</f>
        <v>FALSO</v>
      </c>
    </row>
    <row r="1144">
      <c r="A1144" s="2">
        <f>IFERROR(__xludf.DUMMYFUNCTION("""COMPUTED_VALUE"""),1143.0)</f>
        <v>1143</v>
      </c>
      <c r="B1144" s="2" t="str">
        <f>IFERROR(__xludf.DUMMYFUNCTION("""COMPUTED_VALUE"""),"Vida Prendiville")</f>
        <v>Vida Prendiville</v>
      </c>
      <c r="C1144" s="2" t="str">
        <f>IFERROR(__xludf.DUMMYFUNCTION("""COMPUTED_VALUE"""),"vprendiville3z@theatlantic.com")</f>
        <v>vprendiville3z@theatlantic.com</v>
      </c>
      <c r="D1144" s="4">
        <f>IFERROR(__xludf.DUMMYFUNCTION("""COMPUTED_VALUE"""),29.0)</f>
        <v>29</v>
      </c>
      <c r="E1144" s="4">
        <f>IFERROR(__xludf.DUMMYFUNCTION("""COMPUTED_VALUE"""),73.0)</f>
        <v>73</v>
      </c>
      <c r="F1144" s="4">
        <f>IFERROR(__xludf.DUMMYFUNCTION("""COMPUTED_VALUE"""),8.0)</f>
        <v>8</v>
      </c>
      <c r="G1144" s="4">
        <f>IFERROR(__xludf.DUMMYFUNCTION("""COMPUTED_VALUE"""),1190.0)</f>
        <v>1190</v>
      </c>
      <c r="H1144" s="5">
        <f>IFERROR(__xludf.DUMMYFUNCTION("""COMPUTED_VALUE"""),6222.47)</f>
        <v>6222.47</v>
      </c>
      <c r="I1144" s="5">
        <f>IFERROR(__xludf.DUMMYFUNCTION("""COMPUTED_VALUE"""),5452.76)</f>
        <v>5452.76</v>
      </c>
      <c r="J1144" s="5">
        <f>IFERROR(__xludf.DUMMYFUNCTION("""COMPUTED_VALUE"""),995.59)</f>
        <v>995.59</v>
      </c>
      <c r="K1144" s="5">
        <f>IFERROR(__xludf.DUMMYFUNCTION("""COMPUTED_VALUE"""),232.55)</f>
        <v>232.55</v>
      </c>
      <c r="L1144" s="4">
        <f>IFERROR(__xludf.DUMMYFUNCTION("""COMPUTED_VALUE"""),18.0)</f>
        <v>18</v>
      </c>
      <c r="M1144" s="4">
        <f>IFERROR(__xludf.DUMMYFUNCTION("""COMPUTED_VALUE"""),95.0)</f>
        <v>95</v>
      </c>
      <c r="N1144" s="2" t="str">
        <f>IFERROR(__xludf.DUMMYFUNCTION("""COMPUTED_VALUE"""),"VERDADERO")</f>
        <v>VERDADERO</v>
      </c>
    </row>
    <row r="1145">
      <c r="A1145" s="2">
        <f>IFERROR(__xludf.DUMMYFUNCTION("""COMPUTED_VALUE"""),1144.0)</f>
        <v>1144</v>
      </c>
      <c r="B1145" s="2" t="str">
        <f>IFERROR(__xludf.DUMMYFUNCTION("""COMPUTED_VALUE"""),"Natalie Azam")</f>
        <v>Natalie Azam</v>
      </c>
      <c r="C1145" s="2" t="str">
        <f>IFERROR(__xludf.DUMMYFUNCTION("""COMPUTED_VALUE"""),"nazam40@redcross.org")</f>
        <v>nazam40@redcross.org</v>
      </c>
      <c r="D1145" s="4">
        <f>IFERROR(__xludf.DUMMYFUNCTION("""COMPUTED_VALUE"""),29.0)</f>
        <v>29</v>
      </c>
      <c r="E1145" s="4">
        <f>IFERROR(__xludf.DUMMYFUNCTION("""COMPUTED_VALUE"""),15.0)</f>
        <v>15</v>
      </c>
      <c r="F1145" s="4">
        <f>IFERROR(__xludf.DUMMYFUNCTION("""COMPUTED_VALUE"""),6.0)</f>
        <v>6</v>
      </c>
      <c r="G1145" s="4">
        <f>IFERROR(__xludf.DUMMYFUNCTION("""COMPUTED_VALUE"""),737.0)</f>
        <v>737</v>
      </c>
      <c r="H1145" s="5">
        <f>IFERROR(__xludf.DUMMYFUNCTION("""COMPUTED_VALUE"""),4062.67)</f>
        <v>4062.67</v>
      </c>
      <c r="I1145" s="5">
        <f>IFERROR(__xludf.DUMMYFUNCTION("""COMPUTED_VALUE"""),1622.21)</f>
        <v>1622.21</v>
      </c>
      <c r="J1145" s="5">
        <f>IFERROR(__xludf.DUMMYFUNCTION("""COMPUTED_VALUE"""),2446.26)</f>
        <v>2446.26</v>
      </c>
      <c r="K1145" s="5">
        <f>IFERROR(__xludf.DUMMYFUNCTION("""COMPUTED_VALUE"""),7012.59)</f>
        <v>7012.59</v>
      </c>
      <c r="L1145" s="4">
        <f>IFERROR(__xludf.DUMMYFUNCTION("""COMPUTED_VALUE"""),10.0)</f>
        <v>10</v>
      </c>
      <c r="M1145" s="4">
        <f>IFERROR(__xludf.DUMMYFUNCTION("""COMPUTED_VALUE"""),43.0)</f>
        <v>43</v>
      </c>
      <c r="N1145" s="2" t="str">
        <f>IFERROR(__xludf.DUMMYFUNCTION("""COMPUTED_VALUE"""),"VERDADERO")</f>
        <v>VERDADERO</v>
      </c>
    </row>
    <row r="1146">
      <c r="A1146" s="2">
        <f>IFERROR(__xludf.DUMMYFUNCTION("""COMPUTED_VALUE"""),1145.0)</f>
        <v>1145</v>
      </c>
      <c r="B1146" s="2" t="str">
        <f>IFERROR(__xludf.DUMMYFUNCTION("""COMPUTED_VALUE"""),"Ara Laffling")</f>
        <v>Ara Laffling</v>
      </c>
      <c r="C1146" s="2" t="str">
        <f>IFERROR(__xludf.DUMMYFUNCTION("""COMPUTED_VALUE"""),"alaffling41@woothemes.com")</f>
        <v>alaffling41@woothemes.com</v>
      </c>
      <c r="D1146" s="4">
        <f>IFERROR(__xludf.DUMMYFUNCTION("""COMPUTED_VALUE"""),68.0)</f>
        <v>68</v>
      </c>
      <c r="E1146" s="4">
        <f>IFERROR(__xludf.DUMMYFUNCTION("""COMPUTED_VALUE"""),6.0)</f>
        <v>6</v>
      </c>
      <c r="F1146" s="4">
        <f>IFERROR(__xludf.DUMMYFUNCTION("""COMPUTED_VALUE"""),13.0)</f>
        <v>13</v>
      </c>
      <c r="G1146" s="4">
        <f>IFERROR(__xludf.DUMMYFUNCTION("""COMPUTED_VALUE"""),814.0)</f>
        <v>814</v>
      </c>
      <c r="H1146" s="5">
        <f>IFERROR(__xludf.DUMMYFUNCTION("""COMPUTED_VALUE"""),6281.87)</f>
        <v>6281.87</v>
      </c>
      <c r="I1146" s="5">
        <f>IFERROR(__xludf.DUMMYFUNCTION("""COMPUTED_VALUE"""),5235.2)</f>
        <v>5235.2</v>
      </c>
      <c r="J1146" s="5">
        <f>IFERROR(__xludf.DUMMYFUNCTION("""COMPUTED_VALUE"""),927.47)</f>
        <v>927.47</v>
      </c>
      <c r="K1146" s="5">
        <f>IFERROR(__xludf.DUMMYFUNCTION("""COMPUTED_VALUE"""),3588.09)</f>
        <v>3588.09</v>
      </c>
      <c r="L1146" s="4">
        <f>IFERROR(__xludf.DUMMYFUNCTION("""COMPUTED_VALUE"""),12.0)</f>
        <v>12</v>
      </c>
      <c r="M1146" s="4">
        <f>IFERROR(__xludf.DUMMYFUNCTION("""COMPUTED_VALUE"""),11.0)</f>
        <v>11</v>
      </c>
      <c r="N1146" s="2" t="str">
        <f>IFERROR(__xludf.DUMMYFUNCTION("""COMPUTED_VALUE"""),"FALSO")</f>
        <v>FALSO</v>
      </c>
    </row>
    <row r="1147">
      <c r="A1147" s="2">
        <f>IFERROR(__xludf.DUMMYFUNCTION("""COMPUTED_VALUE"""),1146.0)</f>
        <v>1146</v>
      </c>
      <c r="B1147" s="2" t="str">
        <f>IFERROR(__xludf.DUMMYFUNCTION("""COMPUTED_VALUE"""),"Vickie Toten")</f>
        <v>Vickie Toten</v>
      </c>
      <c r="C1147" s="2" t="str">
        <f>IFERROR(__xludf.DUMMYFUNCTION("""COMPUTED_VALUE"""),"vtoten42@guardian.co.uk")</f>
        <v>vtoten42@guardian.co.uk</v>
      </c>
      <c r="D1147" s="4">
        <f>IFERROR(__xludf.DUMMYFUNCTION("""COMPUTED_VALUE"""),29.0)</f>
        <v>29</v>
      </c>
      <c r="E1147" s="4">
        <f>IFERROR(__xludf.DUMMYFUNCTION("""COMPUTED_VALUE"""),81.0)</f>
        <v>81</v>
      </c>
      <c r="F1147" s="4">
        <f>IFERROR(__xludf.DUMMYFUNCTION("""COMPUTED_VALUE"""),2.0)</f>
        <v>2</v>
      </c>
      <c r="G1147" s="4">
        <f>IFERROR(__xludf.DUMMYFUNCTION("""COMPUTED_VALUE"""),293.0)</f>
        <v>293</v>
      </c>
      <c r="H1147" s="5">
        <f>IFERROR(__xludf.DUMMYFUNCTION("""COMPUTED_VALUE"""),2306.77)</f>
        <v>2306.77</v>
      </c>
      <c r="I1147" s="5">
        <f>IFERROR(__xludf.DUMMYFUNCTION("""COMPUTED_VALUE"""),6499.33)</f>
        <v>6499.33</v>
      </c>
      <c r="J1147" s="5">
        <f>IFERROR(__xludf.DUMMYFUNCTION("""COMPUTED_VALUE"""),7412.25)</f>
        <v>7412.25</v>
      </c>
      <c r="K1147" s="5">
        <f>IFERROR(__xludf.DUMMYFUNCTION("""COMPUTED_VALUE"""),1546.66)</f>
        <v>1546.66</v>
      </c>
      <c r="L1147" s="4">
        <f>IFERROR(__xludf.DUMMYFUNCTION("""COMPUTED_VALUE"""),6.0)</f>
        <v>6</v>
      </c>
      <c r="M1147" s="4">
        <f>IFERROR(__xludf.DUMMYFUNCTION("""COMPUTED_VALUE"""),66.0)</f>
        <v>66</v>
      </c>
      <c r="N1147" s="2" t="str">
        <f>IFERROR(__xludf.DUMMYFUNCTION("""COMPUTED_VALUE"""),"VERDADERO")</f>
        <v>VERDADERO</v>
      </c>
    </row>
    <row r="1148">
      <c r="A1148" s="2">
        <f>IFERROR(__xludf.DUMMYFUNCTION("""COMPUTED_VALUE"""),1147.0)</f>
        <v>1147</v>
      </c>
      <c r="B1148" s="2" t="str">
        <f>IFERROR(__xludf.DUMMYFUNCTION("""COMPUTED_VALUE"""),"Carena Biagioni")</f>
        <v>Carena Biagioni</v>
      </c>
      <c r="C1148" s="2" t="str">
        <f>IFERROR(__xludf.DUMMYFUNCTION("""COMPUTED_VALUE"""),"cbiagioni43@hp.com")</f>
        <v>cbiagioni43@hp.com</v>
      </c>
      <c r="D1148" s="4">
        <f>IFERROR(__xludf.DUMMYFUNCTION("""COMPUTED_VALUE"""),150.0)</f>
        <v>150</v>
      </c>
      <c r="E1148" s="4">
        <f>IFERROR(__xludf.DUMMYFUNCTION("""COMPUTED_VALUE"""),61.0)</f>
        <v>61</v>
      </c>
      <c r="F1148" s="4">
        <f>IFERROR(__xludf.DUMMYFUNCTION("""COMPUTED_VALUE"""),4.0)</f>
        <v>4</v>
      </c>
      <c r="G1148" s="4">
        <f>IFERROR(__xludf.DUMMYFUNCTION("""COMPUTED_VALUE"""),617.0)</f>
        <v>617</v>
      </c>
      <c r="H1148" s="5">
        <f>IFERROR(__xludf.DUMMYFUNCTION("""COMPUTED_VALUE"""),4885.34)</f>
        <v>4885.34</v>
      </c>
      <c r="I1148" s="5">
        <f>IFERROR(__xludf.DUMMYFUNCTION("""COMPUTED_VALUE"""),7141.71)</f>
        <v>7141.71</v>
      </c>
      <c r="J1148" s="5">
        <f>IFERROR(__xludf.DUMMYFUNCTION("""COMPUTED_VALUE"""),9205.84)</f>
        <v>9205.84</v>
      </c>
      <c r="K1148" s="5">
        <f>IFERROR(__xludf.DUMMYFUNCTION("""COMPUTED_VALUE"""),9698.0)</f>
        <v>9698</v>
      </c>
      <c r="L1148" s="4">
        <f>IFERROR(__xludf.DUMMYFUNCTION("""COMPUTED_VALUE"""),15.0)</f>
        <v>15</v>
      </c>
      <c r="M1148" s="4">
        <f>IFERROR(__xludf.DUMMYFUNCTION("""COMPUTED_VALUE"""),25.0)</f>
        <v>25</v>
      </c>
      <c r="N1148" s="2" t="str">
        <f>IFERROR(__xludf.DUMMYFUNCTION("""COMPUTED_VALUE"""),"FALSO")</f>
        <v>FALSO</v>
      </c>
    </row>
    <row r="1149">
      <c r="A1149" s="2">
        <f>IFERROR(__xludf.DUMMYFUNCTION("""COMPUTED_VALUE"""),1148.0)</f>
        <v>1148</v>
      </c>
      <c r="B1149" s="2" t="str">
        <f>IFERROR(__xludf.DUMMYFUNCTION("""COMPUTED_VALUE"""),"Gwen Pitsall")</f>
        <v>Gwen Pitsall</v>
      </c>
      <c r="C1149" s="2" t="str">
        <f>IFERROR(__xludf.DUMMYFUNCTION("""COMPUTED_VALUE"""),"gpitsall44@trellian.com")</f>
        <v>gpitsall44@trellian.com</v>
      </c>
      <c r="D1149" s="4">
        <f>IFERROR(__xludf.DUMMYFUNCTION("""COMPUTED_VALUE"""),28.0)</f>
        <v>28</v>
      </c>
      <c r="E1149" s="4">
        <f>IFERROR(__xludf.DUMMYFUNCTION("""COMPUTED_VALUE"""),60.0)</f>
        <v>60</v>
      </c>
      <c r="F1149" s="4">
        <f>IFERROR(__xludf.DUMMYFUNCTION("""COMPUTED_VALUE"""),3.0)</f>
        <v>3</v>
      </c>
      <c r="G1149" s="4">
        <f>IFERROR(__xludf.DUMMYFUNCTION("""COMPUTED_VALUE"""),370.0)</f>
        <v>370</v>
      </c>
      <c r="H1149" s="5">
        <f>IFERROR(__xludf.DUMMYFUNCTION("""COMPUTED_VALUE"""),5351.23)</f>
        <v>5351.23</v>
      </c>
      <c r="I1149" s="5">
        <f>IFERROR(__xludf.DUMMYFUNCTION("""COMPUTED_VALUE"""),1940.3)</f>
        <v>1940.3</v>
      </c>
      <c r="J1149" s="5">
        <f>IFERROR(__xludf.DUMMYFUNCTION("""COMPUTED_VALUE"""),2354.94)</f>
        <v>2354.94</v>
      </c>
      <c r="K1149" s="5">
        <f>IFERROR(__xludf.DUMMYFUNCTION("""COMPUTED_VALUE"""),6346.0)</f>
        <v>6346</v>
      </c>
      <c r="L1149" s="4">
        <f>IFERROR(__xludf.DUMMYFUNCTION("""COMPUTED_VALUE"""),4.0)</f>
        <v>4</v>
      </c>
      <c r="M1149" s="4">
        <f>IFERROR(__xludf.DUMMYFUNCTION("""COMPUTED_VALUE"""),66.0)</f>
        <v>66</v>
      </c>
      <c r="N1149" s="2" t="str">
        <f>IFERROR(__xludf.DUMMYFUNCTION("""COMPUTED_VALUE"""),"FALSO")</f>
        <v>FALSO</v>
      </c>
    </row>
    <row r="1150">
      <c r="A1150" s="2">
        <f>IFERROR(__xludf.DUMMYFUNCTION("""COMPUTED_VALUE"""),1149.0)</f>
        <v>1149</v>
      </c>
      <c r="B1150" s="2" t="str">
        <f>IFERROR(__xludf.DUMMYFUNCTION("""COMPUTED_VALUE"""),"Casie Sweetzer")</f>
        <v>Casie Sweetzer</v>
      </c>
      <c r="C1150" s="2" t="str">
        <f>IFERROR(__xludf.DUMMYFUNCTION("""COMPUTED_VALUE"""),"csweetzer45@4shared.com")</f>
        <v>csweetzer45@4shared.com</v>
      </c>
      <c r="D1150" s="4">
        <f>IFERROR(__xludf.DUMMYFUNCTION("""COMPUTED_VALUE"""),121.0)</f>
        <v>121</v>
      </c>
      <c r="E1150" s="4">
        <f>IFERROR(__xludf.DUMMYFUNCTION("""COMPUTED_VALUE"""),123.0)</f>
        <v>123</v>
      </c>
      <c r="F1150" s="4">
        <f>IFERROR(__xludf.DUMMYFUNCTION("""COMPUTED_VALUE"""),7.0)</f>
        <v>7</v>
      </c>
      <c r="G1150" s="4">
        <f>IFERROR(__xludf.DUMMYFUNCTION("""COMPUTED_VALUE"""),830.0)</f>
        <v>830</v>
      </c>
      <c r="H1150" s="5">
        <f>IFERROR(__xludf.DUMMYFUNCTION("""COMPUTED_VALUE"""),4254.02)</f>
        <v>4254.02</v>
      </c>
      <c r="I1150" s="5">
        <f>IFERROR(__xludf.DUMMYFUNCTION("""COMPUTED_VALUE"""),4217.7)</f>
        <v>4217.7</v>
      </c>
      <c r="J1150" s="5">
        <f>IFERROR(__xludf.DUMMYFUNCTION("""COMPUTED_VALUE"""),1265.88)</f>
        <v>1265.88</v>
      </c>
      <c r="K1150" s="5">
        <f>IFERROR(__xludf.DUMMYFUNCTION("""COMPUTED_VALUE"""),2271.32)</f>
        <v>2271.32</v>
      </c>
      <c r="L1150" s="4">
        <f>IFERROR(__xludf.DUMMYFUNCTION("""COMPUTED_VALUE"""),2.0)</f>
        <v>2</v>
      </c>
      <c r="M1150" s="4">
        <f>IFERROR(__xludf.DUMMYFUNCTION("""COMPUTED_VALUE"""),9.0)</f>
        <v>9</v>
      </c>
      <c r="N1150" s="2" t="str">
        <f>IFERROR(__xludf.DUMMYFUNCTION("""COMPUTED_VALUE"""),"VERDADERO")</f>
        <v>VERDADERO</v>
      </c>
    </row>
    <row r="1151">
      <c r="A1151" s="2">
        <f>IFERROR(__xludf.DUMMYFUNCTION("""COMPUTED_VALUE"""),1150.0)</f>
        <v>1150</v>
      </c>
      <c r="B1151" s="2" t="str">
        <f>IFERROR(__xludf.DUMMYFUNCTION("""COMPUTED_VALUE"""),"Maximilien De Angelis")</f>
        <v>Maximilien De Angelis</v>
      </c>
      <c r="C1151" s="2" t="str">
        <f>IFERROR(__xludf.DUMMYFUNCTION("""COMPUTED_VALUE"""),"mde46@aboutads.info")</f>
        <v>mde46@aboutads.info</v>
      </c>
      <c r="D1151" s="4">
        <f>IFERROR(__xludf.DUMMYFUNCTION("""COMPUTED_VALUE"""),142.0)</f>
        <v>142</v>
      </c>
      <c r="E1151" s="4">
        <f>IFERROR(__xludf.DUMMYFUNCTION("""COMPUTED_VALUE"""),29.0)</f>
        <v>29</v>
      </c>
      <c r="F1151" s="4">
        <f>IFERROR(__xludf.DUMMYFUNCTION("""COMPUTED_VALUE"""),11.0)</f>
        <v>11</v>
      </c>
      <c r="G1151" s="4">
        <f>IFERROR(__xludf.DUMMYFUNCTION("""COMPUTED_VALUE"""),723.0)</f>
        <v>723</v>
      </c>
      <c r="H1151" s="5">
        <f>IFERROR(__xludf.DUMMYFUNCTION("""COMPUTED_VALUE"""),2065.1)</f>
        <v>2065.1</v>
      </c>
      <c r="I1151" s="5">
        <f>IFERROR(__xludf.DUMMYFUNCTION("""COMPUTED_VALUE"""),1221.15)</f>
        <v>1221.15</v>
      </c>
      <c r="J1151" s="5">
        <f>IFERROR(__xludf.DUMMYFUNCTION("""COMPUTED_VALUE"""),8168.01)</f>
        <v>8168.01</v>
      </c>
      <c r="K1151" s="5">
        <f>IFERROR(__xludf.DUMMYFUNCTION("""COMPUTED_VALUE"""),4342.92)</f>
        <v>4342.92</v>
      </c>
      <c r="L1151" s="4">
        <f>IFERROR(__xludf.DUMMYFUNCTION("""COMPUTED_VALUE"""),20.0)</f>
        <v>20</v>
      </c>
      <c r="M1151" s="4">
        <f>IFERROR(__xludf.DUMMYFUNCTION("""COMPUTED_VALUE"""),70.0)</f>
        <v>70</v>
      </c>
      <c r="N1151" s="2" t="str">
        <f>IFERROR(__xludf.DUMMYFUNCTION("""COMPUTED_VALUE"""),"FALSO")</f>
        <v>FALSO</v>
      </c>
    </row>
    <row r="1152">
      <c r="A1152" s="2">
        <f>IFERROR(__xludf.DUMMYFUNCTION("""COMPUTED_VALUE"""),1151.0)</f>
        <v>1151</v>
      </c>
      <c r="B1152" s="2" t="str">
        <f>IFERROR(__xludf.DUMMYFUNCTION("""COMPUTED_VALUE"""),"Xylina Bischop")</f>
        <v>Xylina Bischop</v>
      </c>
      <c r="C1152" s="2" t="str">
        <f>IFERROR(__xludf.DUMMYFUNCTION("""COMPUTED_VALUE"""),"xbischop47@reference.com")</f>
        <v>xbischop47@reference.com</v>
      </c>
      <c r="D1152" s="4">
        <f>IFERROR(__xludf.DUMMYFUNCTION("""COMPUTED_VALUE"""),65.0)</f>
        <v>65</v>
      </c>
      <c r="E1152" s="4">
        <f>IFERROR(__xludf.DUMMYFUNCTION("""COMPUTED_VALUE"""),58.0)</f>
        <v>58</v>
      </c>
      <c r="F1152" s="4">
        <f>IFERROR(__xludf.DUMMYFUNCTION("""COMPUTED_VALUE"""),8.0)</f>
        <v>8</v>
      </c>
      <c r="G1152" s="4">
        <f>IFERROR(__xludf.DUMMYFUNCTION("""COMPUTED_VALUE"""),1436.0)</f>
        <v>1436</v>
      </c>
      <c r="H1152" s="5">
        <f>IFERROR(__xludf.DUMMYFUNCTION("""COMPUTED_VALUE"""),1745.12)</f>
        <v>1745.12</v>
      </c>
      <c r="I1152" s="5">
        <f>IFERROR(__xludf.DUMMYFUNCTION("""COMPUTED_VALUE"""),9052.35)</f>
        <v>9052.35</v>
      </c>
      <c r="J1152" s="5">
        <f>IFERROR(__xludf.DUMMYFUNCTION("""COMPUTED_VALUE"""),4950.21)</f>
        <v>4950.21</v>
      </c>
      <c r="K1152" s="5">
        <f>IFERROR(__xludf.DUMMYFUNCTION("""COMPUTED_VALUE"""),1630.5)</f>
        <v>1630.5</v>
      </c>
      <c r="L1152" s="4">
        <f>IFERROR(__xludf.DUMMYFUNCTION("""COMPUTED_VALUE"""),9.0)</f>
        <v>9</v>
      </c>
      <c r="M1152" s="4">
        <f>IFERROR(__xludf.DUMMYFUNCTION("""COMPUTED_VALUE"""),63.0)</f>
        <v>63</v>
      </c>
      <c r="N1152" s="2" t="str">
        <f>IFERROR(__xludf.DUMMYFUNCTION("""COMPUTED_VALUE"""),"FALSO")</f>
        <v>FALSO</v>
      </c>
    </row>
    <row r="1153">
      <c r="A1153" s="2">
        <f>IFERROR(__xludf.DUMMYFUNCTION("""COMPUTED_VALUE"""),1152.0)</f>
        <v>1152</v>
      </c>
      <c r="B1153" s="2" t="str">
        <f>IFERROR(__xludf.DUMMYFUNCTION("""COMPUTED_VALUE"""),"Gustaf Mordaunt")</f>
        <v>Gustaf Mordaunt</v>
      </c>
      <c r="C1153" s="2" t="str">
        <f>IFERROR(__xludf.DUMMYFUNCTION("""COMPUTED_VALUE"""),"gmordaunt48@cdc.gov")</f>
        <v>gmordaunt48@cdc.gov</v>
      </c>
      <c r="D1153" s="4">
        <f>IFERROR(__xludf.DUMMYFUNCTION("""COMPUTED_VALUE"""),87.0)</f>
        <v>87</v>
      </c>
      <c r="E1153" s="4">
        <f>IFERROR(__xludf.DUMMYFUNCTION("""COMPUTED_VALUE"""),65.0)</f>
        <v>65</v>
      </c>
      <c r="F1153" s="4">
        <f>IFERROR(__xludf.DUMMYFUNCTION("""COMPUTED_VALUE"""),9.0)</f>
        <v>9</v>
      </c>
      <c r="G1153" s="4">
        <f>IFERROR(__xludf.DUMMYFUNCTION("""COMPUTED_VALUE"""),436.0)</f>
        <v>436</v>
      </c>
      <c r="H1153" s="5">
        <f>IFERROR(__xludf.DUMMYFUNCTION("""COMPUTED_VALUE"""),205.34)</f>
        <v>205.34</v>
      </c>
      <c r="I1153" s="5">
        <f>IFERROR(__xludf.DUMMYFUNCTION("""COMPUTED_VALUE"""),9420.84)</f>
        <v>9420.84</v>
      </c>
      <c r="J1153" s="5">
        <f>IFERROR(__xludf.DUMMYFUNCTION("""COMPUTED_VALUE"""),4382.46)</f>
        <v>4382.46</v>
      </c>
      <c r="K1153" s="5">
        <f>IFERROR(__xludf.DUMMYFUNCTION("""COMPUTED_VALUE"""),5819.55)</f>
        <v>5819.55</v>
      </c>
      <c r="L1153" s="4">
        <f>IFERROR(__xludf.DUMMYFUNCTION("""COMPUTED_VALUE"""),17.0)</f>
        <v>17</v>
      </c>
      <c r="M1153" s="4">
        <f>IFERROR(__xludf.DUMMYFUNCTION("""COMPUTED_VALUE"""),61.0)</f>
        <v>61</v>
      </c>
      <c r="N1153" s="2" t="str">
        <f>IFERROR(__xludf.DUMMYFUNCTION("""COMPUTED_VALUE"""),"FALSO")</f>
        <v>FALSO</v>
      </c>
    </row>
    <row r="1154">
      <c r="A1154" s="2">
        <f>IFERROR(__xludf.DUMMYFUNCTION("""COMPUTED_VALUE"""),1153.0)</f>
        <v>1153</v>
      </c>
      <c r="B1154" s="2" t="str">
        <f>IFERROR(__xludf.DUMMYFUNCTION("""COMPUTED_VALUE"""),"Hersch Bodill")</f>
        <v>Hersch Bodill</v>
      </c>
      <c r="C1154" s="2" t="str">
        <f>IFERROR(__xludf.DUMMYFUNCTION("""COMPUTED_VALUE"""),"hbodill49@nasa.gov")</f>
        <v>hbodill49@nasa.gov</v>
      </c>
      <c r="D1154" s="4">
        <f>IFERROR(__xludf.DUMMYFUNCTION("""COMPUTED_VALUE"""),29.0)</f>
        <v>29</v>
      </c>
      <c r="E1154" s="4">
        <f>IFERROR(__xludf.DUMMYFUNCTION("""COMPUTED_VALUE"""),22.0)</f>
        <v>22</v>
      </c>
      <c r="F1154" s="4">
        <f>IFERROR(__xludf.DUMMYFUNCTION("""COMPUTED_VALUE"""),5.0)</f>
        <v>5</v>
      </c>
      <c r="G1154" s="4">
        <f>IFERROR(__xludf.DUMMYFUNCTION("""COMPUTED_VALUE"""),67.0)</f>
        <v>67</v>
      </c>
      <c r="H1154" s="5">
        <f>IFERROR(__xludf.DUMMYFUNCTION("""COMPUTED_VALUE"""),2211.12)</f>
        <v>2211.12</v>
      </c>
      <c r="I1154" s="5">
        <f>IFERROR(__xludf.DUMMYFUNCTION("""COMPUTED_VALUE"""),9701.71)</f>
        <v>9701.71</v>
      </c>
      <c r="J1154" s="5">
        <f>IFERROR(__xludf.DUMMYFUNCTION("""COMPUTED_VALUE"""),4366.48)</f>
        <v>4366.48</v>
      </c>
      <c r="K1154" s="5">
        <f>IFERROR(__xludf.DUMMYFUNCTION("""COMPUTED_VALUE"""),1930.68)</f>
        <v>1930.68</v>
      </c>
      <c r="L1154" s="4">
        <f>IFERROR(__xludf.DUMMYFUNCTION("""COMPUTED_VALUE"""),19.0)</f>
        <v>19</v>
      </c>
      <c r="M1154" s="4">
        <f>IFERROR(__xludf.DUMMYFUNCTION("""COMPUTED_VALUE"""),41.0)</f>
        <v>41</v>
      </c>
      <c r="N1154" s="2" t="str">
        <f>IFERROR(__xludf.DUMMYFUNCTION("""COMPUTED_VALUE"""),"FALSO")</f>
        <v>FALSO</v>
      </c>
    </row>
    <row r="1155">
      <c r="A1155" s="2">
        <f>IFERROR(__xludf.DUMMYFUNCTION("""COMPUTED_VALUE"""),1154.0)</f>
        <v>1154</v>
      </c>
      <c r="B1155" s="2" t="str">
        <f>IFERROR(__xludf.DUMMYFUNCTION("""COMPUTED_VALUE"""),"Pam Kleisle")</f>
        <v>Pam Kleisle</v>
      </c>
      <c r="C1155" s="2" t="str">
        <f>IFERROR(__xludf.DUMMYFUNCTION("""COMPUTED_VALUE"""),"pkleisle4a@un.org")</f>
        <v>pkleisle4a@un.org</v>
      </c>
      <c r="D1155" s="4">
        <f>IFERROR(__xludf.DUMMYFUNCTION("""COMPUTED_VALUE"""),121.0)</f>
        <v>121</v>
      </c>
      <c r="E1155" s="4">
        <f>IFERROR(__xludf.DUMMYFUNCTION("""COMPUTED_VALUE"""),119.0)</f>
        <v>119</v>
      </c>
      <c r="F1155" s="4">
        <f>IFERROR(__xludf.DUMMYFUNCTION("""COMPUTED_VALUE"""),1.0)</f>
        <v>1</v>
      </c>
      <c r="G1155" s="4">
        <f>IFERROR(__xludf.DUMMYFUNCTION("""COMPUTED_VALUE"""),70.0)</f>
        <v>70</v>
      </c>
      <c r="H1155" s="5">
        <f>IFERROR(__xludf.DUMMYFUNCTION("""COMPUTED_VALUE"""),8593.25)</f>
        <v>8593.25</v>
      </c>
      <c r="I1155" s="5">
        <f>IFERROR(__xludf.DUMMYFUNCTION("""COMPUTED_VALUE"""),9753.88)</f>
        <v>9753.88</v>
      </c>
      <c r="J1155" s="5">
        <f>IFERROR(__xludf.DUMMYFUNCTION("""COMPUTED_VALUE"""),5893.78)</f>
        <v>5893.78</v>
      </c>
      <c r="K1155" s="5">
        <f>IFERROR(__xludf.DUMMYFUNCTION("""COMPUTED_VALUE"""),4148.12)</f>
        <v>4148.12</v>
      </c>
      <c r="L1155" s="4">
        <f>IFERROR(__xludf.DUMMYFUNCTION("""COMPUTED_VALUE"""),19.0)</f>
        <v>19</v>
      </c>
      <c r="M1155" s="4">
        <f>IFERROR(__xludf.DUMMYFUNCTION("""COMPUTED_VALUE"""),69.0)</f>
        <v>69</v>
      </c>
      <c r="N1155" s="2" t="str">
        <f>IFERROR(__xludf.DUMMYFUNCTION("""COMPUTED_VALUE"""),"FALSO")</f>
        <v>FALSO</v>
      </c>
    </row>
    <row r="1156">
      <c r="A1156" s="2">
        <f>IFERROR(__xludf.DUMMYFUNCTION("""COMPUTED_VALUE"""),1155.0)</f>
        <v>1155</v>
      </c>
      <c r="B1156" s="2" t="str">
        <f>IFERROR(__xludf.DUMMYFUNCTION("""COMPUTED_VALUE"""),"Laurent Orrock")</f>
        <v>Laurent Orrock</v>
      </c>
      <c r="C1156" s="2" t="str">
        <f>IFERROR(__xludf.DUMMYFUNCTION("""COMPUTED_VALUE"""),"lorrock4b@hugedomains.com")</f>
        <v>lorrock4b@hugedomains.com</v>
      </c>
      <c r="D1156" s="4">
        <f>IFERROR(__xludf.DUMMYFUNCTION("""COMPUTED_VALUE"""),29.0)</f>
        <v>29</v>
      </c>
      <c r="E1156" s="4">
        <f>IFERROR(__xludf.DUMMYFUNCTION("""COMPUTED_VALUE"""),77.0)</f>
        <v>77</v>
      </c>
      <c r="F1156" s="4">
        <f>IFERROR(__xludf.DUMMYFUNCTION("""COMPUTED_VALUE"""),10.0)</f>
        <v>10</v>
      </c>
      <c r="G1156" s="4">
        <f>IFERROR(__xludf.DUMMYFUNCTION("""COMPUTED_VALUE"""),234.0)</f>
        <v>234</v>
      </c>
      <c r="H1156" s="5">
        <f>IFERROR(__xludf.DUMMYFUNCTION("""COMPUTED_VALUE"""),753.38)</f>
        <v>753.38</v>
      </c>
      <c r="I1156" s="5">
        <f>IFERROR(__xludf.DUMMYFUNCTION("""COMPUTED_VALUE"""),9822.22)</f>
        <v>9822.22</v>
      </c>
      <c r="J1156" s="5">
        <f>IFERROR(__xludf.DUMMYFUNCTION("""COMPUTED_VALUE"""),3752.19)</f>
        <v>3752.19</v>
      </c>
      <c r="K1156" s="5">
        <f>IFERROR(__xludf.DUMMYFUNCTION("""COMPUTED_VALUE"""),7356.77)</f>
        <v>7356.77</v>
      </c>
      <c r="L1156" s="4">
        <f>IFERROR(__xludf.DUMMYFUNCTION("""COMPUTED_VALUE"""),20.0)</f>
        <v>20</v>
      </c>
      <c r="M1156" s="4">
        <f>IFERROR(__xludf.DUMMYFUNCTION("""COMPUTED_VALUE"""),54.0)</f>
        <v>54</v>
      </c>
      <c r="N1156" s="2" t="str">
        <f>IFERROR(__xludf.DUMMYFUNCTION("""COMPUTED_VALUE"""),"VERDADERO")</f>
        <v>VERDADERO</v>
      </c>
    </row>
    <row r="1157">
      <c r="A1157" s="2">
        <f>IFERROR(__xludf.DUMMYFUNCTION("""COMPUTED_VALUE"""),1156.0)</f>
        <v>1156</v>
      </c>
      <c r="B1157" s="2" t="str">
        <f>IFERROR(__xludf.DUMMYFUNCTION("""COMPUTED_VALUE"""),"Berkie Reignard")</f>
        <v>Berkie Reignard</v>
      </c>
      <c r="C1157" s="2" t="str">
        <f>IFERROR(__xludf.DUMMYFUNCTION("""COMPUTED_VALUE"""),"breignard4c@nymag.com")</f>
        <v>breignard4c@nymag.com</v>
      </c>
      <c r="D1157" s="4">
        <f>IFERROR(__xludf.DUMMYFUNCTION("""COMPUTED_VALUE"""),29.0)</f>
        <v>29</v>
      </c>
      <c r="E1157" s="4">
        <f>IFERROR(__xludf.DUMMYFUNCTION("""COMPUTED_VALUE"""),99.0)</f>
        <v>99</v>
      </c>
      <c r="F1157" s="4">
        <f>IFERROR(__xludf.DUMMYFUNCTION("""COMPUTED_VALUE"""),1.0)</f>
        <v>1</v>
      </c>
      <c r="G1157" s="4">
        <f>IFERROR(__xludf.DUMMYFUNCTION("""COMPUTED_VALUE"""),54.0)</f>
        <v>54</v>
      </c>
      <c r="H1157" s="5">
        <f>IFERROR(__xludf.DUMMYFUNCTION("""COMPUTED_VALUE"""),6124.93)</f>
        <v>6124.93</v>
      </c>
      <c r="I1157" s="5">
        <f>IFERROR(__xludf.DUMMYFUNCTION("""COMPUTED_VALUE"""),3501.51)</f>
        <v>3501.51</v>
      </c>
      <c r="J1157" s="5">
        <f>IFERROR(__xludf.DUMMYFUNCTION("""COMPUTED_VALUE"""),4448.39)</f>
        <v>4448.39</v>
      </c>
      <c r="K1157" s="5">
        <f>IFERROR(__xludf.DUMMYFUNCTION("""COMPUTED_VALUE"""),7312.98)</f>
        <v>7312.98</v>
      </c>
      <c r="L1157" s="4">
        <f>IFERROR(__xludf.DUMMYFUNCTION("""COMPUTED_VALUE"""),16.0)</f>
        <v>16</v>
      </c>
      <c r="M1157" s="4">
        <f>IFERROR(__xludf.DUMMYFUNCTION("""COMPUTED_VALUE"""),98.0)</f>
        <v>98</v>
      </c>
      <c r="N1157" s="2" t="str">
        <f>IFERROR(__xludf.DUMMYFUNCTION("""COMPUTED_VALUE"""),"FALSO")</f>
        <v>FALSO</v>
      </c>
    </row>
    <row r="1158">
      <c r="A1158" s="2">
        <f>IFERROR(__xludf.DUMMYFUNCTION("""COMPUTED_VALUE"""),1157.0)</f>
        <v>1157</v>
      </c>
      <c r="B1158" s="2" t="str">
        <f>IFERROR(__xludf.DUMMYFUNCTION("""COMPUTED_VALUE"""),"Laurianne Dominka")</f>
        <v>Laurianne Dominka</v>
      </c>
      <c r="C1158" s="2" t="str">
        <f>IFERROR(__xludf.DUMMYFUNCTION("""COMPUTED_VALUE"""),"ldominka4d@alexa.com")</f>
        <v>ldominka4d@alexa.com</v>
      </c>
      <c r="D1158" s="4">
        <f>IFERROR(__xludf.DUMMYFUNCTION("""COMPUTED_VALUE"""),146.0)</f>
        <v>146</v>
      </c>
      <c r="E1158" s="4">
        <f>IFERROR(__xludf.DUMMYFUNCTION("""COMPUTED_VALUE"""),81.0)</f>
        <v>81</v>
      </c>
      <c r="F1158" s="4">
        <f>IFERROR(__xludf.DUMMYFUNCTION("""COMPUTED_VALUE"""),2.0)</f>
        <v>2</v>
      </c>
      <c r="G1158" s="4">
        <f>IFERROR(__xludf.DUMMYFUNCTION("""COMPUTED_VALUE"""),578.0)</f>
        <v>578</v>
      </c>
      <c r="H1158" s="5">
        <f>IFERROR(__xludf.DUMMYFUNCTION("""COMPUTED_VALUE"""),4536.24)</f>
        <v>4536.24</v>
      </c>
      <c r="I1158" s="5">
        <f>IFERROR(__xludf.DUMMYFUNCTION("""COMPUTED_VALUE"""),8481.01)</f>
        <v>8481.01</v>
      </c>
      <c r="J1158" s="5">
        <f>IFERROR(__xludf.DUMMYFUNCTION("""COMPUTED_VALUE"""),9685.55)</f>
        <v>9685.55</v>
      </c>
      <c r="K1158" s="5">
        <f>IFERROR(__xludf.DUMMYFUNCTION("""COMPUTED_VALUE"""),3567.2)</f>
        <v>3567.2</v>
      </c>
      <c r="L1158" s="4">
        <f>IFERROR(__xludf.DUMMYFUNCTION("""COMPUTED_VALUE"""),10.0)</f>
        <v>10</v>
      </c>
      <c r="M1158" s="4">
        <f>IFERROR(__xludf.DUMMYFUNCTION("""COMPUTED_VALUE"""),30.0)</f>
        <v>30</v>
      </c>
      <c r="N1158" s="2" t="str">
        <f>IFERROR(__xludf.DUMMYFUNCTION("""COMPUTED_VALUE"""),"FALSO")</f>
        <v>FALSO</v>
      </c>
    </row>
    <row r="1159">
      <c r="A1159" s="2">
        <f>IFERROR(__xludf.DUMMYFUNCTION("""COMPUTED_VALUE"""),1158.0)</f>
        <v>1158</v>
      </c>
      <c r="B1159" s="2" t="str">
        <f>IFERROR(__xludf.DUMMYFUNCTION("""COMPUTED_VALUE"""),"Sondra Troni")</f>
        <v>Sondra Troni</v>
      </c>
      <c r="C1159" s="2" t="str">
        <f>IFERROR(__xludf.DUMMYFUNCTION("""COMPUTED_VALUE"""),"stroni4e@gnu.org")</f>
        <v>stroni4e@gnu.org</v>
      </c>
      <c r="D1159" s="4">
        <f>IFERROR(__xludf.DUMMYFUNCTION("""COMPUTED_VALUE"""),130.0)</f>
        <v>130</v>
      </c>
      <c r="E1159" s="4">
        <f>IFERROR(__xludf.DUMMYFUNCTION("""COMPUTED_VALUE"""),6.0)</f>
        <v>6</v>
      </c>
      <c r="F1159" s="4">
        <f>IFERROR(__xludf.DUMMYFUNCTION("""COMPUTED_VALUE"""),13.0)</f>
        <v>13</v>
      </c>
      <c r="G1159" s="4">
        <f>IFERROR(__xludf.DUMMYFUNCTION("""COMPUTED_VALUE"""),359.0)</f>
        <v>359</v>
      </c>
      <c r="H1159" s="5">
        <f>IFERROR(__xludf.DUMMYFUNCTION("""COMPUTED_VALUE"""),6908.23)</f>
        <v>6908.23</v>
      </c>
      <c r="I1159" s="5">
        <f>IFERROR(__xludf.DUMMYFUNCTION("""COMPUTED_VALUE"""),9123.14)</f>
        <v>9123.14</v>
      </c>
      <c r="J1159" s="5">
        <f>IFERROR(__xludf.DUMMYFUNCTION("""COMPUTED_VALUE"""),9434.88)</f>
        <v>9434.88</v>
      </c>
      <c r="K1159" s="5">
        <f>IFERROR(__xludf.DUMMYFUNCTION("""COMPUTED_VALUE"""),9691.0)</f>
        <v>9691</v>
      </c>
      <c r="L1159" s="4">
        <f>IFERROR(__xludf.DUMMYFUNCTION("""COMPUTED_VALUE"""),18.0)</f>
        <v>18</v>
      </c>
      <c r="M1159" s="4">
        <f>IFERROR(__xludf.DUMMYFUNCTION("""COMPUTED_VALUE"""),64.0)</f>
        <v>64</v>
      </c>
      <c r="N1159" s="2" t="str">
        <f>IFERROR(__xludf.DUMMYFUNCTION("""COMPUTED_VALUE"""),"FALSO")</f>
        <v>FALSO</v>
      </c>
    </row>
    <row r="1160">
      <c r="A1160" s="2">
        <f>IFERROR(__xludf.DUMMYFUNCTION("""COMPUTED_VALUE"""),1159.0)</f>
        <v>1159</v>
      </c>
      <c r="B1160" s="2" t="str">
        <f>IFERROR(__xludf.DUMMYFUNCTION("""COMPUTED_VALUE"""),"Minor Dugue")</f>
        <v>Minor Dugue</v>
      </c>
      <c r="C1160" s="2" t="str">
        <f>IFERROR(__xludf.DUMMYFUNCTION("""COMPUTED_VALUE"""),"mdugue4f@apple.com")</f>
        <v>mdugue4f@apple.com</v>
      </c>
      <c r="D1160" s="4">
        <f>IFERROR(__xludf.DUMMYFUNCTION("""COMPUTED_VALUE"""),89.0)</f>
        <v>89</v>
      </c>
      <c r="E1160" s="4">
        <f>IFERROR(__xludf.DUMMYFUNCTION("""COMPUTED_VALUE"""),21.0)</f>
        <v>21</v>
      </c>
      <c r="F1160" s="4">
        <f>IFERROR(__xludf.DUMMYFUNCTION("""COMPUTED_VALUE"""),12.0)</f>
        <v>12</v>
      </c>
      <c r="G1160" s="4">
        <f>IFERROR(__xludf.DUMMYFUNCTION("""COMPUTED_VALUE"""),387.0)</f>
        <v>387</v>
      </c>
      <c r="H1160" s="5">
        <f>IFERROR(__xludf.DUMMYFUNCTION("""COMPUTED_VALUE"""),8376.14)</f>
        <v>8376.14</v>
      </c>
      <c r="I1160" s="5">
        <f>IFERROR(__xludf.DUMMYFUNCTION("""COMPUTED_VALUE"""),2262.51)</f>
        <v>2262.51</v>
      </c>
      <c r="J1160" s="5">
        <f>IFERROR(__xludf.DUMMYFUNCTION("""COMPUTED_VALUE"""),2009.49)</f>
        <v>2009.49</v>
      </c>
      <c r="K1160" s="5">
        <f>IFERROR(__xludf.DUMMYFUNCTION("""COMPUTED_VALUE"""),8804.98)</f>
        <v>8804.98</v>
      </c>
      <c r="L1160" s="4">
        <f>IFERROR(__xludf.DUMMYFUNCTION("""COMPUTED_VALUE"""),16.0)</f>
        <v>16</v>
      </c>
      <c r="M1160" s="4">
        <f>IFERROR(__xludf.DUMMYFUNCTION("""COMPUTED_VALUE"""),29.0)</f>
        <v>29</v>
      </c>
      <c r="N1160" s="2" t="str">
        <f>IFERROR(__xludf.DUMMYFUNCTION("""COMPUTED_VALUE"""),"FALSO")</f>
        <v>FALSO</v>
      </c>
    </row>
    <row r="1161">
      <c r="A1161" s="2">
        <f>IFERROR(__xludf.DUMMYFUNCTION("""COMPUTED_VALUE"""),1160.0)</f>
        <v>1160</v>
      </c>
      <c r="B1161" s="2" t="str">
        <f>IFERROR(__xludf.DUMMYFUNCTION("""COMPUTED_VALUE"""),"Zarah Ducroe")</f>
        <v>Zarah Ducroe</v>
      </c>
      <c r="C1161" s="2" t="str">
        <f>IFERROR(__xludf.DUMMYFUNCTION("""COMPUTED_VALUE"""),"zducroe4g@aboutads.info")</f>
        <v>zducroe4g@aboutads.info</v>
      </c>
      <c r="D1161" s="4">
        <f>IFERROR(__xludf.DUMMYFUNCTION("""COMPUTED_VALUE"""),29.0)</f>
        <v>29</v>
      </c>
      <c r="E1161" s="4">
        <f>IFERROR(__xludf.DUMMYFUNCTION("""COMPUTED_VALUE"""),71.0)</f>
        <v>71</v>
      </c>
      <c r="F1161" s="4">
        <f>IFERROR(__xludf.DUMMYFUNCTION("""COMPUTED_VALUE"""),6.0)</f>
        <v>6</v>
      </c>
      <c r="G1161" s="4">
        <f>IFERROR(__xludf.DUMMYFUNCTION("""COMPUTED_VALUE"""),1034.0)</f>
        <v>1034</v>
      </c>
      <c r="H1161" s="5">
        <f>IFERROR(__xludf.DUMMYFUNCTION("""COMPUTED_VALUE"""),5192.78)</f>
        <v>5192.78</v>
      </c>
      <c r="I1161" s="5">
        <f>IFERROR(__xludf.DUMMYFUNCTION("""COMPUTED_VALUE"""),5222.47)</f>
        <v>5222.47</v>
      </c>
      <c r="J1161" s="5">
        <f>IFERROR(__xludf.DUMMYFUNCTION("""COMPUTED_VALUE"""),6537.22)</f>
        <v>6537.22</v>
      </c>
      <c r="K1161" s="5">
        <f>IFERROR(__xludf.DUMMYFUNCTION("""COMPUTED_VALUE"""),5248.41)</f>
        <v>5248.41</v>
      </c>
      <c r="L1161" s="4">
        <f>IFERROR(__xludf.DUMMYFUNCTION("""COMPUTED_VALUE"""),2.0)</f>
        <v>2</v>
      </c>
      <c r="M1161" s="4">
        <f>IFERROR(__xludf.DUMMYFUNCTION("""COMPUTED_VALUE"""),24.0)</f>
        <v>24</v>
      </c>
      <c r="N1161" s="2" t="str">
        <f>IFERROR(__xludf.DUMMYFUNCTION("""COMPUTED_VALUE"""),"FALSO")</f>
        <v>FALSO</v>
      </c>
    </row>
    <row r="1162">
      <c r="A1162" s="2">
        <f>IFERROR(__xludf.DUMMYFUNCTION("""COMPUTED_VALUE"""),1161.0)</f>
        <v>1161</v>
      </c>
      <c r="B1162" s="2" t="str">
        <f>IFERROR(__xludf.DUMMYFUNCTION("""COMPUTED_VALUE"""),"Emery Ciccotti")</f>
        <v>Emery Ciccotti</v>
      </c>
      <c r="C1162" s="2" t="str">
        <f>IFERROR(__xludf.DUMMYFUNCTION("""COMPUTED_VALUE"""),"eciccotti4h@trellian.com")</f>
        <v>eciccotti4h@trellian.com</v>
      </c>
      <c r="D1162" s="4">
        <f>IFERROR(__xludf.DUMMYFUNCTION("""COMPUTED_VALUE"""),11.0)</f>
        <v>11</v>
      </c>
      <c r="E1162" s="4">
        <f>IFERROR(__xludf.DUMMYFUNCTION("""COMPUTED_VALUE"""),71.0)</f>
        <v>71</v>
      </c>
      <c r="F1162" s="4">
        <f>IFERROR(__xludf.DUMMYFUNCTION("""COMPUTED_VALUE"""),6.0)</f>
        <v>6</v>
      </c>
      <c r="G1162" s="4">
        <f>IFERROR(__xludf.DUMMYFUNCTION("""COMPUTED_VALUE"""),424.0)</f>
        <v>424</v>
      </c>
      <c r="H1162" s="5">
        <f>IFERROR(__xludf.DUMMYFUNCTION("""COMPUTED_VALUE"""),7461.44)</f>
        <v>7461.44</v>
      </c>
      <c r="I1162" s="5">
        <f>IFERROR(__xludf.DUMMYFUNCTION("""COMPUTED_VALUE"""),3556.35)</f>
        <v>3556.35</v>
      </c>
      <c r="J1162" s="5">
        <f>IFERROR(__xludf.DUMMYFUNCTION("""COMPUTED_VALUE"""),4318.72)</f>
        <v>4318.72</v>
      </c>
      <c r="K1162" s="5">
        <f>IFERROR(__xludf.DUMMYFUNCTION("""COMPUTED_VALUE"""),2418.17)</f>
        <v>2418.17</v>
      </c>
      <c r="L1162" s="4">
        <f>IFERROR(__xludf.DUMMYFUNCTION("""COMPUTED_VALUE"""),12.0)</f>
        <v>12</v>
      </c>
      <c r="M1162" s="4">
        <f>IFERROR(__xludf.DUMMYFUNCTION("""COMPUTED_VALUE"""),26.0)</f>
        <v>26</v>
      </c>
      <c r="N1162" s="2" t="str">
        <f>IFERROR(__xludf.DUMMYFUNCTION("""COMPUTED_VALUE"""),"VERDADERO")</f>
        <v>VERDADERO</v>
      </c>
    </row>
    <row r="1163">
      <c r="A1163" s="2">
        <f>IFERROR(__xludf.DUMMYFUNCTION("""COMPUTED_VALUE"""),1162.0)</f>
        <v>1162</v>
      </c>
      <c r="B1163" s="2" t="str">
        <f>IFERROR(__xludf.DUMMYFUNCTION("""COMPUTED_VALUE"""),"Jayne Shewen")</f>
        <v>Jayne Shewen</v>
      </c>
      <c r="C1163" s="2" t="str">
        <f>IFERROR(__xludf.DUMMYFUNCTION("""COMPUTED_VALUE"""),"jshewen4i@princeton.edu")</f>
        <v>jshewen4i@princeton.edu</v>
      </c>
      <c r="D1163" s="4">
        <f>IFERROR(__xludf.DUMMYFUNCTION("""COMPUTED_VALUE"""),17.0)</f>
        <v>17</v>
      </c>
      <c r="E1163" s="4">
        <f>IFERROR(__xludf.DUMMYFUNCTION("""COMPUTED_VALUE"""),81.0)</f>
        <v>81</v>
      </c>
      <c r="F1163" s="4">
        <f>IFERROR(__xludf.DUMMYFUNCTION("""COMPUTED_VALUE"""),2.0)</f>
        <v>2</v>
      </c>
      <c r="G1163" s="4">
        <f>IFERROR(__xludf.DUMMYFUNCTION("""COMPUTED_VALUE"""),478.0)</f>
        <v>478</v>
      </c>
      <c r="H1163" s="5">
        <f>IFERROR(__xludf.DUMMYFUNCTION("""COMPUTED_VALUE"""),8526.28)</f>
        <v>8526.28</v>
      </c>
      <c r="I1163" s="5">
        <f>IFERROR(__xludf.DUMMYFUNCTION("""COMPUTED_VALUE"""),3824.75)</f>
        <v>3824.75</v>
      </c>
      <c r="J1163" s="5">
        <f>IFERROR(__xludf.DUMMYFUNCTION("""COMPUTED_VALUE"""),5619.99)</f>
        <v>5619.99</v>
      </c>
      <c r="K1163" s="5">
        <f>IFERROR(__xludf.DUMMYFUNCTION("""COMPUTED_VALUE"""),7412.14)</f>
        <v>7412.14</v>
      </c>
      <c r="L1163" s="4">
        <f>IFERROR(__xludf.DUMMYFUNCTION("""COMPUTED_VALUE"""),7.0)</f>
        <v>7</v>
      </c>
      <c r="M1163" s="4">
        <f>IFERROR(__xludf.DUMMYFUNCTION("""COMPUTED_VALUE"""),27.0)</f>
        <v>27</v>
      </c>
      <c r="N1163" s="2" t="str">
        <f>IFERROR(__xludf.DUMMYFUNCTION("""COMPUTED_VALUE"""),"FALSO")</f>
        <v>FALSO</v>
      </c>
    </row>
    <row r="1164">
      <c r="A1164" s="2">
        <f>IFERROR(__xludf.DUMMYFUNCTION("""COMPUTED_VALUE"""),1163.0)</f>
        <v>1163</v>
      </c>
      <c r="B1164" s="2" t="str">
        <f>IFERROR(__xludf.DUMMYFUNCTION("""COMPUTED_VALUE"""),"Mersey Wardhaugh")</f>
        <v>Mersey Wardhaugh</v>
      </c>
      <c r="C1164" s="2" t="str">
        <f>IFERROR(__xludf.DUMMYFUNCTION("""COMPUTED_VALUE"""),"mwardhaugh4j@baidu.com")</f>
        <v>mwardhaugh4j@baidu.com</v>
      </c>
      <c r="D1164" s="4">
        <f>IFERROR(__xludf.DUMMYFUNCTION("""COMPUTED_VALUE"""),29.0)</f>
        <v>29</v>
      </c>
      <c r="E1164" s="4">
        <f>IFERROR(__xludf.DUMMYFUNCTION("""COMPUTED_VALUE"""),41.0)</f>
        <v>41</v>
      </c>
      <c r="F1164" s="4">
        <f>IFERROR(__xludf.DUMMYFUNCTION("""COMPUTED_VALUE"""),11.0)</f>
        <v>11</v>
      </c>
      <c r="G1164" s="4">
        <f>IFERROR(__xludf.DUMMYFUNCTION("""COMPUTED_VALUE"""),1249.0)</f>
        <v>1249</v>
      </c>
      <c r="H1164" s="5">
        <f>IFERROR(__xludf.DUMMYFUNCTION("""COMPUTED_VALUE"""),6570.34)</f>
        <v>6570.34</v>
      </c>
      <c r="I1164" s="5">
        <f>IFERROR(__xludf.DUMMYFUNCTION("""COMPUTED_VALUE"""),814.97)</f>
        <v>814.97</v>
      </c>
      <c r="J1164" s="5">
        <f>IFERROR(__xludf.DUMMYFUNCTION("""COMPUTED_VALUE"""),4886.11)</f>
        <v>4886.11</v>
      </c>
      <c r="K1164" s="5">
        <f>IFERROR(__xludf.DUMMYFUNCTION("""COMPUTED_VALUE"""),8778.4)</f>
        <v>8778.4</v>
      </c>
      <c r="L1164" s="4">
        <f>IFERROR(__xludf.DUMMYFUNCTION("""COMPUTED_VALUE"""),18.0)</f>
        <v>18</v>
      </c>
      <c r="M1164" s="4">
        <f>IFERROR(__xludf.DUMMYFUNCTION("""COMPUTED_VALUE"""),7.0)</f>
        <v>7</v>
      </c>
      <c r="N1164" s="2" t="str">
        <f>IFERROR(__xludf.DUMMYFUNCTION("""COMPUTED_VALUE"""),"FALSO")</f>
        <v>FALSO</v>
      </c>
    </row>
    <row r="1165">
      <c r="A1165" s="2">
        <f>IFERROR(__xludf.DUMMYFUNCTION("""COMPUTED_VALUE"""),1164.0)</f>
        <v>1164</v>
      </c>
      <c r="B1165" s="2" t="str">
        <f>IFERROR(__xludf.DUMMYFUNCTION("""COMPUTED_VALUE"""),"Cordy Comizzoli")</f>
        <v>Cordy Comizzoli</v>
      </c>
      <c r="C1165" s="2" t="str">
        <f>IFERROR(__xludf.DUMMYFUNCTION("""COMPUTED_VALUE"""),"ccomizzoli4k@w3.org")</f>
        <v>ccomizzoli4k@w3.org</v>
      </c>
      <c r="D1165" s="4">
        <f>IFERROR(__xludf.DUMMYFUNCTION("""COMPUTED_VALUE"""),65.0)</f>
        <v>65</v>
      </c>
      <c r="E1165" s="4">
        <f>IFERROR(__xludf.DUMMYFUNCTION("""COMPUTED_VALUE"""),116.0)</f>
        <v>116</v>
      </c>
      <c r="F1165" s="4">
        <f>IFERROR(__xludf.DUMMYFUNCTION("""COMPUTED_VALUE"""),13.0)</f>
        <v>13</v>
      </c>
      <c r="G1165" s="4">
        <f>IFERROR(__xludf.DUMMYFUNCTION("""COMPUTED_VALUE"""),1233.0)</f>
        <v>1233</v>
      </c>
      <c r="H1165" s="5">
        <f>IFERROR(__xludf.DUMMYFUNCTION("""COMPUTED_VALUE"""),1306.57)</f>
        <v>1306.57</v>
      </c>
      <c r="I1165" s="5">
        <f>IFERROR(__xludf.DUMMYFUNCTION("""COMPUTED_VALUE"""),3504.71)</f>
        <v>3504.71</v>
      </c>
      <c r="J1165" s="5">
        <f>IFERROR(__xludf.DUMMYFUNCTION("""COMPUTED_VALUE"""),2141.03)</f>
        <v>2141.03</v>
      </c>
      <c r="K1165" s="5">
        <f>IFERROR(__xludf.DUMMYFUNCTION("""COMPUTED_VALUE"""),7696.55)</f>
        <v>7696.55</v>
      </c>
      <c r="L1165" s="4">
        <f>IFERROR(__xludf.DUMMYFUNCTION("""COMPUTED_VALUE"""),18.0)</f>
        <v>18</v>
      </c>
      <c r="M1165" s="4">
        <f>IFERROR(__xludf.DUMMYFUNCTION("""COMPUTED_VALUE"""),46.0)</f>
        <v>46</v>
      </c>
      <c r="N1165" s="2" t="str">
        <f>IFERROR(__xludf.DUMMYFUNCTION("""COMPUTED_VALUE"""),"VERDADERO")</f>
        <v>VERDADERO</v>
      </c>
    </row>
    <row r="1166">
      <c r="A1166" s="2">
        <f>IFERROR(__xludf.DUMMYFUNCTION("""COMPUTED_VALUE"""),1165.0)</f>
        <v>1165</v>
      </c>
      <c r="B1166" s="2" t="str">
        <f>IFERROR(__xludf.DUMMYFUNCTION("""COMPUTED_VALUE"""),"Franciska Jendrys")</f>
        <v>Franciska Jendrys</v>
      </c>
      <c r="C1166" s="2" t="str">
        <f>IFERROR(__xludf.DUMMYFUNCTION("""COMPUTED_VALUE"""),"fjendrys4l@yellowpages.com")</f>
        <v>fjendrys4l@yellowpages.com</v>
      </c>
      <c r="D1166" s="4">
        <f>IFERROR(__xludf.DUMMYFUNCTION("""COMPUTED_VALUE"""),137.0)</f>
        <v>137</v>
      </c>
      <c r="E1166" s="4">
        <f>IFERROR(__xludf.DUMMYFUNCTION("""COMPUTED_VALUE"""),81.0)</f>
        <v>81</v>
      </c>
      <c r="F1166" s="4">
        <f>IFERROR(__xludf.DUMMYFUNCTION("""COMPUTED_VALUE"""),2.0)</f>
        <v>2</v>
      </c>
      <c r="G1166" s="4">
        <f>IFERROR(__xludf.DUMMYFUNCTION("""COMPUTED_VALUE"""),459.0)</f>
        <v>459</v>
      </c>
      <c r="H1166" s="5">
        <f>IFERROR(__xludf.DUMMYFUNCTION("""COMPUTED_VALUE"""),3785.37)</f>
        <v>3785.37</v>
      </c>
      <c r="I1166" s="5">
        <f>IFERROR(__xludf.DUMMYFUNCTION("""COMPUTED_VALUE"""),3498.43)</f>
        <v>3498.43</v>
      </c>
      <c r="J1166" s="5">
        <f>IFERROR(__xludf.DUMMYFUNCTION("""COMPUTED_VALUE"""),5575.85)</f>
        <v>5575.85</v>
      </c>
      <c r="K1166" s="5">
        <f>IFERROR(__xludf.DUMMYFUNCTION("""COMPUTED_VALUE"""),9403.43)</f>
        <v>9403.43</v>
      </c>
      <c r="L1166" s="4">
        <f>IFERROR(__xludf.DUMMYFUNCTION("""COMPUTED_VALUE"""),6.0)</f>
        <v>6</v>
      </c>
      <c r="M1166" s="4">
        <f>IFERROR(__xludf.DUMMYFUNCTION("""COMPUTED_VALUE"""),98.0)</f>
        <v>98</v>
      </c>
      <c r="N1166" s="2" t="str">
        <f>IFERROR(__xludf.DUMMYFUNCTION("""COMPUTED_VALUE"""),"VERDADERO")</f>
        <v>VERDADERO</v>
      </c>
    </row>
    <row r="1167">
      <c r="A1167" s="2">
        <f>IFERROR(__xludf.DUMMYFUNCTION("""COMPUTED_VALUE"""),1166.0)</f>
        <v>1166</v>
      </c>
      <c r="B1167" s="2" t="str">
        <f>IFERROR(__xludf.DUMMYFUNCTION("""COMPUTED_VALUE"""),"Jon Briscoe")</f>
        <v>Jon Briscoe</v>
      </c>
      <c r="C1167" s="2" t="str">
        <f>IFERROR(__xludf.DUMMYFUNCTION("""COMPUTED_VALUE"""),"jbriscoe4m@ameblo.jp")</f>
        <v>jbriscoe4m@ameblo.jp</v>
      </c>
      <c r="D1167" s="4">
        <f>IFERROR(__xludf.DUMMYFUNCTION("""COMPUTED_VALUE"""),29.0)</f>
        <v>29</v>
      </c>
      <c r="E1167" s="4">
        <f>IFERROR(__xludf.DUMMYFUNCTION("""COMPUTED_VALUE"""),64.0)</f>
        <v>64</v>
      </c>
      <c r="F1167" s="4">
        <f>IFERROR(__xludf.DUMMYFUNCTION("""COMPUTED_VALUE"""),4.0)</f>
        <v>4</v>
      </c>
      <c r="G1167" s="4">
        <f>IFERROR(__xludf.DUMMYFUNCTION("""COMPUTED_VALUE"""),253.0)</f>
        <v>253</v>
      </c>
      <c r="H1167" s="5">
        <f>IFERROR(__xludf.DUMMYFUNCTION("""COMPUTED_VALUE"""),8919.38)</f>
        <v>8919.38</v>
      </c>
      <c r="I1167" s="5">
        <f>IFERROR(__xludf.DUMMYFUNCTION("""COMPUTED_VALUE"""),1354.81)</f>
        <v>1354.81</v>
      </c>
      <c r="J1167" s="5">
        <f>IFERROR(__xludf.DUMMYFUNCTION("""COMPUTED_VALUE"""),5474.34)</f>
        <v>5474.34</v>
      </c>
      <c r="K1167" s="5">
        <f>IFERROR(__xludf.DUMMYFUNCTION("""COMPUTED_VALUE"""),6987.74)</f>
        <v>6987.74</v>
      </c>
      <c r="L1167" s="4">
        <f>IFERROR(__xludf.DUMMYFUNCTION("""COMPUTED_VALUE"""),5.0)</f>
        <v>5</v>
      </c>
      <c r="M1167" s="4">
        <f>IFERROR(__xludf.DUMMYFUNCTION("""COMPUTED_VALUE"""),40.0)</f>
        <v>40</v>
      </c>
      <c r="N1167" s="2" t="str">
        <f>IFERROR(__xludf.DUMMYFUNCTION("""COMPUTED_VALUE"""),"VERDADERO")</f>
        <v>VERDADERO</v>
      </c>
    </row>
    <row r="1168">
      <c r="A1168" s="2">
        <f>IFERROR(__xludf.DUMMYFUNCTION("""COMPUTED_VALUE"""),1167.0)</f>
        <v>1167</v>
      </c>
      <c r="B1168" s="2" t="str">
        <f>IFERROR(__xludf.DUMMYFUNCTION("""COMPUTED_VALUE"""),"Ferdinand Lamers")</f>
        <v>Ferdinand Lamers</v>
      </c>
      <c r="C1168" s="2" t="str">
        <f>IFERROR(__xludf.DUMMYFUNCTION("""COMPUTED_VALUE"""),"flamers4n@fastcompany.com")</f>
        <v>flamers4n@fastcompany.com</v>
      </c>
      <c r="D1168" s="4">
        <f>IFERROR(__xludf.DUMMYFUNCTION("""COMPUTED_VALUE"""),49.0)</f>
        <v>49</v>
      </c>
      <c r="E1168" s="4">
        <f>IFERROR(__xludf.DUMMYFUNCTION("""COMPUTED_VALUE"""),119.0)</f>
        <v>119</v>
      </c>
      <c r="F1168" s="4">
        <f>IFERROR(__xludf.DUMMYFUNCTION("""COMPUTED_VALUE"""),1.0)</f>
        <v>1</v>
      </c>
      <c r="G1168" s="4">
        <f>IFERROR(__xludf.DUMMYFUNCTION("""COMPUTED_VALUE"""),322.0)</f>
        <v>322</v>
      </c>
      <c r="H1168" s="5">
        <f>IFERROR(__xludf.DUMMYFUNCTION("""COMPUTED_VALUE"""),3918.87)</f>
        <v>3918.87</v>
      </c>
      <c r="I1168" s="5">
        <f>IFERROR(__xludf.DUMMYFUNCTION("""COMPUTED_VALUE"""),9455.41)</f>
        <v>9455.41</v>
      </c>
      <c r="J1168" s="5">
        <f>IFERROR(__xludf.DUMMYFUNCTION("""COMPUTED_VALUE"""),1076.62)</f>
        <v>1076.62</v>
      </c>
      <c r="K1168" s="5">
        <f>IFERROR(__xludf.DUMMYFUNCTION("""COMPUTED_VALUE"""),9400.79)</f>
        <v>9400.79</v>
      </c>
      <c r="L1168" s="4">
        <f>IFERROR(__xludf.DUMMYFUNCTION("""COMPUTED_VALUE"""),13.0)</f>
        <v>13</v>
      </c>
      <c r="M1168" s="4">
        <f>IFERROR(__xludf.DUMMYFUNCTION("""COMPUTED_VALUE"""),68.0)</f>
        <v>68</v>
      </c>
      <c r="N1168" s="2" t="str">
        <f>IFERROR(__xludf.DUMMYFUNCTION("""COMPUTED_VALUE"""),"VERDADERO")</f>
        <v>VERDADERO</v>
      </c>
    </row>
    <row r="1169">
      <c r="A1169" s="2">
        <f>IFERROR(__xludf.DUMMYFUNCTION("""COMPUTED_VALUE"""),1168.0)</f>
        <v>1168</v>
      </c>
      <c r="B1169" s="2" t="str">
        <f>IFERROR(__xludf.DUMMYFUNCTION("""COMPUTED_VALUE"""),"Obadiah Colyer")</f>
        <v>Obadiah Colyer</v>
      </c>
      <c r="C1169" s="2" t="str">
        <f>IFERROR(__xludf.DUMMYFUNCTION("""COMPUTED_VALUE"""),"ocolyer4o@ovh.net")</f>
        <v>ocolyer4o@ovh.net</v>
      </c>
      <c r="D1169" s="4">
        <f>IFERROR(__xludf.DUMMYFUNCTION("""COMPUTED_VALUE"""),24.0)</f>
        <v>24</v>
      </c>
      <c r="E1169" s="4">
        <f>IFERROR(__xludf.DUMMYFUNCTION("""COMPUTED_VALUE"""),66.0)</f>
        <v>66</v>
      </c>
      <c r="F1169" s="4">
        <f>IFERROR(__xludf.DUMMYFUNCTION("""COMPUTED_VALUE"""),6.0)</f>
        <v>6</v>
      </c>
      <c r="G1169" s="4">
        <f>IFERROR(__xludf.DUMMYFUNCTION("""COMPUTED_VALUE"""),192.0)</f>
        <v>192</v>
      </c>
      <c r="H1169" s="5">
        <f>IFERROR(__xludf.DUMMYFUNCTION("""COMPUTED_VALUE"""),5941.57)</f>
        <v>5941.57</v>
      </c>
      <c r="I1169" s="5">
        <f>IFERROR(__xludf.DUMMYFUNCTION("""COMPUTED_VALUE"""),843.98)</f>
        <v>843.98</v>
      </c>
      <c r="J1169" s="5">
        <f>IFERROR(__xludf.DUMMYFUNCTION("""COMPUTED_VALUE"""),8895.91)</f>
        <v>8895.91</v>
      </c>
      <c r="K1169" s="5">
        <f>IFERROR(__xludf.DUMMYFUNCTION("""COMPUTED_VALUE"""),2041.05)</f>
        <v>2041.05</v>
      </c>
      <c r="L1169" s="4">
        <f>IFERROR(__xludf.DUMMYFUNCTION("""COMPUTED_VALUE"""),5.0)</f>
        <v>5</v>
      </c>
      <c r="M1169" s="4">
        <f>IFERROR(__xludf.DUMMYFUNCTION("""COMPUTED_VALUE"""),68.0)</f>
        <v>68</v>
      </c>
      <c r="N1169" s="2" t="str">
        <f>IFERROR(__xludf.DUMMYFUNCTION("""COMPUTED_VALUE"""),"VERDADERO")</f>
        <v>VERDADERO</v>
      </c>
    </row>
    <row r="1170">
      <c r="A1170" s="2">
        <f>IFERROR(__xludf.DUMMYFUNCTION("""COMPUTED_VALUE"""),1169.0)</f>
        <v>1169</v>
      </c>
      <c r="B1170" s="2" t="str">
        <f>IFERROR(__xludf.DUMMYFUNCTION("""COMPUTED_VALUE"""),"Fidel Dunlap")</f>
        <v>Fidel Dunlap</v>
      </c>
      <c r="C1170" s="2" t="str">
        <f>IFERROR(__xludf.DUMMYFUNCTION("""COMPUTED_VALUE"""),"fdunlap4p@ibm.com")</f>
        <v>fdunlap4p@ibm.com</v>
      </c>
      <c r="D1170" s="4">
        <f>IFERROR(__xludf.DUMMYFUNCTION("""COMPUTED_VALUE"""),65.0)</f>
        <v>65</v>
      </c>
      <c r="E1170" s="4">
        <f>IFERROR(__xludf.DUMMYFUNCTION("""COMPUTED_VALUE"""),21.0)</f>
        <v>21</v>
      </c>
      <c r="F1170" s="4">
        <f>IFERROR(__xludf.DUMMYFUNCTION("""COMPUTED_VALUE"""),4.0)</f>
        <v>4</v>
      </c>
      <c r="G1170" s="4">
        <f>IFERROR(__xludf.DUMMYFUNCTION("""COMPUTED_VALUE"""),816.0)</f>
        <v>816</v>
      </c>
      <c r="H1170" s="5">
        <f>IFERROR(__xludf.DUMMYFUNCTION("""COMPUTED_VALUE"""),7358.49)</f>
        <v>7358.49</v>
      </c>
      <c r="I1170" s="5">
        <f>IFERROR(__xludf.DUMMYFUNCTION("""COMPUTED_VALUE"""),8618.38)</f>
        <v>8618.38</v>
      </c>
      <c r="J1170" s="5">
        <f>IFERROR(__xludf.DUMMYFUNCTION("""COMPUTED_VALUE"""),7210.86)</f>
        <v>7210.86</v>
      </c>
      <c r="K1170" s="5">
        <f>IFERROR(__xludf.DUMMYFUNCTION("""COMPUTED_VALUE"""),9846.52)</f>
        <v>9846.52</v>
      </c>
      <c r="L1170" s="4">
        <f>IFERROR(__xludf.DUMMYFUNCTION("""COMPUTED_VALUE"""),13.0)</f>
        <v>13</v>
      </c>
      <c r="M1170" s="4">
        <f>IFERROR(__xludf.DUMMYFUNCTION("""COMPUTED_VALUE"""),32.0)</f>
        <v>32</v>
      </c>
      <c r="N1170" s="2" t="str">
        <f>IFERROR(__xludf.DUMMYFUNCTION("""COMPUTED_VALUE"""),"VERDADERO")</f>
        <v>VERDADERO</v>
      </c>
    </row>
    <row r="1171">
      <c r="A1171" s="2">
        <f>IFERROR(__xludf.DUMMYFUNCTION("""COMPUTED_VALUE"""),1170.0)</f>
        <v>1170</v>
      </c>
      <c r="B1171" s="2" t="str">
        <f>IFERROR(__xludf.DUMMYFUNCTION("""COMPUTED_VALUE"""),"Pieter Bendel")</f>
        <v>Pieter Bendel</v>
      </c>
      <c r="C1171" s="2" t="str">
        <f>IFERROR(__xludf.DUMMYFUNCTION("""COMPUTED_VALUE"""),"pbendel4q@ucla.edu")</f>
        <v>pbendel4q@ucla.edu</v>
      </c>
      <c r="D1171" s="4">
        <f>IFERROR(__xludf.DUMMYFUNCTION("""COMPUTED_VALUE"""),65.0)</f>
        <v>65</v>
      </c>
      <c r="E1171" s="4">
        <f>IFERROR(__xludf.DUMMYFUNCTION("""COMPUTED_VALUE"""),107.0)</f>
        <v>107</v>
      </c>
      <c r="F1171" s="4">
        <f>IFERROR(__xludf.DUMMYFUNCTION("""COMPUTED_VALUE"""),5.0)</f>
        <v>5</v>
      </c>
      <c r="G1171" s="4">
        <f>IFERROR(__xludf.DUMMYFUNCTION("""COMPUTED_VALUE"""),1063.0)</f>
        <v>1063</v>
      </c>
      <c r="H1171" s="5">
        <f>IFERROR(__xludf.DUMMYFUNCTION("""COMPUTED_VALUE"""),5540.38)</f>
        <v>5540.38</v>
      </c>
      <c r="I1171" s="5">
        <f>IFERROR(__xludf.DUMMYFUNCTION("""COMPUTED_VALUE"""),5118.63)</f>
        <v>5118.63</v>
      </c>
      <c r="J1171" s="5">
        <f>IFERROR(__xludf.DUMMYFUNCTION("""COMPUTED_VALUE"""),549.27)</f>
        <v>549.27</v>
      </c>
      <c r="K1171" s="5">
        <f>IFERROR(__xludf.DUMMYFUNCTION("""COMPUTED_VALUE"""),6259.12)</f>
        <v>6259.12</v>
      </c>
      <c r="L1171" s="4">
        <f>IFERROR(__xludf.DUMMYFUNCTION("""COMPUTED_VALUE"""),15.0)</f>
        <v>15</v>
      </c>
      <c r="M1171" s="4">
        <f>IFERROR(__xludf.DUMMYFUNCTION("""COMPUTED_VALUE"""),34.0)</f>
        <v>34</v>
      </c>
      <c r="N1171" s="2" t="str">
        <f>IFERROR(__xludf.DUMMYFUNCTION("""COMPUTED_VALUE"""),"FALSO")</f>
        <v>FALSO</v>
      </c>
    </row>
    <row r="1172">
      <c r="A1172" s="2">
        <f>IFERROR(__xludf.DUMMYFUNCTION("""COMPUTED_VALUE"""),1171.0)</f>
        <v>1171</v>
      </c>
      <c r="B1172" s="2" t="str">
        <f>IFERROR(__xludf.DUMMYFUNCTION("""COMPUTED_VALUE"""),"Hadlee Dorot")</f>
        <v>Hadlee Dorot</v>
      </c>
      <c r="C1172" s="2" t="str">
        <f>IFERROR(__xludf.DUMMYFUNCTION("""COMPUTED_VALUE"""),"hdorot4r@shutterfly.com")</f>
        <v>hdorot4r@shutterfly.com</v>
      </c>
      <c r="D1172" s="4">
        <f>IFERROR(__xludf.DUMMYFUNCTION("""COMPUTED_VALUE"""),29.0)</f>
        <v>29</v>
      </c>
      <c r="E1172" s="4">
        <f>IFERROR(__xludf.DUMMYFUNCTION("""COMPUTED_VALUE"""),81.0)</f>
        <v>81</v>
      </c>
      <c r="F1172" s="4">
        <f>IFERROR(__xludf.DUMMYFUNCTION("""COMPUTED_VALUE"""),2.0)</f>
        <v>2</v>
      </c>
      <c r="G1172" s="4">
        <f>IFERROR(__xludf.DUMMYFUNCTION("""COMPUTED_VALUE"""),6.0)</f>
        <v>6</v>
      </c>
      <c r="H1172" s="5">
        <f>IFERROR(__xludf.DUMMYFUNCTION("""COMPUTED_VALUE"""),967.13)</f>
        <v>967.13</v>
      </c>
      <c r="I1172" s="5">
        <f>IFERROR(__xludf.DUMMYFUNCTION("""COMPUTED_VALUE"""),1916.36)</f>
        <v>1916.36</v>
      </c>
      <c r="J1172" s="5">
        <f>IFERROR(__xludf.DUMMYFUNCTION("""COMPUTED_VALUE"""),6323.27)</f>
        <v>6323.27</v>
      </c>
      <c r="K1172" s="5">
        <f>IFERROR(__xludf.DUMMYFUNCTION("""COMPUTED_VALUE"""),1593.91)</f>
        <v>1593.91</v>
      </c>
      <c r="L1172" s="4">
        <f>IFERROR(__xludf.DUMMYFUNCTION("""COMPUTED_VALUE"""),18.0)</f>
        <v>18</v>
      </c>
      <c r="M1172" s="4">
        <f>IFERROR(__xludf.DUMMYFUNCTION("""COMPUTED_VALUE"""),86.0)</f>
        <v>86</v>
      </c>
      <c r="N1172" s="2" t="str">
        <f>IFERROR(__xludf.DUMMYFUNCTION("""COMPUTED_VALUE"""),"VERDADERO")</f>
        <v>VERDADERO</v>
      </c>
    </row>
    <row r="1173">
      <c r="A1173" s="2">
        <f>IFERROR(__xludf.DUMMYFUNCTION("""COMPUTED_VALUE"""),1172.0)</f>
        <v>1172</v>
      </c>
      <c r="B1173" s="2" t="str">
        <f>IFERROR(__xludf.DUMMYFUNCTION("""COMPUTED_VALUE"""),"Mordecai Carsberg")</f>
        <v>Mordecai Carsberg</v>
      </c>
      <c r="C1173" s="2" t="str">
        <f>IFERROR(__xludf.DUMMYFUNCTION("""COMPUTED_VALUE"""),"mcarsberg4s@tinyurl.com")</f>
        <v>mcarsberg4s@tinyurl.com</v>
      </c>
      <c r="D1173" s="4">
        <f>IFERROR(__xludf.DUMMYFUNCTION("""COMPUTED_VALUE"""),2.0)</f>
        <v>2</v>
      </c>
      <c r="E1173" s="4">
        <f>IFERROR(__xludf.DUMMYFUNCTION("""COMPUTED_VALUE"""),46.0)</f>
        <v>46</v>
      </c>
      <c r="F1173" s="4">
        <f>IFERROR(__xludf.DUMMYFUNCTION("""COMPUTED_VALUE"""),13.0)</f>
        <v>13</v>
      </c>
      <c r="G1173" s="4">
        <f>IFERROR(__xludf.DUMMYFUNCTION("""COMPUTED_VALUE"""),261.0)</f>
        <v>261</v>
      </c>
      <c r="H1173" s="5">
        <f>IFERROR(__xludf.DUMMYFUNCTION("""COMPUTED_VALUE"""),5021.65)</f>
        <v>5021.65</v>
      </c>
      <c r="I1173" s="5">
        <f>IFERROR(__xludf.DUMMYFUNCTION("""COMPUTED_VALUE"""),338.4)</f>
        <v>338.4</v>
      </c>
      <c r="J1173" s="5">
        <f>IFERROR(__xludf.DUMMYFUNCTION("""COMPUTED_VALUE"""),3762.95)</f>
        <v>3762.95</v>
      </c>
      <c r="K1173" s="5">
        <f>IFERROR(__xludf.DUMMYFUNCTION("""COMPUTED_VALUE"""),4078.29)</f>
        <v>4078.29</v>
      </c>
      <c r="L1173" s="4">
        <f>IFERROR(__xludf.DUMMYFUNCTION("""COMPUTED_VALUE"""),18.0)</f>
        <v>18</v>
      </c>
      <c r="M1173" s="4">
        <f>IFERROR(__xludf.DUMMYFUNCTION("""COMPUTED_VALUE"""),92.0)</f>
        <v>92</v>
      </c>
      <c r="N1173" s="2" t="str">
        <f>IFERROR(__xludf.DUMMYFUNCTION("""COMPUTED_VALUE"""),"VERDADERO")</f>
        <v>VERDADERO</v>
      </c>
    </row>
    <row r="1174">
      <c r="A1174" s="2">
        <f>IFERROR(__xludf.DUMMYFUNCTION("""COMPUTED_VALUE"""),1173.0)</f>
        <v>1173</v>
      </c>
      <c r="B1174" s="2" t="str">
        <f>IFERROR(__xludf.DUMMYFUNCTION("""COMPUTED_VALUE"""),"Gerladina Idell")</f>
        <v>Gerladina Idell</v>
      </c>
      <c r="C1174" s="2" t="str">
        <f>IFERROR(__xludf.DUMMYFUNCTION("""COMPUTED_VALUE"""),"gidell4t@marriott.com")</f>
        <v>gidell4t@marriott.com</v>
      </c>
      <c r="D1174" s="4">
        <f>IFERROR(__xludf.DUMMYFUNCTION("""COMPUTED_VALUE"""),105.0)</f>
        <v>105</v>
      </c>
      <c r="E1174" s="4">
        <f>IFERROR(__xludf.DUMMYFUNCTION("""COMPUTED_VALUE"""),31.0)</f>
        <v>31</v>
      </c>
      <c r="F1174" s="4">
        <f>IFERROR(__xludf.DUMMYFUNCTION("""COMPUTED_VALUE"""),8.0)</f>
        <v>8</v>
      </c>
      <c r="G1174" s="4">
        <f>IFERROR(__xludf.DUMMYFUNCTION("""COMPUTED_VALUE"""),360.0)</f>
        <v>360</v>
      </c>
      <c r="H1174" s="5">
        <f>IFERROR(__xludf.DUMMYFUNCTION("""COMPUTED_VALUE"""),9111.88)</f>
        <v>9111.88</v>
      </c>
      <c r="I1174" s="5">
        <f>IFERROR(__xludf.DUMMYFUNCTION("""COMPUTED_VALUE"""),2890.29)</f>
        <v>2890.29</v>
      </c>
      <c r="J1174" s="5">
        <f>IFERROR(__xludf.DUMMYFUNCTION("""COMPUTED_VALUE"""),8267.84)</f>
        <v>8267.84</v>
      </c>
      <c r="K1174" s="5">
        <f>IFERROR(__xludf.DUMMYFUNCTION("""COMPUTED_VALUE"""),5844.44)</f>
        <v>5844.44</v>
      </c>
      <c r="L1174" s="4">
        <f>IFERROR(__xludf.DUMMYFUNCTION("""COMPUTED_VALUE"""),6.0)</f>
        <v>6</v>
      </c>
      <c r="M1174" s="4">
        <f>IFERROR(__xludf.DUMMYFUNCTION("""COMPUTED_VALUE"""),56.0)</f>
        <v>56</v>
      </c>
      <c r="N1174" s="2" t="str">
        <f>IFERROR(__xludf.DUMMYFUNCTION("""COMPUTED_VALUE"""),"VERDADERO")</f>
        <v>VERDADERO</v>
      </c>
    </row>
    <row r="1175">
      <c r="A1175" s="2">
        <f>IFERROR(__xludf.DUMMYFUNCTION("""COMPUTED_VALUE"""),1174.0)</f>
        <v>1174</v>
      </c>
      <c r="B1175" s="2" t="str">
        <f>IFERROR(__xludf.DUMMYFUNCTION("""COMPUTED_VALUE"""),"Ginelle Croal")</f>
        <v>Ginelle Croal</v>
      </c>
      <c r="C1175" s="2" t="str">
        <f>IFERROR(__xludf.DUMMYFUNCTION("""COMPUTED_VALUE"""),"gcroal4u@tuttocitta.it")</f>
        <v>gcroal4u@tuttocitta.it</v>
      </c>
      <c r="D1175" s="4">
        <f>IFERROR(__xludf.DUMMYFUNCTION("""COMPUTED_VALUE"""),150.0)</f>
        <v>150</v>
      </c>
      <c r="E1175" s="4">
        <f>IFERROR(__xludf.DUMMYFUNCTION("""COMPUTED_VALUE"""),98.0)</f>
        <v>98</v>
      </c>
      <c r="F1175" s="4">
        <f>IFERROR(__xludf.DUMMYFUNCTION("""COMPUTED_VALUE"""),13.0)</f>
        <v>13</v>
      </c>
      <c r="G1175" s="4">
        <f>IFERROR(__xludf.DUMMYFUNCTION("""COMPUTED_VALUE"""),1000.0)</f>
        <v>1000</v>
      </c>
      <c r="H1175" s="5">
        <f>IFERROR(__xludf.DUMMYFUNCTION("""COMPUTED_VALUE"""),6203.41)</f>
        <v>6203.41</v>
      </c>
      <c r="I1175" s="5">
        <f>IFERROR(__xludf.DUMMYFUNCTION("""COMPUTED_VALUE"""),7263.99)</f>
        <v>7263.99</v>
      </c>
      <c r="J1175" s="5">
        <f>IFERROR(__xludf.DUMMYFUNCTION("""COMPUTED_VALUE"""),1829.79)</f>
        <v>1829.79</v>
      </c>
      <c r="K1175" s="5">
        <f>IFERROR(__xludf.DUMMYFUNCTION("""COMPUTED_VALUE"""),8301.16)</f>
        <v>8301.16</v>
      </c>
      <c r="L1175" s="4">
        <f>IFERROR(__xludf.DUMMYFUNCTION("""COMPUTED_VALUE"""),11.0)</f>
        <v>11</v>
      </c>
      <c r="M1175" s="4">
        <f>IFERROR(__xludf.DUMMYFUNCTION("""COMPUTED_VALUE"""),46.0)</f>
        <v>46</v>
      </c>
      <c r="N1175" s="2" t="str">
        <f>IFERROR(__xludf.DUMMYFUNCTION("""COMPUTED_VALUE"""),"VERDADERO")</f>
        <v>VERDADERO</v>
      </c>
    </row>
    <row r="1176">
      <c r="A1176" s="2">
        <f>IFERROR(__xludf.DUMMYFUNCTION("""COMPUTED_VALUE"""),1175.0)</f>
        <v>1175</v>
      </c>
      <c r="B1176" s="2" t="str">
        <f>IFERROR(__xludf.DUMMYFUNCTION("""COMPUTED_VALUE"""),"Mabelle Durak")</f>
        <v>Mabelle Durak</v>
      </c>
      <c r="C1176" s="2" t="str">
        <f>IFERROR(__xludf.DUMMYFUNCTION("""COMPUTED_VALUE"""),"mdurak4v@networkadvertising.org")</f>
        <v>mdurak4v@networkadvertising.org</v>
      </c>
      <c r="D1176" s="4">
        <f>IFERROR(__xludf.DUMMYFUNCTION("""COMPUTED_VALUE"""),29.0)</f>
        <v>29</v>
      </c>
      <c r="E1176" s="4">
        <f>IFERROR(__xludf.DUMMYFUNCTION("""COMPUTED_VALUE"""),58.0)</f>
        <v>58</v>
      </c>
      <c r="F1176" s="4">
        <f>IFERROR(__xludf.DUMMYFUNCTION("""COMPUTED_VALUE"""),8.0)</f>
        <v>8</v>
      </c>
      <c r="G1176" s="4">
        <f>IFERROR(__xludf.DUMMYFUNCTION("""COMPUTED_VALUE"""),1352.0)</f>
        <v>1352</v>
      </c>
      <c r="H1176" s="5">
        <f>IFERROR(__xludf.DUMMYFUNCTION("""COMPUTED_VALUE"""),2313.18)</f>
        <v>2313.18</v>
      </c>
      <c r="I1176" s="5">
        <f>IFERROR(__xludf.DUMMYFUNCTION("""COMPUTED_VALUE"""),9129.51)</f>
        <v>9129.51</v>
      </c>
      <c r="J1176" s="5">
        <f>IFERROR(__xludf.DUMMYFUNCTION("""COMPUTED_VALUE"""),246.47)</f>
        <v>246.47</v>
      </c>
      <c r="K1176" s="5">
        <f>IFERROR(__xludf.DUMMYFUNCTION("""COMPUTED_VALUE"""),439.77)</f>
        <v>439.77</v>
      </c>
      <c r="L1176" s="4">
        <f>IFERROR(__xludf.DUMMYFUNCTION("""COMPUTED_VALUE"""),12.0)</f>
        <v>12</v>
      </c>
      <c r="M1176" s="4">
        <f>IFERROR(__xludf.DUMMYFUNCTION("""COMPUTED_VALUE"""),98.0)</f>
        <v>98</v>
      </c>
      <c r="N1176" s="2" t="str">
        <f>IFERROR(__xludf.DUMMYFUNCTION("""COMPUTED_VALUE"""),"VERDADERO")</f>
        <v>VERDADERO</v>
      </c>
    </row>
    <row r="1177">
      <c r="A1177" s="2">
        <f>IFERROR(__xludf.DUMMYFUNCTION("""COMPUTED_VALUE"""),1176.0)</f>
        <v>1176</v>
      </c>
      <c r="B1177" s="2" t="str">
        <f>IFERROR(__xludf.DUMMYFUNCTION("""COMPUTED_VALUE"""),"Marie Caverhill")</f>
        <v>Marie Caverhill</v>
      </c>
      <c r="C1177" s="2" t="str">
        <f>IFERROR(__xludf.DUMMYFUNCTION("""COMPUTED_VALUE"""),"mcaverhill4w@cbc.ca")</f>
        <v>mcaverhill4w@cbc.ca</v>
      </c>
      <c r="D1177" s="4">
        <f>IFERROR(__xludf.DUMMYFUNCTION("""COMPUTED_VALUE"""),122.0)</f>
        <v>122</v>
      </c>
      <c r="E1177" s="4">
        <f>IFERROR(__xludf.DUMMYFUNCTION("""COMPUTED_VALUE"""),100.0)</f>
        <v>100</v>
      </c>
      <c r="F1177" s="4">
        <f>IFERROR(__xludf.DUMMYFUNCTION("""COMPUTED_VALUE"""),9.0)</f>
        <v>9</v>
      </c>
      <c r="G1177" s="4">
        <f>IFERROR(__xludf.DUMMYFUNCTION("""COMPUTED_VALUE"""),509.0)</f>
        <v>509</v>
      </c>
      <c r="H1177" s="5">
        <f>IFERROR(__xludf.DUMMYFUNCTION("""COMPUTED_VALUE"""),3328.36)</f>
        <v>3328.36</v>
      </c>
      <c r="I1177" s="5">
        <f>IFERROR(__xludf.DUMMYFUNCTION("""COMPUTED_VALUE"""),7447.31)</f>
        <v>7447.31</v>
      </c>
      <c r="J1177" s="5">
        <f>IFERROR(__xludf.DUMMYFUNCTION("""COMPUTED_VALUE"""),4869.78)</f>
        <v>4869.78</v>
      </c>
      <c r="K1177" s="5">
        <f>IFERROR(__xludf.DUMMYFUNCTION("""COMPUTED_VALUE"""),7311.81)</f>
        <v>7311.81</v>
      </c>
      <c r="L1177" s="4">
        <f>IFERROR(__xludf.DUMMYFUNCTION("""COMPUTED_VALUE"""),10.0)</f>
        <v>10</v>
      </c>
      <c r="M1177" s="4">
        <f>IFERROR(__xludf.DUMMYFUNCTION("""COMPUTED_VALUE"""),2.0)</f>
        <v>2</v>
      </c>
      <c r="N1177" s="2" t="str">
        <f>IFERROR(__xludf.DUMMYFUNCTION("""COMPUTED_VALUE"""),"VERDADERO")</f>
        <v>VERDADERO</v>
      </c>
    </row>
    <row r="1178">
      <c r="A1178" s="2">
        <f>IFERROR(__xludf.DUMMYFUNCTION("""COMPUTED_VALUE"""),1177.0)</f>
        <v>1177</v>
      </c>
      <c r="B1178" s="2" t="str">
        <f>IFERROR(__xludf.DUMMYFUNCTION("""COMPUTED_VALUE"""),"Wiley Roberds")</f>
        <v>Wiley Roberds</v>
      </c>
      <c r="C1178" s="2" t="str">
        <f>IFERROR(__xludf.DUMMYFUNCTION("""COMPUTED_VALUE"""),"wroberds4x@indiatimes.com")</f>
        <v>wroberds4x@indiatimes.com</v>
      </c>
      <c r="D1178" s="4">
        <f>IFERROR(__xludf.DUMMYFUNCTION("""COMPUTED_VALUE"""),121.0)</f>
        <v>121</v>
      </c>
      <c r="E1178" s="4">
        <f>IFERROR(__xludf.DUMMYFUNCTION("""COMPUTED_VALUE"""),71.0)</f>
        <v>71</v>
      </c>
      <c r="F1178" s="4">
        <f>IFERROR(__xludf.DUMMYFUNCTION("""COMPUTED_VALUE"""),6.0)</f>
        <v>6</v>
      </c>
      <c r="G1178" s="4">
        <f>IFERROR(__xludf.DUMMYFUNCTION("""COMPUTED_VALUE"""),1034.0)</f>
        <v>1034</v>
      </c>
      <c r="H1178" s="5">
        <f>IFERROR(__xludf.DUMMYFUNCTION("""COMPUTED_VALUE"""),1903.08)</f>
        <v>1903.08</v>
      </c>
      <c r="I1178" s="5">
        <f>IFERROR(__xludf.DUMMYFUNCTION("""COMPUTED_VALUE"""),4323.76)</f>
        <v>4323.76</v>
      </c>
      <c r="J1178" s="5">
        <f>IFERROR(__xludf.DUMMYFUNCTION("""COMPUTED_VALUE"""),5247.2)</f>
        <v>5247.2</v>
      </c>
      <c r="K1178" s="5">
        <f>IFERROR(__xludf.DUMMYFUNCTION("""COMPUTED_VALUE"""),2199.63)</f>
        <v>2199.63</v>
      </c>
      <c r="L1178" s="4">
        <f>IFERROR(__xludf.DUMMYFUNCTION("""COMPUTED_VALUE"""),7.0)</f>
        <v>7</v>
      </c>
      <c r="M1178" s="4">
        <f>IFERROR(__xludf.DUMMYFUNCTION("""COMPUTED_VALUE"""),91.0)</f>
        <v>91</v>
      </c>
      <c r="N1178" s="2" t="str">
        <f>IFERROR(__xludf.DUMMYFUNCTION("""COMPUTED_VALUE"""),"VERDADERO")</f>
        <v>VERDADERO</v>
      </c>
    </row>
    <row r="1179">
      <c r="A1179" s="2">
        <f>IFERROR(__xludf.DUMMYFUNCTION("""COMPUTED_VALUE"""),1178.0)</f>
        <v>1178</v>
      </c>
      <c r="B1179" s="2" t="str">
        <f>IFERROR(__xludf.DUMMYFUNCTION("""COMPUTED_VALUE"""),"Jackelyn Ickovitz")</f>
        <v>Jackelyn Ickovitz</v>
      </c>
      <c r="C1179" s="2" t="str">
        <f>IFERROR(__xludf.DUMMYFUNCTION("""COMPUTED_VALUE"""),"jickovitz4y@europa.eu")</f>
        <v>jickovitz4y@europa.eu</v>
      </c>
      <c r="D1179" s="4">
        <f>IFERROR(__xludf.DUMMYFUNCTION("""COMPUTED_VALUE"""),93.0)</f>
        <v>93</v>
      </c>
      <c r="E1179" s="4">
        <f>IFERROR(__xludf.DUMMYFUNCTION("""COMPUTED_VALUE"""),119.0)</f>
        <v>119</v>
      </c>
      <c r="F1179" s="4">
        <f>IFERROR(__xludf.DUMMYFUNCTION("""COMPUTED_VALUE"""),9.0)</f>
        <v>9</v>
      </c>
      <c r="G1179" s="4">
        <f>IFERROR(__xludf.DUMMYFUNCTION("""COMPUTED_VALUE"""),627.0)</f>
        <v>627</v>
      </c>
      <c r="H1179" s="5">
        <f>IFERROR(__xludf.DUMMYFUNCTION("""COMPUTED_VALUE"""),7668.73)</f>
        <v>7668.73</v>
      </c>
      <c r="I1179" s="5">
        <f>IFERROR(__xludf.DUMMYFUNCTION("""COMPUTED_VALUE"""),9572.8)</f>
        <v>9572.8</v>
      </c>
      <c r="J1179" s="5">
        <f>IFERROR(__xludf.DUMMYFUNCTION("""COMPUTED_VALUE"""),453.39)</f>
        <v>453.39</v>
      </c>
      <c r="K1179" s="5">
        <f>IFERROR(__xludf.DUMMYFUNCTION("""COMPUTED_VALUE"""),962.58)</f>
        <v>962.58</v>
      </c>
      <c r="L1179" s="4">
        <f>IFERROR(__xludf.DUMMYFUNCTION("""COMPUTED_VALUE"""),19.0)</f>
        <v>19</v>
      </c>
      <c r="M1179" s="4">
        <f>IFERROR(__xludf.DUMMYFUNCTION("""COMPUTED_VALUE"""),92.0)</f>
        <v>92</v>
      </c>
      <c r="N1179" s="2" t="str">
        <f>IFERROR(__xludf.DUMMYFUNCTION("""COMPUTED_VALUE"""),"FALSO")</f>
        <v>FALSO</v>
      </c>
    </row>
    <row r="1180">
      <c r="A1180" s="2">
        <f>IFERROR(__xludf.DUMMYFUNCTION("""COMPUTED_VALUE"""),1179.0)</f>
        <v>1179</v>
      </c>
      <c r="B1180" s="2" t="str">
        <f>IFERROR(__xludf.DUMMYFUNCTION("""COMPUTED_VALUE"""),"Jennie Elvy")</f>
        <v>Jennie Elvy</v>
      </c>
      <c r="C1180" s="2" t="str">
        <f>IFERROR(__xludf.DUMMYFUNCTION("""COMPUTED_VALUE"""),"jelvy4z@mozilla.org")</f>
        <v>jelvy4z@mozilla.org</v>
      </c>
      <c r="D1180" s="4">
        <f>IFERROR(__xludf.DUMMYFUNCTION("""COMPUTED_VALUE"""),68.0)</f>
        <v>68</v>
      </c>
      <c r="E1180" s="4">
        <f>IFERROR(__xludf.DUMMYFUNCTION("""COMPUTED_VALUE"""),66.0)</f>
        <v>66</v>
      </c>
      <c r="F1180" s="4">
        <f>IFERROR(__xludf.DUMMYFUNCTION("""COMPUTED_VALUE"""),6.0)</f>
        <v>6</v>
      </c>
      <c r="G1180" s="4">
        <f>IFERROR(__xludf.DUMMYFUNCTION("""COMPUTED_VALUE"""),1310.0)</f>
        <v>1310</v>
      </c>
      <c r="H1180" s="5">
        <f>IFERROR(__xludf.DUMMYFUNCTION("""COMPUTED_VALUE"""),6792.18)</f>
        <v>6792.18</v>
      </c>
      <c r="I1180" s="5">
        <f>IFERROR(__xludf.DUMMYFUNCTION("""COMPUTED_VALUE"""),7046.49)</f>
        <v>7046.49</v>
      </c>
      <c r="J1180" s="5">
        <f>IFERROR(__xludf.DUMMYFUNCTION("""COMPUTED_VALUE"""),8741.23)</f>
        <v>8741.23</v>
      </c>
      <c r="K1180" s="5">
        <f>IFERROR(__xludf.DUMMYFUNCTION("""COMPUTED_VALUE"""),8475.77)</f>
        <v>8475.77</v>
      </c>
      <c r="L1180" s="4">
        <f>IFERROR(__xludf.DUMMYFUNCTION("""COMPUTED_VALUE"""),18.0)</f>
        <v>18</v>
      </c>
      <c r="M1180" s="4">
        <f>IFERROR(__xludf.DUMMYFUNCTION("""COMPUTED_VALUE"""),87.0)</f>
        <v>87</v>
      </c>
      <c r="N1180" s="2" t="str">
        <f>IFERROR(__xludf.DUMMYFUNCTION("""COMPUTED_VALUE"""),"VERDADERO")</f>
        <v>VERDADERO</v>
      </c>
    </row>
    <row r="1181">
      <c r="A1181" s="2">
        <f>IFERROR(__xludf.DUMMYFUNCTION("""COMPUTED_VALUE"""),1180.0)</f>
        <v>1180</v>
      </c>
      <c r="B1181" s="2" t="str">
        <f>IFERROR(__xludf.DUMMYFUNCTION("""COMPUTED_VALUE"""),"Wilek Master")</f>
        <v>Wilek Master</v>
      </c>
      <c r="C1181" s="2" t="str">
        <f>IFERROR(__xludf.DUMMYFUNCTION("""COMPUTED_VALUE"""),"wmaster50@ow.ly")</f>
        <v>wmaster50@ow.ly</v>
      </c>
      <c r="D1181" s="4">
        <f>IFERROR(__xludf.DUMMYFUNCTION("""COMPUTED_VALUE"""),24.0)</f>
        <v>24</v>
      </c>
      <c r="E1181" s="4">
        <f>IFERROR(__xludf.DUMMYFUNCTION("""COMPUTED_VALUE"""),65.0)</f>
        <v>65</v>
      </c>
      <c r="F1181" s="4">
        <f>IFERROR(__xludf.DUMMYFUNCTION("""COMPUTED_VALUE"""),9.0)</f>
        <v>9</v>
      </c>
      <c r="G1181" s="4">
        <f>IFERROR(__xludf.DUMMYFUNCTION("""COMPUTED_VALUE"""),595.0)</f>
        <v>595</v>
      </c>
      <c r="H1181" s="5">
        <f>IFERROR(__xludf.DUMMYFUNCTION("""COMPUTED_VALUE"""),1649.88)</f>
        <v>1649.88</v>
      </c>
      <c r="I1181" s="5">
        <f>IFERROR(__xludf.DUMMYFUNCTION("""COMPUTED_VALUE"""),7923.04)</f>
        <v>7923.04</v>
      </c>
      <c r="J1181" s="5">
        <f>IFERROR(__xludf.DUMMYFUNCTION("""COMPUTED_VALUE"""),891.45)</f>
        <v>891.45</v>
      </c>
      <c r="K1181" s="5">
        <f>IFERROR(__xludf.DUMMYFUNCTION("""COMPUTED_VALUE"""),8202.35)</f>
        <v>8202.35</v>
      </c>
      <c r="L1181" s="4">
        <f>IFERROR(__xludf.DUMMYFUNCTION("""COMPUTED_VALUE"""),9.0)</f>
        <v>9</v>
      </c>
      <c r="M1181" s="4">
        <f>IFERROR(__xludf.DUMMYFUNCTION("""COMPUTED_VALUE"""),1.0)</f>
        <v>1</v>
      </c>
      <c r="N1181" s="2" t="str">
        <f>IFERROR(__xludf.DUMMYFUNCTION("""COMPUTED_VALUE"""),"VERDADERO")</f>
        <v>VERDADERO</v>
      </c>
    </row>
    <row r="1182">
      <c r="A1182" s="2">
        <f>IFERROR(__xludf.DUMMYFUNCTION("""COMPUTED_VALUE"""),1181.0)</f>
        <v>1181</v>
      </c>
      <c r="B1182" s="2" t="str">
        <f>IFERROR(__xludf.DUMMYFUNCTION("""COMPUTED_VALUE"""),"Stanton Dilland")</f>
        <v>Stanton Dilland</v>
      </c>
      <c r="C1182" s="2" t="str">
        <f>IFERROR(__xludf.DUMMYFUNCTION("""COMPUTED_VALUE"""),"sdilland51@newyorker.com")</f>
        <v>sdilland51@newyorker.com</v>
      </c>
      <c r="D1182" s="4">
        <f>IFERROR(__xludf.DUMMYFUNCTION("""COMPUTED_VALUE"""),124.0)</f>
        <v>124</v>
      </c>
      <c r="E1182" s="4">
        <f>IFERROR(__xludf.DUMMYFUNCTION("""COMPUTED_VALUE"""),66.0)</f>
        <v>66</v>
      </c>
      <c r="F1182" s="4">
        <f>IFERROR(__xludf.DUMMYFUNCTION("""COMPUTED_VALUE"""),6.0)</f>
        <v>6</v>
      </c>
      <c r="G1182" s="4">
        <f>IFERROR(__xludf.DUMMYFUNCTION("""COMPUTED_VALUE"""),105.0)</f>
        <v>105</v>
      </c>
      <c r="H1182" s="5">
        <f>IFERROR(__xludf.DUMMYFUNCTION("""COMPUTED_VALUE"""),1609.06)</f>
        <v>1609.06</v>
      </c>
      <c r="I1182" s="5">
        <f>IFERROR(__xludf.DUMMYFUNCTION("""COMPUTED_VALUE"""),6361.97)</f>
        <v>6361.97</v>
      </c>
      <c r="J1182" s="5">
        <f>IFERROR(__xludf.DUMMYFUNCTION("""COMPUTED_VALUE"""),1640.15)</f>
        <v>1640.15</v>
      </c>
      <c r="K1182" s="5">
        <f>IFERROR(__xludf.DUMMYFUNCTION("""COMPUTED_VALUE"""),8278.62)</f>
        <v>8278.62</v>
      </c>
      <c r="L1182" s="4">
        <f>IFERROR(__xludf.DUMMYFUNCTION("""COMPUTED_VALUE"""),19.0)</f>
        <v>19</v>
      </c>
      <c r="M1182" s="4">
        <f>IFERROR(__xludf.DUMMYFUNCTION("""COMPUTED_VALUE"""),7.0)</f>
        <v>7</v>
      </c>
      <c r="N1182" s="2" t="str">
        <f>IFERROR(__xludf.DUMMYFUNCTION("""COMPUTED_VALUE"""),"FALSO")</f>
        <v>FALSO</v>
      </c>
    </row>
    <row r="1183">
      <c r="A1183" s="2">
        <f>IFERROR(__xludf.DUMMYFUNCTION("""COMPUTED_VALUE"""),1182.0)</f>
        <v>1182</v>
      </c>
      <c r="B1183" s="2" t="str">
        <f>IFERROR(__xludf.DUMMYFUNCTION("""COMPUTED_VALUE"""),"Duky Goodridge")</f>
        <v>Duky Goodridge</v>
      </c>
      <c r="C1183" s="2" t="str">
        <f>IFERROR(__xludf.DUMMYFUNCTION("""COMPUTED_VALUE"""),"dgoodridge52@delicious.com")</f>
        <v>dgoodridge52@delicious.com</v>
      </c>
      <c r="D1183" s="4">
        <f>IFERROR(__xludf.DUMMYFUNCTION("""COMPUTED_VALUE"""),121.0)</f>
        <v>121</v>
      </c>
      <c r="E1183" s="4">
        <f>IFERROR(__xludf.DUMMYFUNCTION("""COMPUTED_VALUE"""),55.0)</f>
        <v>55</v>
      </c>
      <c r="F1183" s="4">
        <f>IFERROR(__xludf.DUMMYFUNCTION("""COMPUTED_VALUE"""),8.0)</f>
        <v>8</v>
      </c>
      <c r="G1183" s="4">
        <f>IFERROR(__xludf.DUMMYFUNCTION("""COMPUTED_VALUE"""),366.0)</f>
        <v>366</v>
      </c>
      <c r="H1183" s="5">
        <f>IFERROR(__xludf.DUMMYFUNCTION("""COMPUTED_VALUE"""),7428.37)</f>
        <v>7428.37</v>
      </c>
      <c r="I1183" s="5">
        <f>IFERROR(__xludf.DUMMYFUNCTION("""COMPUTED_VALUE"""),4477.98)</f>
        <v>4477.98</v>
      </c>
      <c r="J1183" s="5">
        <f>IFERROR(__xludf.DUMMYFUNCTION("""COMPUTED_VALUE"""),5482.45)</f>
        <v>5482.45</v>
      </c>
      <c r="K1183" s="5">
        <f>IFERROR(__xludf.DUMMYFUNCTION("""COMPUTED_VALUE"""),5356.05)</f>
        <v>5356.05</v>
      </c>
      <c r="L1183" s="4">
        <f>IFERROR(__xludf.DUMMYFUNCTION("""COMPUTED_VALUE"""),5.0)</f>
        <v>5</v>
      </c>
      <c r="M1183" s="4">
        <f>IFERROR(__xludf.DUMMYFUNCTION("""COMPUTED_VALUE"""),40.0)</f>
        <v>40</v>
      </c>
      <c r="N1183" s="2" t="str">
        <f>IFERROR(__xludf.DUMMYFUNCTION("""COMPUTED_VALUE"""),"VERDADERO")</f>
        <v>VERDADERO</v>
      </c>
    </row>
    <row r="1184">
      <c r="A1184" s="2">
        <f>IFERROR(__xludf.DUMMYFUNCTION("""COMPUTED_VALUE"""),1183.0)</f>
        <v>1183</v>
      </c>
      <c r="B1184" s="2" t="str">
        <f>IFERROR(__xludf.DUMMYFUNCTION("""COMPUTED_VALUE"""),"Meridel Smithin")</f>
        <v>Meridel Smithin</v>
      </c>
      <c r="C1184" s="2" t="str">
        <f>IFERROR(__xludf.DUMMYFUNCTION("""COMPUTED_VALUE"""),"msmithin53@census.gov")</f>
        <v>msmithin53@census.gov</v>
      </c>
      <c r="D1184" s="4">
        <f>IFERROR(__xludf.DUMMYFUNCTION("""COMPUTED_VALUE"""),29.0)</f>
        <v>29</v>
      </c>
      <c r="E1184" s="4">
        <f>IFERROR(__xludf.DUMMYFUNCTION("""COMPUTED_VALUE"""),81.0)</f>
        <v>81</v>
      </c>
      <c r="F1184" s="4">
        <f>IFERROR(__xludf.DUMMYFUNCTION("""COMPUTED_VALUE"""),2.0)</f>
        <v>2</v>
      </c>
      <c r="G1184" s="4">
        <f>IFERROR(__xludf.DUMMYFUNCTION("""COMPUTED_VALUE"""),561.0)</f>
        <v>561</v>
      </c>
      <c r="H1184" s="5">
        <f>IFERROR(__xludf.DUMMYFUNCTION("""COMPUTED_VALUE"""),6489.15)</f>
        <v>6489.15</v>
      </c>
      <c r="I1184" s="5">
        <f>IFERROR(__xludf.DUMMYFUNCTION("""COMPUTED_VALUE"""),5634.99)</f>
        <v>5634.99</v>
      </c>
      <c r="J1184" s="5">
        <f>IFERROR(__xludf.DUMMYFUNCTION("""COMPUTED_VALUE"""),5648.45)</f>
        <v>5648.45</v>
      </c>
      <c r="K1184" s="5">
        <f>IFERROR(__xludf.DUMMYFUNCTION("""COMPUTED_VALUE"""),408.93)</f>
        <v>408.93</v>
      </c>
      <c r="L1184" s="4">
        <f>IFERROR(__xludf.DUMMYFUNCTION("""COMPUTED_VALUE"""),1.0)</f>
        <v>1</v>
      </c>
      <c r="M1184" s="4">
        <f>IFERROR(__xludf.DUMMYFUNCTION("""COMPUTED_VALUE"""),97.0)</f>
        <v>97</v>
      </c>
      <c r="N1184" s="2" t="str">
        <f>IFERROR(__xludf.DUMMYFUNCTION("""COMPUTED_VALUE"""),"VERDADERO")</f>
        <v>VERDADERO</v>
      </c>
    </row>
    <row r="1185">
      <c r="A1185" s="2">
        <f>IFERROR(__xludf.DUMMYFUNCTION("""COMPUTED_VALUE"""),1184.0)</f>
        <v>1184</v>
      </c>
      <c r="B1185" s="2" t="str">
        <f>IFERROR(__xludf.DUMMYFUNCTION("""COMPUTED_VALUE"""),"Sayer Austen")</f>
        <v>Sayer Austen</v>
      </c>
      <c r="C1185" s="2" t="str">
        <f>IFERROR(__xludf.DUMMYFUNCTION("""COMPUTED_VALUE"""),"sausten54@weibo.com")</f>
        <v>sausten54@weibo.com</v>
      </c>
      <c r="D1185" s="4">
        <f>IFERROR(__xludf.DUMMYFUNCTION("""COMPUTED_VALUE"""),121.0)</f>
        <v>121</v>
      </c>
      <c r="E1185" s="4">
        <f>IFERROR(__xludf.DUMMYFUNCTION("""COMPUTED_VALUE"""),81.0)</f>
        <v>81</v>
      </c>
      <c r="F1185" s="4">
        <f>IFERROR(__xludf.DUMMYFUNCTION("""COMPUTED_VALUE"""),2.0)</f>
        <v>2</v>
      </c>
      <c r="G1185" s="4">
        <f>IFERROR(__xludf.DUMMYFUNCTION("""COMPUTED_VALUE"""),1557.0)</f>
        <v>1557</v>
      </c>
      <c r="H1185" s="5">
        <f>IFERROR(__xludf.DUMMYFUNCTION("""COMPUTED_VALUE"""),5445.09)</f>
        <v>5445.09</v>
      </c>
      <c r="I1185" s="5">
        <f>IFERROR(__xludf.DUMMYFUNCTION("""COMPUTED_VALUE"""),2524.3)</f>
        <v>2524.3</v>
      </c>
      <c r="J1185" s="5">
        <f>IFERROR(__xludf.DUMMYFUNCTION("""COMPUTED_VALUE"""),2264.14)</f>
        <v>2264.14</v>
      </c>
      <c r="K1185" s="5">
        <f>IFERROR(__xludf.DUMMYFUNCTION("""COMPUTED_VALUE"""),8694.43)</f>
        <v>8694.43</v>
      </c>
      <c r="L1185" s="4">
        <f>IFERROR(__xludf.DUMMYFUNCTION("""COMPUTED_VALUE"""),6.0)</f>
        <v>6</v>
      </c>
      <c r="M1185" s="4">
        <f>IFERROR(__xludf.DUMMYFUNCTION("""COMPUTED_VALUE"""),62.0)</f>
        <v>62</v>
      </c>
      <c r="N1185" s="2" t="str">
        <f>IFERROR(__xludf.DUMMYFUNCTION("""COMPUTED_VALUE"""),"VERDADERO")</f>
        <v>VERDADERO</v>
      </c>
    </row>
    <row r="1186">
      <c r="A1186" s="2">
        <f>IFERROR(__xludf.DUMMYFUNCTION("""COMPUTED_VALUE"""),1185.0)</f>
        <v>1185</v>
      </c>
      <c r="B1186" s="2" t="str">
        <f>IFERROR(__xludf.DUMMYFUNCTION("""COMPUTED_VALUE"""),"Isa Jobson")</f>
        <v>Isa Jobson</v>
      </c>
      <c r="C1186" s="2" t="str">
        <f>IFERROR(__xludf.DUMMYFUNCTION("""COMPUTED_VALUE"""),"ijobson55@lulu.com")</f>
        <v>ijobson55@lulu.com</v>
      </c>
      <c r="D1186" s="4">
        <f>IFERROR(__xludf.DUMMYFUNCTION("""COMPUTED_VALUE"""),29.0)</f>
        <v>29</v>
      </c>
      <c r="E1186" s="4">
        <f>IFERROR(__xludf.DUMMYFUNCTION("""COMPUTED_VALUE"""),66.0)</f>
        <v>66</v>
      </c>
      <c r="F1186" s="4">
        <f>IFERROR(__xludf.DUMMYFUNCTION("""COMPUTED_VALUE"""),6.0)</f>
        <v>6</v>
      </c>
      <c r="G1186" s="4">
        <f>IFERROR(__xludf.DUMMYFUNCTION("""COMPUTED_VALUE"""),15.0)</f>
        <v>15</v>
      </c>
      <c r="H1186" s="5">
        <f>IFERROR(__xludf.DUMMYFUNCTION("""COMPUTED_VALUE"""),3993.23)</f>
        <v>3993.23</v>
      </c>
      <c r="I1186" s="5">
        <f>IFERROR(__xludf.DUMMYFUNCTION("""COMPUTED_VALUE"""),452.01)</f>
        <v>452.01</v>
      </c>
      <c r="J1186" s="5">
        <f>IFERROR(__xludf.DUMMYFUNCTION("""COMPUTED_VALUE"""),156.19)</f>
        <v>156.19</v>
      </c>
      <c r="K1186" s="5">
        <f>IFERROR(__xludf.DUMMYFUNCTION("""COMPUTED_VALUE"""),6678.63)</f>
        <v>6678.63</v>
      </c>
      <c r="L1186" s="4">
        <f>IFERROR(__xludf.DUMMYFUNCTION("""COMPUTED_VALUE"""),9.0)</f>
        <v>9</v>
      </c>
      <c r="M1186" s="4">
        <f>IFERROR(__xludf.DUMMYFUNCTION("""COMPUTED_VALUE"""),19.0)</f>
        <v>19</v>
      </c>
      <c r="N1186" s="2" t="str">
        <f>IFERROR(__xludf.DUMMYFUNCTION("""COMPUTED_VALUE"""),"VERDADERO")</f>
        <v>VERDADERO</v>
      </c>
    </row>
    <row r="1187">
      <c r="A1187" s="2">
        <f>IFERROR(__xludf.DUMMYFUNCTION("""COMPUTED_VALUE"""),1186.0)</f>
        <v>1186</v>
      </c>
      <c r="B1187" s="2" t="str">
        <f>IFERROR(__xludf.DUMMYFUNCTION("""COMPUTED_VALUE"""),"Cordula Watkiss")</f>
        <v>Cordula Watkiss</v>
      </c>
      <c r="C1187" s="2" t="str">
        <f>IFERROR(__xludf.DUMMYFUNCTION("""COMPUTED_VALUE"""),"cwatkiss56@virginia.edu")</f>
        <v>cwatkiss56@virginia.edu</v>
      </c>
      <c r="D1187" s="4">
        <f>IFERROR(__xludf.DUMMYFUNCTION("""COMPUTED_VALUE"""),157.0)</f>
        <v>157</v>
      </c>
      <c r="E1187" s="4">
        <f>IFERROR(__xludf.DUMMYFUNCTION("""COMPUTED_VALUE"""),48.0)</f>
        <v>48</v>
      </c>
      <c r="F1187" s="4">
        <f>IFERROR(__xludf.DUMMYFUNCTION("""COMPUTED_VALUE"""),4.0)</f>
        <v>4</v>
      </c>
      <c r="G1187" s="4">
        <f>IFERROR(__xludf.DUMMYFUNCTION("""COMPUTED_VALUE"""),63.0)</f>
        <v>63</v>
      </c>
      <c r="H1187" s="5">
        <f>IFERROR(__xludf.DUMMYFUNCTION("""COMPUTED_VALUE"""),1650.15)</f>
        <v>1650.15</v>
      </c>
      <c r="I1187" s="5">
        <f>IFERROR(__xludf.DUMMYFUNCTION("""COMPUTED_VALUE"""),5205.32)</f>
        <v>5205.32</v>
      </c>
      <c r="J1187" s="5">
        <f>IFERROR(__xludf.DUMMYFUNCTION("""COMPUTED_VALUE"""),9354.12)</f>
        <v>9354.12</v>
      </c>
      <c r="K1187" s="5">
        <f>IFERROR(__xludf.DUMMYFUNCTION("""COMPUTED_VALUE"""),8935.47)</f>
        <v>8935.47</v>
      </c>
      <c r="L1187" s="4">
        <f>IFERROR(__xludf.DUMMYFUNCTION("""COMPUTED_VALUE"""),6.0)</f>
        <v>6</v>
      </c>
      <c r="M1187" s="4">
        <f>IFERROR(__xludf.DUMMYFUNCTION("""COMPUTED_VALUE"""),15.0)</f>
        <v>15</v>
      </c>
      <c r="N1187" s="2" t="str">
        <f>IFERROR(__xludf.DUMMYFUNCTION("""COMPUTED_VALUE"""),"FALSO")</f>
        <v>FALSO</v>
      </c>
    </row>
    <row r="1188">
      <c r="A1188" s="2">
        <f>IFERROR(__xludf.DUMMYFUNCTION("""COMPUTED_VALUE"""),1187.0)</f>
        <v>1187</v>
      </c>
      <c r="B1188" s="2" t="str">
        <f>IFERROR(__xludf.DUMMYFUNCTION("""COMPUTED_VALUE"""),"Kathy Walbrook")</f>
        <v>Kathy Walbrook</v>
      </c>
      <c r="C1188" s="2" t="str">
        <f>IFERROR(__xludf.DUMMYFUNCTION("""COMPUTED_VALUE"""),"kwalbrook57@odnoklassniki.ru")</f>
        <v>kwalbrook57@odnoklassniki.ru</v>
      </c>
      <c r="D1188" s="4">
        <f>IFERROR(__xludf.DUMMYFUNCTION("""COMPUTED_VALUE"""),29.0)</f>
        <v>29</v>
      </c>
      <c r="E1188" s="4">
        <f>IFERROR(__xludf.DUMMYFUNCTION("""COMPUTED_VALUE"""),37.0)</f>
        <v>37</v>
      </c>
      <c r="F1188" s="4">
        <f>IFERROR(__xludf.DUMMYFUNCTION("""COMPUTED_VALUE"""),11.0)</f>
        <v>11</v>
      </c>
      <c r="G1188" s="4">
        <f>IFERROR(__xludf.DUMMYFUNCTION("""COMPUTED_VALUE"""),34.0)</f>
        <v>34</v>
      </c>
      <c r="H1188" s="5">
        <f>IFERROR(__xludf.DUMMYFUNCTION("""COMPUTED_VALUE"""),4813.19)</f>
        <v>4813.19</v>
      </c>
      <c r="I1188" s="5">
        <f>IFERROR(__xludf.DUMMYFUNCTION("""COMPUTED_VALUE"""),2617.31)</f>
        <v>2617.31</v>
      </c>
      <c r="J1188" s="5">
        <f>IFERROR(__xludf.DUMMYFUNCTION("""COMPUTED_VALUE"""),991.53)</f>
        <v>991.53</v>
      </c>
      <c r="K1188" s="5">
        <f>IFERROR(__xludf.DUMMYFUNCTION("""COMPUTED_VALUE"""),5225.71)</f>
        <v>5225.71</v>
      </c>
      <c r="L1188" s="4">
        <f>IFERROR(__xludf.DUMMYFUNCTION("""COMPUTED_VALUE"""),9.0)</f>
        <v>9</v>
      </c>
      <c r="M1188" s="4">
        <f>IFERROR(__xludf.DUMMYFUNCTION("""COMPUTED_VALUE"""),24.0)</f>
        <v>24</v>
      </c>
      <c r="N1188" s="2" t="str">
        <f>IFERROR(__xludf.DUMMYFUNCTION("""COMPUTED_VALUE"""),"FALSO")</f>
        <v>FALSO</v>
      </c>
    </row>
    <row r="1189">
      <c r="A1189" s="2">
        <f>IFERROR(__xludf.DUMMYFUNCTION("""COMPUTED_VALUE"""),1188.0)</f>
        <v>1188</v>
      </c>
      <c r="B1189" s="2" t="str">
        <f>IFERROR(__xludf.DUMMYFUNCTION("""COMPUTED_VALUE"""),"Krisha Trusslove")</f>
        <v>Krisha Trusslove</v>
      </c>
      <c r="C1189" s="2" t="str">
        <f>IFERROR(__xludf.DUMMYFUNCTION("""COMPUTED_VALUE"""),"ktrusslove58@adobe.com")</f>
        <v>ktrusslove58@adobe.com</v>
      </c>
      <c r="D1189" s="4">
        <f>IFERROR(__xludf.DUMMYFUNCTION("""COMPUTED_VALUE"""),19.0)</f>
        <v>19</v>
      </c>
      <c r="E1189" s="4">
        <f>IFERROR(__xludf.DUMMYFUNCTION("""COMPUTED_VALUE"""),23.0)</f>
        <v>23</v>
      </c>
      <c r="F1189" s="4">
        <f>IFERROR(__xludf.DUMMYFUNCTION("""COMPUTED_VALUE"""),5.0)</f>
        <v>5</v>
      </c>
      <c r="G1189" s="4">
        <f>IFERROR(__xludf.DUMMYFUNCTION("""COMPUTED_VALUE"""),1512.0)</f>
        <v>1512</v>
      </c>
      <c r="H1189" s="5">
        <f>IFERROR(__xludf.DUMMYFUNCTION("""COMPUTED_VALUE"""),1913.65)</f>
        <v>1913.65</v>
      </c>
      <c r="I1189" s="5">
        <f>IFERROR(__xludf.DUMMYFUNCTION("""COMPUTED_VALUE"""),8963.29)</f>
        <v>8963.29</v>
      </c>
      <c r="J1189" s="5">
        <f>IFERROR(__xludf.DUMMYFUNCTION("""COMPUTED_VALUE"""),2325.71)</f>
        <v>2325.71</v>
      </c>
      <c r="K1189" s="5">
        <f>IFERROR(__xludf.DUMMYFUNCTION("""COMPUTED_VALUE"""),9275.66)</f>
        <v>9275.66</v>
      </c>
      <c r="L1189" s="4">
        <f>IFERROR(__xludf.DUMMYFUNCTION("""COMPUTED_VALUE"""),10.0)</f>
        <v>10</v>
      </c>
      <c r="M1189" s="4">
        <f>IFERROR(__xludf.DUMMYFUNCTION("""COMPUTED_VALUE"""),33.0)</f>
        <v>33</v>
      </c>
      <c r="N1189" s="2" t="str">
        <f>IFERROR(__xludf.DUMMYFUNCTION("""COMPUTED_VALUE"""),"FALSO")</f>
        <v>FALSO</v>
      </c>
    </row>
    <row r="1190">
      <c r="A1190" s="2">
        <f>IFERROR(__xludf.DUMMYFUNCTION("""COMPUTED_VALUE"""),1189.0)</f>
        <v>1189</v>
      </c>
      <c r="B1190" s="2" t="str">
        <f>IFERROR(__xludf.DUMMYFUNCTION("""COMPUTED_VALUE"""),"Nataline Furmagier")</f>
        <v>Nataline Furmagier</v>
      </c>
      <c r="C1190" s="2" t="str">
        <f>IFERROR(__xludf.DUMMYFUNCTION("""COMPUTED_VALUE"""),"nfurmagier59@amazon.co.uk")</f>
        <v>nfurmagier59@amazon.co.uk</v>
      </c>
      <c r="D1190" s="4">
        <f>IFERROR(__xludf.DUMMYFUNCTION("""COMPUTED_VALUE"""),157.0)</f>
        <v>157</v>
      </c>
      <c r="E1190" s="4">
        <f>IFERROR(__xludf.DUMMYFUNCTION("""COMPUTED_VALUE"""),109.0)</f>
        <v>109</v>
      </c>
      <c r="F1190" s="4">
        <f>IFERROR(__xludf.DUMMYFUNCTION("""COMPUTED_VALUE"""),5.0)</f>
        <v>5</v>
      </c>
      <c r="G1190" s="4">
        <f>IFERROR(__xludf.DUMMYFUNCTION("""COMPUTED_VALUE"""),1388.0)</f>
        <v>1388</v>
      </c>
      <c r="H1190" s="5">
        <f>IFERROR(__xludf.DUMMYFUNCTION("""COMPUTED_VALUE"""),575.96)</f>
        <v>575.96</v>
      </c>
      <c r="I1190" s="5">
        <f>IFERROR(__xludf.DUMMYFUNCTION("""COMPUTED_VALUE"""),2608.87)</f>
        <v>2608.87</v>
      </c>
      <c r="J1190" s="5">
        <f>IFERROR(__xludf.DUMMYFUNCTION("""COMPUTED_VALUE"""),3519.2)</f>
        <v>3519.2</v>
      </c>
      <c r="K1190" s="5">
        <f>IFERROR(__xludf.DUMMYFUNCTION("""COMPUTED_VALUE"""),3137.63)</f>
        <v>3137.63</v>
      </c>
      <c r="L1190" s="4">
        <f>IFERROR(__xludf.DUMMYFUNCTION("""COMPUTED_VALUE"""),6.0)</f>
        <v>6</v>
      </c>
      <c r="M1190" s="4">
        <f>IFERROR(__xludf.DUMMYFUNCTION("""COMPUTED_VALUE"""),63.0)</f>
        <v>63</v>
      </c>
      <c r="N1190" s="2" t="str">
        <f>IFERROR(__xludf.DUMMYFUNCTION("""COMPUTED_VALUE"""),"VERDADERO")</f>
        <v>VERDADERO</v>
      </c>
    </row>
    <row r="1191">
      <c r="A1191" s="2">
        <f>IFERROR(__xludf.DUMMYFUNCTION("""COMPUTED_VALUE"""),1190.0)</f>
        <v>1190</v>
      </c>
      <c r="B1191" s="2" t="str">
        <f>IFERROR(__xludf.DUMMYFUNCTION("""COMPUTED_VALUE"""),"Jacintha Gusticke")</f>
        <v>Jacintha Gusticke</v>
      </c>
      <c r="C1191" s="2" t="str">
        <f>IFERROR(__xludf.DUMMYFUNCTION("""COMPUTED_VALUE"""),"jgusticke5a@posterous.com")</f>
        <v>jgusticke5a@posterous.com</v>
      </c>
      <c r="D1191" s="4">
        <f>IFERROR(__xludf.DUMMYFUNCTION("""COMPUTED_VALUE"""),72.0)</f>
        <v>72</v>
      </c>
      <c r="E1191" s="4">
        <f>IFERROR(__xludf.DUMMYFUNCTION("""COMPUTED_VALUE"""),81.0)</f>
        <v>81</v>
      </c>
      <c r="F1191" s="4">
        <f>IFERROR(__xludf.DUMMYFUNCTION("""COMPUTED_VALUE"""),2.0)</f>
        <v>2</v>
      </c>
      <c r="G1191" s="4">
        <f>IFERROR(__xludf.DUMMYFUNCTION("""COMPUTED_VALUE"""),717.0)</f>
        <v>717</v>
      </c>
      <c r="H1191" s="5">
        <f>IFERROR(__xludf.DUMMYFUNCTION("""COMPUTED_VALUE"""),8750.47)</f>
        <v>8750.47</v>
      </c>
      <c r="I1191" s="5">
        <f>IFERROR(__xludf.DUMMYFUNCTION("""COMPUTED_VALUE"""),9259.67)</f>
        <v>9259.67</v>
      </c>
      <c r="J1191" s="5">
        <f>IFERROR(__xludf.DUMMYFUNCTION("""COMPUTED_VALUE"""),2843.23)</f>
        <v>2843.23</v>
      </c>
      <c r="K1191" s="5">
        <f>IFERROR(__xludf.DUMMYFUNCTION("""COMPUTED_VALUE"""),6711.55)</f>
        <v>6711.55</v>
      </c>
      <c r="L1191" s="4">
        <f>IFERROR(__xludf.DUMMYFUNCTION("""COMPUTED_VALUE"""),15.0)</f>
        <v>15</v>
      </c>
      <c r="M1191" s="4">
        <f>IFERROR(__xludf.DUMMYFUNCTION("""COMPUTED_VALUE"""),39.0)</f>
        <v>39</v>
      </c>
      <c r="N1191" s="2" t="str">
        <f>IFERROR(__xludf.DUMMYFUNCTION("""COMPUTED_VALUE"""),"VERDADERO")</f>
        <v>VERDADERO</v>
      </c>
    </row>
    <row r="1192">
      <c r="A1192" s="2">
        <f>IFERROR(__xludf.DUMMYFUNCTION("""COMPUTED_VALUE"""),1191.0)</f>
        <v>1191</v>
      </c>
      <c r="B1192" s="2" t="str">
        <f>IFERROR(__xludf.DUMMYFUNCTION("""COMPUTED_VALUE"""),"Isabel Watters")</f>
        <v>Isabel Watters</v>
      </c>
      <c r="C1192" s="2" t="str">
        <f>IFERROR(__xludf.DUMMYFUNCTION("""COMPUTED_VALUE"""),"iwatters5b@friendfeed.com")</f>
        <v>iwatters5b@friendfeed.com</v>
      </c>
      <c r="D1192" s="4">
        <f>IFERROR(__xludf.DUMMYFUNCTION("""COMPUTED_VALUE"""),122.0)</f>
        <v>122</v>
      </c>
      <c r="E1192" s="4">
        <f>IFERROR(__xludf.DUMMYFUNCTION("""COMPUTED_VALUE"""),120.0)</f>
        <v>120</v>
      </c>
      <c r="F1192" s="4">
        <f>IFERROR(__xludf.DUMMYFUNCTION("""COMPUTED_VALUE"""),5.0)</f>
        <v>5</v>
      </c>
      <c r="G1192" s="4">
        <f>IFERROR(__xludf.DUMMYFUNCTION("""COMPUTED_VALUE"""),1568.0)</f>
        <v>1568</v>
      </c>
      <c r="H1192" s="5">
        <f>IFERROR(__xludf.DUMMYFUNCTION("""COMPUTED_VALUE"""),6601.47)</f>
        <v>6601.47</v>
      </c>
      <c r="I1192" s="5">
        <f>IFERROR(__xludf.DUMMYFUNCTION("""COMPUTED_VALUE"""),6725.4)</f>
        <v>6725.4</v>
      </c>
      <c r="J1192" s="5">
        <f>IFERROR(__xludf.DUMMYFUNCTION("""COMPUTED_VALUE"""),9505.47)</f>
        <v>9505.47</v>
      </c>
      <c r="K1192" s="5">
        <f>IFERROR(__xludf.DUMMYFUNCTION("""COMPUTED_VALUE"""),1632.88)</f>
        <v>1632.88</v>
      </c>
      <c r="L1192" s="4">
        <f>IFERROR(__xludf.DUMMYFUNCTION("""COMPUTED_VALUE"""),5.0)</f>
        <v>5</v>
      </c>
      <c r="M1192" s="4">
        <f>IFERROR(__xludf.DUMMYFUNCTION("""COMPUTED_VALUE"""),17.0)</f>
        <v>17</v>
      </c>
      <c r="N1192" s="2" t="str">
        <f>IFERROR(__xludf.DUMMYFUNCTION("""COMPUTED_VALUE"""),"FALSO")</f>
        <v>FALSO</v>
      </c>
    </row>
    <row r="1193">
      <c r="A1193" s="2">
        <f>IFERROR(__xludf.DUMMYFUNCTION("""COMPUTED_VALUE"""),1192.0)</f>
        <v>1192</v>
      </c>
      <c r="B1193" s="2" t="str">
        <f>IFERROR(__xludf.DUMMYFUNCTION("""COMPUTED_VALUE"""),"Nanni Skeggs")</f>
        <v>Nanni Skeggs</v>
      </c>
      <c r="C1193" s="2" t="str">
        <f>IFERROR(__xludf.DUMMYFUNCTION("""COMPUTED_VALUE"""),"nskeggs5c@census.gov")</f>
        <v>nskeggs5c@census.gov</v>
      </c>
      <c r="D1193" s="4">
        <f>IFERROR(__xludf.DUMMYFUNCTION("""COMPUTED_VALUE"""),122.0)</f>
        <v>122</v>
      </c>
      <c r="E1193" s="4">
        <f>IFERROR(__xludf.DUMMYFUNCTION("""COMPUTED_VALUE"""),66.0)</f>
        <v>66</v>
      </c>
      <c r="F1193" s="4">
        <f>IFERROR(__xludf.DUMMYFUNCTION("""COMPUTED_VALUE"""),6.0)</f>
        <v>6</v>
      </c>
      <c r="G1193" s="4">
        <f>IFERROR(__xludf.DUMMYFUNCTION("""COMPUTED_VALUE"""),5.0)</f>
        <v>5</v>
      </c>
      <c r="H1193" s="5">
        <f>IFERROR(__xludf.DUMMYFUNCTION("""COMPUTED_VALUE"""),2246.21)</f>
        <v>2246.21</v>
      </c>
      <c r="I1193" s="5">
        <f>IFERROR(__xludf.DUMMYFUNCTION("""COMPUTED_VALUE"""),7013.24)</f>
        <v>7013.24</v>
      </c>
      <c r="J1193" s="5">
        <f>IFERROR(__xludf.DUMMYFUNCTION("""COMPUTED_VALUE"""),1821.34)</f>
        <v>1821.34</v>
      </c>
      <c r="K1193" s="5">
        <f>IFERROR(__xludf.DUMMYFUNCTION("""COMPUTED_VALUE"""),270.8)</f>
        <v>270.8</v>
      </c>
      <c r="L1193" s="4">
        <f>IFERROR(__xludf.DUMMYFUNCTION("""COMPUTED_VALUE"""),15.0)</f>
        <v>15</v>
      </c>
      <c r="M1193" s="4">
        <f>IFERROR(__xludf.DUMMYFUNCTION("""COMPUTED_VALUE"""),49.0)</f>
        <v>49</v>
      </c>
      <c r="N1193" s="2" t="str">
        <f>IFERROR(__xludf.DUMMYFUNCTION("""COMPUTED_VALUE"""),"FALSO")</f>
        <v>FALSO</v>
      </c>
    </row>
    <row r="1194">
      <c r="A1194" s="2">
        <f>IFERROR(__xludf.DUMMYFUNCTION("""COMPUTED_VALUE"""),1193.0)</f>
        <v>1193</v>
      </c>
      <c r="B1194" s="2" t="str">
        <f>IFERROR(__xludf.DUMMYFUNCTION("""COMPUTED_VALUE"""),"Lyndel Sayers")</f>
        <v>Lyndel Sayers</v>
      </c>
      <c r="C1194" s="2" t="str">
        <f>IFERROR(__xludf.DUMMYFUNCTION("""COMPUTED_VALUE"""),"lsayers5d@google.co.jp")</f>
        <v>lsayers5d@google.co.jp</v>
      </c>
      <c r="D1194" s="4">
        <f>IFERROR(__xludf.DUMMYFUNCTION("""COMPUTED_VALUE"""),153.0)</f>
        <v>153</v>
      </c>
      <c r="E1194" s="4">
        <f>IFERROR(__xludf.DUMMYFUNCTION("""COMPUTED_VALUE"""),73.0)</f>
        <v>73</v>
      </c>
      <c r="F1194" s="4">
        <f>IFERROR(__xludf.DUMMYFUNCTION("""COMPUTED_VALUE"""),8.0)</f>
        <v>8</v>
      </c>
      <c r="G1194" s="4">
        <f>IFERROR(__xludf.DUMMYFUNCTION("""COMPUTED_VALUE"""),696.0)</f>
        <v>696</v>
      </c>
      <c r="H1194" s="5">
        <f>IFERROR(__xludf.DUMMYFUNCTION("""COMPUTED_VALUE"""),4780.31)</f>
        <v>4780.31</v>
      </c>
      <c r="I1194" s="5">
        <f>IFERROR(__xludf.DUMMYFUNCTION("""COMPUTED_VALUE"""),5693.11)</f>
        <v>5693.11</v>
      </c>
      <c r="J1194" s="5">
        <f>IFERROR(__xludf.DUMMYFUNCTION("""COMPUTED_VALUE"""),9275.44)</f>
        <v>9275.44</v>
      </c>
      <c r="K1194" s="5">
        <f>IFERROR(__xludf.DUMMYFUNCTION("""COMPUTED_VALUE"""),2404.25)</f>
        <v>2404.25</v>
      </c>
      <c r="L1194" s="4">
        <f>IFERROR(__xludf.DUMMYFUNCTION("""COMPUTED_VALUE"""),15.0)</f>
        <v>15</v>
      </c>
      <c r="M1194" s="4">
        <f>IFERROR(__xludf.DUMMYFUNCTION("""COMPUTED_VALUE"""),95.0)</f>
        <v>95</v>
      </c>
      <c r="N1194" s="2" t="str">
        <f>IFERROR(__xludf.DUMMYFUNCTION("""COMPUTED_VALUE"""),"VERDADERO")</f>
        <v>VERDADERO</v>
      </c>
    </row>
    <row r="1195">
      <c r="A1195" s="2">
        <f>IFERROR(__xludf.DUMMYFUNCTION("""COMPUTED_VALUE"""),1194.0)</f>
        <v>1194</v>
      </c>
      <c r="B1195" s="2" t="str">
        <f>IFERROR(__xludf.DUMMYFUNCTION("""COMPUTED_VALUE"""),"Bride Gratrix")</f>
        <v>Bride Gratrix</v>
      </c>
      <c r="C1195" s="2" t="str">
        <f>IFERROR(__xludf.DUMMYFUNCTION("""COMPUTED_VALUE"""),"bgratrix5e@google.es")</f>
        <v>bgratrix5e@google.es</v>
      </c>
      <c r="D1195" s="4">
        <f>IFERROR(__xludf.DUMMYFUNCTION("""COMPUTED_VALUE"""),29.0)</f>
        <v>29</v>
      </c>
      <c r="E1195" s="4">
        <f>IFERROR(__xludf.DUMMYFUNCTION("""COMPUTED_VALUE"""),107.0)</f>
        <v>107</v>
      </c>
      <c r="F1195" s="4">
        <f>IFERROR(__xludf.DUMMYFUNCTION("""COMPUTED_VALUE"""),5.0)</f>
        <v>5</v>
      </c>
      <c r="G1195" s="4">
        <f>IFERROR(__xludf.DUMMYFUNCTION("""COMPUTED_VALUE"""),506.0)</f>
        <v>506</v>
      </c>
      <c r="H1195" s="5">
        <f>IFERROR(__xludf.DUMMYFUNCTION("""COMPUTED_VALUE"""),8960.33)</f>
        <v>8960.33</v>
      </c>
      <c r="I1195" s="5">
        <f>IFERROR(__xludf.DUMMYFUNCTION("""COMPUTED_VALUE"""),8518.93)</f>
        <v>8518.93</v>
      </c>
      <c r="J1195" s="5">
        <f>IFERROR(__xludf.DUMMYFUNCTION("""COMPUTED_VALUE"""),5388.23)</f>
        <v>5388.23</v>
      </c>
      <c r="K1195" s="5">
        <f>IFERROR(__xludf.DUMMYFUNCTION("""COMPUTED_VALUE"""),5274.6)</f>
        <v>5274.6</v>
      </c>
      <c r="L1195" s="4">
        <f>IFERROR(__xludf.DUMMYFUNCTION("""COMPUTED_VALUE"""),4.0)</f>
        <v>4</v>
      </c>
      <c r="M1195" s="4">
        <f>IFERROR(__xludf.DUMMYFUNCTION("""COMPUTED_VALUE"""),44.0)</f>
        <v>44</v>
      </c>
      <c r="N1195" s="2" t="str">
        <f>IFERROR(__xludf.DUMMYFUNCTION("""COMPUTED_VALUE"""),"FALSO")</f>
        <v>FALSO</v>
      </c>
    </row>
    <row r="1196">
      <c r="A1196" s="2">
        <f>IFERROR(__xludf.DUMMYFUNCTION("""COMPUTED_VALUE"""),1195.0)</f>
        <v>1195</v>
      </c>
      <c r="B1196" s="2" t="str">
        <f>IFERROR(__xludf.DUMMYFUNCTION("""COMPUTED_VALUE"""),"Thaddeus Essame")</f>
        <v>Thaddeus Essame</v>
      </c>
      <c r="C1196" s="2" t="str">
        <f>IFERROR(__xludf.DUMMYFUNCTION("""COMPUTED_VALUE"""),"tessame5f@tiny.cc")</f>
        <v>tessame5f@tiny.cc</v>
      </c>
      <c r="D1196" s="4">
        <f>IFERROR(__xludf.DUMMYFUNCTION("""COMPUTED_VALUE"""),30.0)</f>
        <v>30</v>
      </c>
      <c r="E1196" s="4">
        <f>IFERROR(__xludf.DUMMYFUNCTION("""COMPUTED_VALUE"""),67.0)</f>
        <v>67</v>
      </c>
      <c r="F1196" s="4">
        <f>IFERROR(__xludf.DUMMYFUNCTION("""COMPUTED_VALUE"""),7.0)</f>
        <v>7</v>
      </c>
      <c r="G1196" s="4">
        <f>IFERROR(__xludf.DUMMYFUNCTION("""COMPUTED_VALUE"""),442.0)</f>
        <v>442</v>
      </c>
      <c r="H1196" s="5">
        <f>IFERROR(__xludf.DUMMYFUNCTION("""COMPUTED_VALUE"""),9020.51)</f>
        <v>9020.51</v>
      </c>
      <c r="I1196" s="5">
        <f>IFERROR(__xludf.DUMMYFUNCTION("""COMPUTED_VALUE"""),559.11)</f>
        <v>559.11</v>
      </c>
      <c r="J1196" s="5">
        <f>IFERROR(__xludf.DUMMYFUNCTION("""COMPUTED_VALUE"""),9321.6)</f>
        <v>9321.6</v>
      </c>
      <c r="K1196" s="5">
        <f>IFERROR(__xludf.DUMMYFUNCTION("""COMPUTED_VALUE"""),8064.53)</f>
        <v>8064.53</v>
      </c>
      <c r="L1196" s="4">
        <f>IFERROR(__xludf.DUMMYFUNCTION("""COMPUTED_VALUE"""),12.0)</f>
        <v>12</v>
      </c>
      <c r="M1196" s="4">
        <f>IFERROR(__xludf.DUMMYFUNCTION("""COMPUTED_VALUE"""),4.0)</f>
        <v>4</v>
      </c>
      <c r="N1196" s="2" t="str">
        <f>IFERROR(__xludf.DUMMYFUNCTION("""COMPUTED_VALUE"""),"FALSO")</f>
        <v>FALSO</v>
      </c>
    </row>
    <row r="1197">
      <c r="A1197" s="2">
        <f>IFERROR(__xludf.DUMMYFUNCTION("""COMPUTED_VALUE"""),1196.0)</f>
        <v>1196</v>
      </c>
      <c r="B1197" s="2" t="str">
        <f>IFERROR(__xludf.DUMMYFUNCTION("""COMPUTED_VALUE"""),"Elton Norquay")</f>
        <v>Elton Norquay</v>
      </c>
      <c r="C1197" s="2" t="str">
        <f>IFERROR(__xludf.DUMMYFUNCTION("""COMPUTED_VALUE"""),"enorquay5g@surveymonkey.com")</f>
        <v>enorquay5g@surveymonkey.com</v>
      </c>
      <c r="D1197" s="4">
        <f>IFERROR(__xludf.DUMMYFUNCTION("""COMPUTED_VALUE"""),153.0)</f>
        <v>153</v>
      </c>
      <c r="E1197" s="4">
        <f>IFERROR(__xludf.DUMMYFUNCTION("""COMPUTED_VALUE"""),66.0)</f>
        <v>66</v>
      </c>
      <c r="F1197" s="4">
        <f>IFERROR(__xludf.DUMMYFUNCTION("""COMPUTED_VALUE"""),6.0)</f>
        <v>6</v>
      </c>
      <c r="G1197" s="4">
        <f>IFERROR(__xludf.DUMMYFUNCTION("""COMPUTED_VALUE"""),1076.0)</f>
        <v>1076</v>
      </c>
      <c r="H1197" s="5">
        <f>IFERROR(__xludf.DUMMYFUNCTION("""COMPUTED_VALUE"""),7701.19)</f>
        <v>7701.19</v>
      </c>
      <c r="I1197" s="5">
        <f>IFERROR(__xludf.DUMMYFUNCTION("""COMPUTED_VALUE"""),2230.35)</f>
        <v>2230.35</v>
      </c>
      <c r="J1197" s="5">
        <f>IFERROR(__xludf.DUMMYFUNCTION("""COMPUTED_VALUE"""),5083.38)</f>
        <v>5083.38</v>
      </c>
      <c r="K1197" s="5">
        <f>IFERROR(__xludf.DUMMYFUNCTION("""COMPUTED_VALUE"""),628.24)</f>
        <v>628.24</v>
      </c>
      <c r="L1197" s="4">
        <f>IFERROR(__xludf.DUMMYFUNCTION("""COMPUTED_VALUE"""),7.0)</f>
        <v>7</v>
      </c>
      <c r="M1197" s="4">
        <f>IFERROR(__xludf.DUMMYFUNCTION("""COMPUTED_VALUE"""),98.0)</f>
        <v>98</v>
      </c>
      <c r="N1197" s="2" t="str">
        <f>IFERROR(__xludf.DUMMYFUNCTION("""COMPUTED_VALUE"""),"FALSO")</f>
        <v>FALSO</v>
      </c>
    </row>
    <row r="1198">
      <c r="A1198" s="2">
        <f>IFERROR(__xludf.DUMMYFUNCTION("""COMPUTED_VALUE"""),1197.0)</f>
        <v>1197</v>
      </c>
      <c r="B1198" s="2" t="str">
        <f>IFERROR(__xludf.DUMMYFUNCTION("""COMPUTED_VALUE"""),"Boniface Geffcock")</f>
        <v>Boniface Geffcock</v>
      </c>
      <c r="C1198" s="2" t="str">
        <f>IFERROR(__xludf.DUMMYFUNCTION("""COMPUTED_VALUE"""),"bgeffcock5h@pbs.org")</f>
        <v>bgeffcock5h@pbs.org</v>
      </c>
      <c r="D1198" s="4">
        <f>IFERROR(__xludf.DUMMYFUNCTION("""COMPUTED_VALUE"""),117.0)</f>
        <v>117</v>
      </c>
      <c r="E1198" s="4">
        <f>IFERROR(__xludf.DUMMYFUNCTION("""COMPUTED_VALUE"""),29.0)</f>
        <v>29</v>
      </c>
      <c r="F1198" s="4">
        <f>IFERROR(__xludf.DUMMYFUNCTION("""COMPUTED_VALUE"""),11.0)</f>
        <v>11</v>
      </c>
      <c r="G1198" s="4">
        <f>IFERROR(__xludf.DUMMYFUNCTION("""COMPUTED_VALUE"""),78.0)</f>
        <v>78</v>
      </c>
      <c r="H1198" s="5">
        <f>IFERROR(__xludf.DUMMYFUNCTION("""COMPUTED_VALUE"""),5316.79)</f>
        <v>5316.79</v>
      </c>
      <c r="I1198" s="5">
        <f>IFERROR(__xludf.DUMMYFUNCTION("""COMPUTED_VALUE"""),5098.17)</f>
        <v>5098.17</v>
      </c>
      <c r="J1198" s="5">
        <f>IFERROR(__xludf.DUMMYFUNCTION("""COMPUTED_VALUE"""),9896.86)</f>
        <v>9896.86</v>
      </c>
      <c r="K1198" s="5">
        <f>IFERROR(__xludf.DUMMYFUNCTION("""COMPUTED_VALUE"""),4922.8)</f>
        <v>4922.8</v>
      </c>
      <c r="L1198" s="4">
        <f>IFERROR(__xludf.DUMMYFUNCTION("""COMPUTED_VALUE"""),5.0)</f>
        <v>5</v>
      </c>
      <c r="M1198" s="4">
        <f>IFERROR(__xludf.DUMMYFUNCTION("""COMPUTED_VALUE"""),2.0)</f>
        <v>2</v>
      </c>
      <c r="N1198" s="2" t="str">
        <f>IFERROR(__xludf.DUMMYFUNCTION("""COMPUTED_VALUE"""),"FALSO")</f>
        <v>FALSO</v>
      </c>
    </row>
    <row r="1199">
      <c r="A1199" s="2">
        <f>IFERROR(__xludf.DUMMYFUNCTION("""COMPUTED_VALUE"""),1198.0)</f>
        <v>1198</v>
      </c>
      <c r="B1199" s="2" t="str">
        <f>IFERROR(__xludf.DUMMYFUNCTION("""COMPUTED_VALUE"""),"Gabey Sprasen")</f>
        <v>Gabey Sprasen</v>
      </c>
      <c r="C1199" s="2" t="str">
        <f>IFERROR(__xludf.DUMMYFUNCTION("""COMPUTED_VALUE"""),"gsprasen5i@state.tx.us")</f>
        <v>gsprasen5i@state.tx.us</v>
      </c>
      <c r="D1199" s="4">
        <f>IFERROR(__xludf.DUMMYFUNCTION("""COMPUTED_VALUE"""),29.0)</f>
        <v>29</v>
      </c>
      <c r="E1199" s="4">
        <f>IFERROR(__xludf.DUMMYFUNCTION("""COMPUTED_VALUE"""),6.0)</f>
        <v>6</v>
      </c>
      <c r="F1199" s="4">
        <f>IFERROR(__xludf.DUMMYFUNCTION("""COMPUTED_VALUE"""),13.0)</f>
        <v>13</v>
      </c>
      <c r="G1199" s="4">
        <f>IFERROR(__xludf.DUMMYFUNCTION("""COMPUTED_VALUE"""),359.0)</f>
        <v>359</v>
      </c>
      <c r="H1199" s="5">
        <f>IFERROR(__xludf.DUMMYFUNCTION("""COMPUTED_VALUE"""),4558.62)</f>
        <v>4558.62</v>
      </c>
      <c r="I1199" s="5">
        <f>IFERROR(__xludf.DUMMYFUNCTION("""COMPUTED_VALUE"""),9509.38)</f>
        <v>9509.38</v>
      </c>
      <c r="J1199" s="5">
        <f>IFERROR(__xludf.DUMMYFUNCTION("""COMPUTED_VALUE"""),159.66)</f>
        <v>159.66</v>
      </c>
      <c r="K1199" s="5">
        <f>IFERROR(__xludf.DUMMYFUNCTION("""COMPUTED_VALUE"""),4076.54)</f>
        <v>4076.54</v>
      </c>
      <c r="L1199" s="4">
        <f>IFERROR(__xludf.DUMMYFUNCTION("""COMPUTED_VALUE"""),5.0)</f>
        <v>5</v>
      </c>
      <c r="M1199" s="4">
        <f>IFERROR(__xludf.DUMMYFUNCTION("""COMPUTED_VALUE"""),52.0)</f>
        <v>52</v>
      </c>
      <c r="N1199" s="2" t="str">
        <f>IFERROR(__xludf.DUMMYFUNCTION("""COMPUTED_VALUE"""),"FALSO")</f>
        <v>FALSO</v>
      </c>
    </row>
    <row r="1200">
      <c r="A1200" s="2">
        <f>IFERROR(__xludf.DUMMYFUNCTION("""COMPUTED_VALUE"""),1199.0)</f>
        <v>1199</v>
      </c>
      <c r="B1200" s="2" t="str">
        <f>IFERROR(__xludf.DUMMYFUNCTION("""COMPUTED_VALUE"""),"Alvin Dutnell")</f>
        <v>Alvin Dutnell</v>
      </c>
      <c r="C1200" s="2" t="str">
        <f>IFERROR(__xludf.DUMMYFUNCTION("""COMPUTED_VALUE"""),"adutnell5j@marriott.com")</f>
        <v>adutnell5j@marriott.com</v>
      </c>
      <c r="D1200" s="4">
        <f>IFERROR(__xludf.DUMMYFUNCTION("""COMPUTED_VALUE"""),29.0)</f>
        <v>29</v>
      </c>
      <c r="E1200" s="4">
        <f>IFERROR(__xludf.DUMMYFUNCTION("""COMPUTED_VALUE"""),112.0)</f>
        <v>112</v>
      </c>
      <c r="F1200" s="4">
        <f>IFERROR(__xludf.DUMMYFUNCTION("""COMPUTED_VALUE"""),11.0)</f>
        <v>11</v>
      </c>
      <c r="G1200" s="4">
        <f>IFERROR(__xludf.DUMMYFUNCTION("""COMPUTED_VALUE"""),1502.0)</f>
        <v>1502</v>
      </c>
      <c r="H1200" s="5">
        <f>IFERROR(__xludf.DUMMYFUNCTION("""COMPUTED_VALUE"""),1783.6)</f>
        <v>1783.6</v>
      </c>
      <c r="I1200" s="5">
        <f>IFERROR(__xludf.DUMMYFUNCTION("""COMPUTED_VALUE"""),6488.75)</f>
        <v>6488.75</v>
      </c>
      <c r="J1200" s="5">
        <f>IFERROR(__xludf.DUMMYFUNCTION("""COMPUTED_VALUE"""),5889.09)</f>
        <v>5889.09</v>
      </c>
      <c r="K1200" s="5">
        <f>IFERROR(__xludf.DUMMYFUNCTION("""COMPUTED_VALUE"""),873.23)</f>
        <v>873.23</v>
      </c>
      <c r="L1200" s="4">
        <f>IFERROR(__xludf.DUMMYFUNCTION("""COMPUTED_VALUE"""),11.0)</f>
        <v>11</v>
      </c>
      <c r="M1200" s="4">
        <f>IFERROR(__xludf.DUMMYFUNCTION("""COMPUTED_VALUE"""),34.0)</f>
        <v>34</v>
      </c>
      <c r="N1200" s="2" t="str">
        <f>IFERROR(__xludf.DUMMYFUNCTION("""COMPUTED_VALUE"""),"FALSO")</f>
        <v>FALSO</v>
      </c>
    </row>
    <row r="1201">
      <c r="A1201" s="2">
        <f>IFERROR(__xludf.DUMMYFUNCTION("""COMPUTED_VALUE"""),1200.0)</f>
        <v>1200</v>
      </c>
      <c r="B1201" s="2" t="str">
        <f>IFERROR(__xludf.DUMMYFUNCTION("""COMPUTED_VALUE"""),"Virginie McPhate")</f>
        <v>Virginie McPhate</v>
      </c>
      <c r="C1201" s="2" t="str">
        <f>IFERROR(__xludf.DUMMYFUNCTION("""COMPUTED_VALUE"""),"vmcphate5k@census.gov")</f>
        <v>vmcphate5k@census.gov</v>
      </c>
      <c r="D1201" s="4">
        <f>IFERROR(__xludf.DUMMYFUNCTION("""COMPUTED_VALUE"""),65.0)</f>
        <v>65</v>
      </c>
      <c r="E1201" s="4">
        <f>IFERROR(__xludf.DUMMYFUNCTION("""COMPUTED_VALUE"""),113.0)</f>
        <v>113</v>
      </c>
      <c r="F1201" s="4">
        <f>IFERROR(__xludf.DUMMYFUNCTION("""COMPUTED_VALUE"""),5.0)</f>
        <v>5</v>
      </c>
      <c r="G1201" s="4">
        <f>IFERROR(__xludf.DUMMYFUNCTION("""COMPUTED_VALUE"""),765.0)</f>
        <v>765</v>
      </c>
      <c r="H1201" s="5">
        <f>IFERROR(__xludf.DUMMYFUNCTION("""COMPUTED_VALUE"""),5782.44)</f>
        <v>5782.44</v>
      </c>
      <c r="I1201" s="5">
        <f>IFERROR(__xludf.DUMMYFUNCTION("""COMPUTED_VALUE"""),2412.92)</f>
        <v>2412.92</v>
      </c>
      <c r="J1201" s="5">
        <f>IFERROR(__xludf.DUMMYFUNCTION("""COMPUTED_VALUE"""),8058.85)</f>
        <v>8058.85</v>
      </c>
      <c r="K1201" s="5">
        <f>IFERROR(__xludf.DUMMYFUNCTION("""COMPUTED_VALUE"""),6860.19)</f>
        <v>6860.19</v>
      </c>
      <c r="L1201" s="4">
        <f>IFERROR(__xludf.DUMMYFUNCTION("""COMPUTED_VALUE"""),18.0)</f>
        <v>18</v>
      </c>
      <c r="M1201" s="4">
        <f>IFERROR(__xludf.DUMMYFUNCTION("""COMPUTED_VALUE"""),41.0)</f>
        <v>41</v>
      </c>
      <c r="N1201" s="2" t="str">
        <f>IFERROR(__xludf.DUMMYFUNCTION("""COMPUTED_VALUE"""),"FALSO")</f>
        <v>FALSO</v>
      </c>
    </row>
    <row r="1202">
      <c r="A1202" s="2">
        <f>IFERROR(__xludf.DUMMYFUNCTION("""COMPUTED_VALUE"""),1201.0)</f>
        <v>1201</v>
      </c>
      <c r="B1202" s="2" t="str">
        <f>IFERROR(__xludf.DUMMYFUNCTION("""COMPUTED_VALUE"""),"Kirbee Orvis")</f>
        <v>Kirbee Orvis</v>
      </c>
      <c r="C1202" s="2" t="str">
        <f>IFERROR(__xludf.DUMMYFUNCTION("""COMPUTED_VALUE"""),"korvis5l@dmoz.org")</f>
        <v>korvis5l@dmoz.org</v>
      </c>
      <c r="D1202" s="4">
        <f>IFERROR(__xludf.DUMMYFUNCTION("""COMPUTED_VALUE"""),160.0)</f>
        <v>160</v>
      </c>
      <c r="E1202" s="4">
        <f>IFERROR(__xludf.DUMMYFUNCTION("""COMPUTED_VALUE"""),26.0)</f>
        <v>26</v>
      </c>
      <c r="F1202" s="4">
        <f>IFERROR(__xludf.DUMMYFUNCTION("""COMPUTED_VALUE"""),11.0)</f>
        <v>11</v>
      </c>
      <c r="G1202" s="4">
        <f>IFERROR(__xludf.DUMMYFUNCTION("""COMPUTED_VALUE"""),331.0)</f>
        <v>331</v>
      </c>
      <c r="H1202" s="5">
        <f>IFERROR(__xludf.DUMMYFUNCTION("""COMPUTED_VALUE"""),7348.84)</f>
        <v>7348.84</v>
      </c>
      <c r="I1202" s="5">
        <f>IFERROR(__xludf.DUMMYFUNCTION("""COMPUTED_VALUE"""),8305.24)</f>
        <v>8305.24</v>
      </c>
      <c r="J1202" s="5">
        <f>IFERROR(__xludf.DUMMYFUNCTION("""COMPUTED_VALUE"""),4928.24)</f>
        <v>4928.24</v>
      </c>
      <c r="K1202" s="5">
        <f>IFERROR(__xludf.DUMMYFUNCTION("""COMPUTED_VALUE"""),4485.84)</f>
        <v>4485.84</v>
      </c>
      <c r="L1202" s="4">
        <f>IFERROR(__xludf.DUMMYFUNCTION("""COMPUTED_VALUE"""),5.0)</f>
        <v>5</v>
      </c>
      <c r="M1202" s="4">
        <f>IFERROR(__xludf.DUMMYFUNCTION("""COMPUTED_VALUE"""),36.0)</f>
        <v>36</v>
      </c>
      <c r="N1202" s="2" t="str">
        <f>IFERROR(__xludf.DUMMYFUNCTION("""COMPUTED_VALUE"""),"FALSO")</f>
        <v>FALSO</v>
      </c>
    </row>
    <row r="1203">
      <c r="A1203" s="2">
        <f>IFERROR(__xludf.DUMMYFUNCTION("""COMPUTED_VALUE"""),1202.0)</f>
        <v>1202</v>
      </c>
      <c r="B1203" s="2" t="str">
        <f>IFERROR(__xludf.DUMMYFUNCTION("""COMPUTED_VALUE"""),"Carlin Joplin")</f>
        <v>Carlin Joplin</v>
      </c>
      <c r="C1203" s="2" t="str">
        <f>IFERROR(__xludf.DUMMYFUNCTION("""COMPUTED_VALUE"""),"cjoplin5m@stanford.edu")</f>
        <v>cjoplin5m@stanford.edu</v>
      </c>
      <c r="D1203" s="4">
        <f>IFERROR(__xludf.DUMMYFUNCTION("""COMPUTED_VALUE"""),65.0)</f>
        <v>65</v>
      </c>
      <c r="E1203" s="4">
        <f>IFERROR(__xludf.DUMMYFUNCTION("""COMPUTED_VALUE"""),83.0)</f>
        <v>83</v>
      </c>
      <c r="F1203" s="4">
        <f>IFERROR(__xludf.DUMMYFUNCTION("""COMPUTED_VALUE"""),5.0)</f>
        <v>5</v>
      </c>
      <c r="G1203" s="4">
        <f>IFERROR(__xludf.DUMMYFUNCTION("""COMPUTED_VALUE"""),851.0)</f>
        <v>851</v>
      </c>
      <c r="H1203" s="5">
        <f>IFERROR(__xludf.DUMMYFUNCTION("""COMPUTED_VALUE"""),3768.18)</f>
        <v>3768.18</v>
      </c>
      <c r="I1203" s="5">
        <f>IFERROR(__xludf.DUMMYFUNCTION("""COMPUTED_VALUE"""),3702.48)</f>
        <v>3702.48</v>
      </c>
      <c r="J1203" s="5">
        <f>IFERROR(__xludf.DUMMYFUNCTION("""COMPUTED_VALUE"""),8667.07)</f>
        <v>8667.07</v>
      </c>
      <c r="K1203" s="5">
        <f>IFERROR(__xludf.DUMMYFUNCTION("""COMPUTED_VALUE"""),8772.24)</f>
        <v>8772.24</v>
      </c>
      <c r="L1203" s="4">
        <f>IFERROR(__xludf.DUMMYFUNCTION("""COMPUTED_VALUE"""),16.0)</f>
        <v>16</v>
      </c>
      <c r="M1203" s="4">
        <f>IFERROR(__xludf.DUMMYFUNCTION("""COMPUTED_VALUE"""),3.0)</f>
        <v>3</v>
      </c>
      <c r="N1203" s="2" t="str">
        <f>IFERROR(__xludf.DUMMYFUNCTION("""COMPUTED_VALUE"""),"FALSO")</f>
        <v>FALSO</v>
      </c>
    </row>
    <row r="1204">
      <c r="A1204" s="2">
        <f>IFERROR(__xludf.DUMMYFUNCTION("""COMPUTED_VALUE"""),1203.0)</f>
        <v>1203</v>
      </c>
      <c r="B1204" s="2" t="str">
        <f>IFERROR(__xludf.DUMMYFUNCTION("""COMPUTED_VALUE"""),"Haleigh Drewery")</f>
        <v>Haleigh Drewery</v>
      </c>
      <c r="C1204" s="2" t="str">
        <f>IFERROR(__xludf.DUMMYFUNCTION("""COMPUTED_VALUE"""),"hdrewery5n@wp.com")</f>
        <v>hdrewery5n@wp.com</v>
      </c>
      <c r="D1204" s="4">
        <f>IFERROR(__xludf.DUMMYFUNCTION("""COMPUTED_VALUE"""),120.0)</f>
        <v>120</v>
      </c>
      <c r="E1204" s="4">
        <f>IFERROR(__xludf.DUMMYFUNCTION("""COMPUTED_VALUE"""),28.0)</f>
        <v>28</v>
      </c>
      <c r="F1204" s="4">
        <f>IFERROR(__xludf.DUMMYFUNCTION("""COMPUTED_VALUE"""),11.0)</f>
        <v>11</v>
      </c>
      <c r="G1204" s="4">
        <f>IFERROR(__xludf.DUMMYFUNCTION("""COMPUTED_VALUE"""),1085.0)</f>
        <v>1085</v>
      </c>
      <c r="H1204" s="5">
        <f>IFERROR(__xludf.DUMMYFUNCTION("""COMPUTED_VALUE"""),8011.55)</f>
        <v>8011.55</v>
      </c>
      <c r="I1204" s="5">
        <f>IFERROR(__xludf.DUMMYFUNCTION("""COMPUTED_VALUE"""),2405.49)</f>
        <v>2405.49</v>
      </c>
      <c r="J1204" s="5">
        <f>IFERROR(__xludf.DUMMYFUNCTION("""COMPUTED_VALUE"""),8154.79)</f>
        <v>8154.79</v>
      </c>
      <c r="K1204" s="5">
        <f>IFERROR(__xludf.DUMMYFUNCTION("""COMPUTED_VALUE"""),5650.01)</f>
        <v>5650.01</v>
      </c>
      <c r="L1204" s="4">
        <f>IFERROR(__xludf.DUMMYFUNCTION("""COMPUTED_VALUE"""),18.0)</f>
        <v>18</v>
      </c>
      <c r="M1204" s="4">
        <f>IFERROR(__xludf.DUMMYFUNCTION("""COMPUTED_VALUE"""),74.0)</f>
        <v>74</v>
      </c>
      <c r="N1204" s="2" t="str">
        <f>IFERROR(__xludf.DUMMYFUNCTION("""COMPUTED_VALUE"""),"FALSO")</f>
        <v>FALSO</v>
      </c>
    </row>
    <row r="1205">
      <c r="A1205" s="2">
        <f>IFERROR(__xludf.DUMMYFUNCTION("""COMPUTED_VALUE"""),1204.0)</f>
        <v>1204</v>
      </c>
      <c r="B1205" s="2" t="str">
        <f>IFERROR(__xludf.DUMMYFUNCTION("""COMPUTED_VALUE"""),"Ladonna Wedgbrow")</f>
        <v>Ladonna Wedgbrow</v>
      </c>
      <c r="C1205" s="2" t="str">
        <f>IFERROR(__xludf.DUMMYFUNCTION("""COMPUTED_VALUE"""),"lwedgbrow5o@sohu.com")</f>
        <v>lwedgbrow5o@sohu.com</v>
      </c>
      <c r="D1205" s="4">
        <f>IFERROR(__xludf.DUMMYFUNCTION("""COMPUTED_VALUE"""),30.0)</f>
        <v>30</v>
      </c>
      <c r="E1205" s="4">
        <f>IFERROR(__xludf.DUMMYFUNCTION("""COMPUTED_VALUE"""),71.0)</f>
        <v>71</v>
      </c>
      <c r="F1205" s="4">
        <f>IFERROR(__xludf.DUMMYFUNCTION("""COMPUTED_VALUE"""),6.0)</f>
        <v>6</v>
      </c>
      <c r="G1205" s="4">
        <f>IFERROR(__xludf.DUMMYFUNCTION("""COMPUTED_VALUE"""),175.0)</f>
        <v>175</v>
      </c>
      <c r="H1205" s="5">
        <f>IFERROR(__xludf.DUMMYFUNCTION("""COMPUTED_VALUE"""),6182.36)</f>
        <v>6182.36</v>
      </c>
      <c r="I1205" s="5">
        <f>IFERROR(__xludf.DUMMYFUNCTION("""COMPUTED_VALUE"""),1516.54)</f>
        <v>1516.54</v>
      </c>
      <c r="J1205" s="5">
        <f>IFERROR(__xludf.DUMMYFUNCTION("""COMPUTED_VALUE"""),4399.0)</f>
        <v>4399</v>
      </c>
      <c r="K1205" s="5">
        <f>IFERROR(__xludf.DUMMYFUNCTION("""COMPUTED_VALUE"""),3898.55)</f>
        <v>3898.55</v>
      </c>
      <c r="L1205" s="4">
        <f>IFERROR(__xludf.DUMMYFUNCTION("""COMPUTED_VALUE"""),12.0)</f>
        <v>12</v>
      </c>
      <c r="M1205" s="4">
        <f>IFERROR(__xludf.DUMMYFUNCTION("""COMPUTED_VALUE"""),20.0)</f>
        <v>20</v>
      </c>
      <c r="N1205" s="2" t="str">
        <f>IFERROR(__xludf.DUMMYFUNCTION("""COMPUTED_VALUE"""),"VERDADERO")</f>
        <v>VERDADERO</v>
      </c>
    </row>
    <row r="1206">
      <c r="A1206" s="2">
        <f>IFERROR(__xludf.DUMMYFUNCTION("""COMPUTED_VALUE"""),1205.0)</f>
        <v>1205</v>
      </c>
      <c r="B1206" s="2" t="str">
        <f>IFERROR(__xludf.DUMMYFUNCTION("""COMPUTED_VALUE"""),"Dalis Enterle")</f>
        <v>Dalis Enterle</v>
      </c>
      <c r="C1206" s="2" t="str">
        <f>IFERROR(__xludf.DUMMYFUNCTION("""COMPUTED_VALUE"""),"denterle5p@studiopress.com")</f>
        <v>denterle5p@studiopress.com</v>
      </c>
      <c r="D1206" s="4">
        <f>IFERROR(__xludf.DUMMYFUNCTION("""COMPUTED_VALUE"""),124.0)</f>
        <v>124</v>
      </c>
      <c r="E1206" s="4">
        <f>IFERROR(__xludf.DUMMYFUNCTION("""COMPUTED_VALUE"""),81.0)</f>
        <v>81</v>
      </c>
      <c r="F1206" s="4">
        <f>IFERROR(__xludf.DUMMYFUNCTION("""COMPUTED_VALUE"""),2.0)</f>
        <v>2</v>
      </c>
      <c r="G1206" s="4">
        <f>IFERROR(__xludf.DUMMYFUNCTION("""COMPUTED_VALUE"""),801.0)</f>
        <v>801</v>
      </c>
      <c r="H1206" s="5">
        <f>IFERROR(__xludf.DUMMYFUNCTION("""COMPUTED_VALUE"""),8264.49)</f>
        <v>8264.49</v>
      </c>
      <c r="I1206" s="5">
        <f>IFERROR(__xludf.DUMMYFUNCTION("""COMPUTED_VALUE"""),8921.75)</f>
        <v>8921.75</v>
      </c>
      <c r="J1206" s="5">
        <f>IFERROR(__xludf.DUMMYFUNCTION("""COMPUTED_VALUE"""),6118.01)</f>
        <v>6118.01</v>
      </c>
      <c r="K1206" s="5">
        <f>IFERROR(__xludf.DUMMYFUNCTION("""COMPUTED_VALUE"""),9065.78)</f>
        <v>9065.78</v>
      </c>
      <c r="L1206" s="4">
        <f>IFERROR(__xludf.DUMMYFUNCTION("""COMPUTED_VALUE"""),15.0)</f>
        <v>15</v>
      </c>
      <c r="M1206" s="4">
        <f>IFERROR(__xludf.DUMMYFUNCTION("""COMPUTED_VALUE"""),68.0)</f>
        <v>68</v>
      </c>
      <c r="N1206" s="2" t="str">
        <f>IFERROR(__xludf.DUMMYFUNCTION("""COMPUTED_VALUE"""),"VERDADERO")</f>
        <v>VERDADERO</v>
      </c>
    </row>
    <row r="1207">
      <c r="A1207" s="2">
        <f>IFERROR(__xludf.DUMMYFUNCTION("""COMPUTED_VALUE"""),1206.0)</f>
        <v>1206</v>
      </c>
      <c r="B1207" s="2" t="str">
        <f>IFERROR(__xludf.DUMMYFUNCTION("""COMPUTED_VALUE"""),"Padriac Reddlesden")</f>
        <v>Padriac Reddlesden</v>
      </c>
      <c r="C1207" s="2" t="str">
        <f>IFERROR(__xludf.DUMMYFUNCTION("""COMPUTED_VALUE"""),"preddlesden5q@wunderground.com")</f>
        <v>preddlesden5q@wunderground.com</v>
      </c>
      <c r="D1207" s="4">
        <f>IFERROR(__xludf.DUMMYFUNCTION("""COMPUTED_VALUE"""),73.0)</f>
        <v>73</v>
      </c>
      <c r="E1207" s="4">
        <f>IFERROR(__xludf.DUMMYFUNCTION("""COMPUTED_VALUE"""),66.0)</f>
        <v>66</v>
      </c>
      <c r="F1207" s="4">
        <f>IFERROR(__xludf.DUMMYFUNCTION("""COMPUTED_VALUE"""),6.0)</f>
        <v>6</v>
      </c>
      <c r="G1207" s="4">
        <f>IFERROR(__xludf.DUMMYFUNCTION("""COMPUTED_VALUE"""),645.0)</f>
        <v>645</v>
      </c>
      <c r="H1207" s="5">
        <f>IFERROR(__xludf.DUMMYFUNCTION("""COMPUTED_VALUE"""),359.89)</f>
        <v>359.89</v>
      </c>
      <c r="I1207" s="5">
        <f>IFERROR(__xludf.DUMMYFUNCTION("""COMPUTED_VALUE"""),4113.45)</f>
        <v>4113.45</v>
      </c>
      <c r="J1207" s="5">
        <f>IFERROR(__xludf.DUMMYFUNCTION("""COMPUTED_VALUE"""),8782.92)</f>
        <v>8782.92</v>
      </c>
      <c r="K1207" s="5">
        <f>IFERROR(__xludf.DUMMYFUNCTION("""COMPUTED_VALUE"""),7780.51)</f>
        <v>7780.51</v>
      </c>
      <c r="L1207" s="4">
        <f>IFERROR(__xludf.DUMMYFUNCTION("""COMPUTED_VALUE"""),7.0)</f>
        <v>7</v>
      </c>
      <c r="M1207" s="4">
        <f>IFERROR(__xludf.DUMMYFUNCTION("""COMPUTED_VALUE"""),67.0)</f>
        <v>67</v>
      </c>
      <c r="N1207" s="2" t="str">
        <f>IFERROR(__xludf.DUMMYFUNCTION("""COMPUTED_VALUE"""),"FALSO")</f>
        <v>FALSO</v>
      </c>
    </row>
    <row r="1208">
      <c r="A1208" s="2">
        <f>IFERROR(__xludf.DUMMYFUNCTION("""COMPUTED_VALUE"""),1207.0)</f>
        <v>1207</v>
      </c>
      <c r="B1208" s="2" t="str">
        <f>IFERROR(__xludf.DUMMYFUNCTION("""COMPUTED_VALUE"""),"Boigie Starrs")</f>
        <v>Boigie Starrs</v>
      </c>
      <c r="C1208" s="2" t="str">
        <f>IFERROR(__xludf.DUMMYFUNCTION("""COMPUTED_VALUE"""),"bstarrs5r@hugedomains.com")</f>
        <v>bstarrs5r@hugedomains.com</v>
      </c>
      <c r="D1208" s="4">
        <f>IFERROR(__xludf.DUMMYFUNCTION("""COMPUTED_VALUE"""),17.0)</f>
        <v>17</v>
      </c>
      <c r="E1208" s="4">
        <f>IFERROR(__xludf.DUMMYFUNCTION("""COMPUTED_VALUE"""),23.0)</f>
        <v>23</v>
      </c>
      <c r="F1208" s="4">
        <f>IFERROR(__xludf.DUMMYFUNCTION("""COMPUTED_VALUE"""),5.0)</f>
        <v>5</v>
      </c>
      <c r="G1208" s="4">
        <f>IFERROR(__xludf.DUMMYFUNCTION("""COMPUTED_VALUE"""),687.0)</f>
        <v>687</v>
      </c>
      <c r="H1208" s="5">
        <f>IFERROR(__xludf.DUMMYFUNCTION("""COMPUTED_VALUE"""),5694.16)</f>
        <v>5694.16</v>
      </c>
      <c r="I1208" s="5">
        <f>IFERROR(__xludf.DUMMYFUNCTION("""COMPUTED_VALUE"""),1444.58)</f>
        <v>1444.58</v>
      </c>
      <c r="J1208" s="5">
        <f>IFERROR(__xludf.DUMMYFUNCTION("""COMPUTED_VALUE"""),1864.86)</f>
        <v>1864.86</v>
      </c>
      <c r="K1208" s="5">
        <f>IFERROR(__xludf.DUMMYFUNCTION("""COMPUTED_VALUE"""),9416.61)</f>
        <v>9416.61</v>
      </c>
      <c r="L1208" s="4">
        <f>IFERROR(__xludf.DUMMYFUNCTION("""COMPUTED_VALUE"""),1.0)</f>
        <v>1</v>
      </c>
      <c r="M1208" s="4">
        <f>IFERROR(__xludf.DUMMYFUNCTION("""COMPUTED_VALUE"""),3.0)</f>
        <v>3</v>
      </c>
      <c r="N1208" s="2" t="str">
        <f>IFERROR(__xludf.DUMMYFUNCTION("""COMPUTED_VALUE"""),"VERDADERO")</f>
        <v>VERDADERO</v>
      </c>
    </row>
    <row r="1209">
      <c r="A1209" s="2">
        <f>IFERROR(__xludf.DUMMYFUNCTION("""COMPUTED_VALUE"""),1208.0)</f>
        <v>1208</v>
      </c>
      <c r="B1209" s="2" t="str">
        <f>IFERROR(__xludf.DUMMYFUNCTION("""COMPUTED_VALUE"""),"Darb Gaspero")</f>
        <v>Darb Gaspero</v>
      </c>
      <c r="C1209" s="2" t="str">
        <f>IFERROR(__xludf.DUMMYFUNCTION("""COMPUTED_VALUE"""),"dgaspero5s@mozilla.com")</f>
        <v>dgaspero5s@mozilla.com</v>
      </c>
      <c r="D1209" s="4">
        <f>IFERROR(__xludf.DUMMYFUNCTION("""COMPUTED_VALUE"""),55.0)</f>
        <v>55</v>
      </c>
      <c r="E1209" s="4">
        <f>IFERROR(__xludf.DUMMYFUNCTION("""COMPUTED_VALUE"""),64.0)</f>
        <v>64</v>
      </c>
      <c r="F1209" s="4">
        <f>IFERROR(__xludf.DUMMYFUNCTION("""COMPUTED_VALUE"""),4.0)</f>
        <v>4</v>
      </c>
      <c r="G1209" s="4">
        <f>IFERROR(__xludf.DUMMYFUNCTION("""COMPUTED_VALUE"""),332.0)</f>
        <v>332</v>
      </c>
      <c r="H1209" s="5">
        <f>IFERROR(__xludf.DUMMYFUNCTION("""COMPUTED_VALUE"""),5911.84)</f>
        <v>5911.84</v>
      </c>
      <c r="I1209" s="5">
        <f>IFERROR(__xludf.DUMMYFUNCTION("""COMPUTED_VALUE"""),9847.22)</f>
        <v>9847.22</v>
      </c>
      <c r="J1209" s="5">
        <f>IFERROR(__xludf.DUMMYFUNCTION("""COMPUTED_VALUE"""),9945.55)</f>
        <v>9945.55</v>
      </c>
      <c r="K1209" s="5">
        <f>IFERROR(__xludf.DUMMYFUNCTION("""COMPUTED_VALUE"""),7289.15)</f>
        <v>7289.15</v>
      </c>
      <c r="L1209" s="4">
        <f>IFERROR(__xludf.DUMMYFUNCTION("""COMPUTED_VALUE"""),8.0)</f>
        <v>8</v>
      </c>
      <c r="M1209" s="4">
        <f>IFERROR(__xludf.DUMMYFUNCTION("""COMPUTED_VALUE"""),2.0)</f>
        <v>2</v>
      </c>
      <c r="N1209" s="2" t="str">
        <f>IFERROR(__xludf.DUMMYFUNCTION("""COMPUTED_VALUE"""),"FALSO")</f>
        <v>FALSO</v>
      </c>
    </row>
    <row r="1210">
      <c r="A1210" s="2">
        <f>IFERROR(__xludf.DUMMYFUNCTION("""COMPUTED_VALUE"""),1209.0)</f>
        <v>1209</v>
      </c>
      <c r="B1210" s="2" t="str">
        <f>IFERROR(__xludf.DUMMYFUNCTION("""COMPUTED_VALUE"""),"Doris Cordier")</f>
        <v>Doris Cordier</v>
      </c>
      <c r="C1210" s="2" t="str">
        <f>IFERROR(__xludf.DUMMYFUNCTION("""COMPUTED_VALUE"""),"dcordier5t@wsj.com")</f>
        <v>dcordier5t@wsj.com</v>
      </c>
      <c r="D1210" s="4">
        <f>IFERROR(__xludf.DUMMYFUNCTION("""COMPUTED_VALUE"""),49.0)</f>
        <v>49</v>
      </c>
      <c r="E1210" s="4">
        <f>IFERROR(__xludf.DUMMYFUNCTION("""COMPUTED_VALUE"""),106.0)</f>
        <v>106</v>
      </c>
      <c r="F1210" s="4">
        <f>IFERROR(__xludf.DUMMYFUNCTION("""COMPUTED_VALUE"""),5.0)</f>
        <v>5</v>
      </c>
      <c r="G1210" s="4">
        <f>IFERROR(__xludf.DUMMYFUNCTION("""COMPUTED_VALUE"""),845.0)</f>
        <v>845</v>
      </c>
      <c r="H1210" s="5">
        <f>IFERROR(__xludf.DUMMYFUNCTION("""COMPUTED_VALUE"""),4347.05)</f>
        <v>4347.05</v>
      </c>
      <c r="I1210" s="5">
        <f>IFERROR(__xludf.DUMMYFUNCTION("""COMPUTED_VALUE"""),9664.23)</f>
        <v>9664.23</v>
      </c>
      <c r="J1210" s="5">
        <f>IFERROR(__xludf.DUMMYFUNCTION("""COMPUTED_VALUE"""),4309.17)</f>
        <v>4309.17</v>
      </c>
      <c r="K1210" s="5">
        <f>IFERROR(__xludf.DUMMYFUNCTION("""COMPUTED_VALUE"""),8237.92)</f>
        <v>8237.92</v>
      </c>
      <c r="L1210" s="4">
        <f>IFERROR(__xludf.DUMMYFUNCTION("""COMPUTED_VALUE"""),10.0)</f>
        <v>10</v>
      </c>
      <c r="M1210" s="4">
        <f>IFERROR(__xludf.DUMMYFUNCTION("""COMPUTED_VALUE"""),34.0)</f>
        <v>34</v>
      </c>
      <c r="N1210" s="2" t="str">
        <f>IFERROR(__xludf.DUMMYFUNCTION("""COMPUTED_VALUE"""),"VERDADERO")</f>
        <v>VERDADERO</v>
      </c>
    </row>
    <row r="1211">
      <c r="A1211" s="2">
        <f>IFERROR(__xludf.DUMMYFUNCTION("""COMPUTED_VALUE"""),1210.0)</f>
        <v>1210</v>
      </c>
      <c r="B1211" s="2" t="str">
        <f>IFERROR(__xludf.DUMMYFUNCTION("""COMPUTED_VALUE"""),"Adolpho Oboy")</f>
        <v>Adolpho Oboy</v>
      </c>
      <c r="C1211" s="2" t="str">
        <f>IFERROR(__xludf.DUMMYFUNCTION("""COMPUTED_VALUE"""),"aoboy5u@blogspot.com")</f>
        <v>aoboy5u@blogspot.com</v>
      </c>
      <c r="D1211" s="4">
        <f>IFERROR(__xludf.DUMMYFUNCTION("""COMPUTED_VALUE"""),29.0)</f>
        <v>29</v>
      </c>
      <c r="E1211" s="4">
        <f>IFERROR(__xludf.DUMMYFUNCTION("""COMPUTED_VALUE"""),29.0)</f>
        <v>29</v>
      </c>
      <c r="F1211" s="4">
        <f>IFERROR(__xludf.DUMMYFUNCTION("""COMPUTED_VALUE"""),11.0)</f>
        <v>11</v>
      </c>
      <c r="G1211" s="4">
        <f>IFERROR(__xludf.DUMMYFUNCTION("""COMPUTED_VALUE"""),22.0)</f>
        <v>22</v>
      </c>
      <c r="H1211" s="5">
        <f>IFERROR(__xludf.DUMMYFUNCTION("""COMPUTED_VALUE"""),2608.39)</f>
        <v>2608.39</v>
      </c>
      <c r="I1211" s="5">
        <f>IFERROR(__xludf.DUMMYFUNCTION("""COMPUTED_VALUE"""),4509.88)</f>
        <v>4509.88</v>
      </c>
      <c r="J1211" s="5">
        <f>IFERROR(__xludf.DUMMYFUNCTION("""COMPUTED_VALUE"""),3731.87)</f>
        <v>3731.87</v>
      </c>
      <c r="K1211" s="5">
        <f>IFERROR(__xludf.DUMMYFUNCTION("""COMPUTED_VALUE"""),9967.13)</f>
        <v>9967.13</v>
      </c>
      <c r="L1211" s="4">
        <f>IFERROR(__xludf.DUMMYFUNCTION("""COMPUTED_VALUE"""),17.0)</f>
        <v>17</v>
      </c>
      <c r="M1211" s="4">
        <f>IFERROR(__xludf.DUMMYFUNCTION("""COMPUTED_VALUE"""),8.0)</f>
        <v>8</v>
      </c>
      <c r="N1211" s="2" t="str">
        <f>IFERROR(__xludf.DUMMYFUNCTION("""COMPUTED_VALUE"""),"VERDADERO")</f>
        <v>VERDADERO</v>
      </c>
    </row>
    <row r="1212">
      <c r="A1212" s="2">
        <f>IFERROR(__xludf.DUMMYFUNCTION("""COMPUTED_VALUE"""),1211.0)</f>
        <v>1211</v>
      </c>
      <c r="B1212" s="2" t="str">
        <f>IFERROR(__xludf.DUMMYFUNCTION("""COMPUTED_VALUE"""),"Enrico Raffeorty")</f>
        <v>Enrico Raffeorty</v>
      </c>
      <c r="C1212" s="2" t="str">
        <f>IFERROR(__xludf.DUMMYFUNCTION("""COMPUTED_VALUE"""),"eraffeorty5v@icio.us")</f>
        <v>eraffeorty5v@icio.us</v>
      </c>
      <c r="D1212" s="4">
        <f>IFERROR(__xludf.DUMMYFUNCTION("""COMPUTED_VALUE"""),66.0)</f>
        <v>66</v>
      </c>
      <c r="E1212" s="4">
        <f>IFERROR(__xludf.DUMMYFUNCTION("""COMPUTED_VALUE"""),81.0)</f>
        <v>81</v>
      </c>
      <c r="F1212" s="4">
        <f>IFERROR(__xludf.DUMMYFUNCTION("""COMPUTED_VALUE"""),2.0)</f>
        <v>2</v>
      </c>
      <c r="G1212" s="4">
        <f>IFERROR(__xludf.DUMMYFUNCTION("""COMPUTED_VALUE"""),218.0)</f>
        <v>218</v>
      </c>
      <c r="H1212" s="5">
        <f>IFERROR(__xludf.DUMMYFUNCTION("""COMPUTED_VALUE"""),7148.11)</f>
        <v>7148.11</v>
      </c>
      <c r="I1212" s="5">
        <f>IFERROR(__xludf.DUMMYFUNCTION("""COMPUTED_VALUE"""),5034.74)</f>
        <v>5034.74</v>
      </c>
      <c r="J1212" s="5">
        <f>IFERROR(__xludf.DUMMYFUNCTION("""COMPUTED_VALUE"""),6230.09)</f>
        <v>6230.09</v>
      </c>
      <c r="K1212" s="5">
        <f>IFERROR(__xludf.DUMMYFUNCTION("""COMPUTED_VALUE"""),4247.16)</f>
        <v>4247.16</v>
      </c>
      <c r="L1212" s="4">
        <f>IFERROR(__xludf.DUMMYFUNCTION("""COMPUTED_VALUE"""),13.0)</f>
        <v>13</v>
      </c>
      <c r="M1212" s="4">
        <f>IFERROR(__xludf.DUMMYFUNCTION("""COMPUTED_VALUE"""),52.0)</f>
        <v>52</v>
      </c>
      <c r="N1212" s="2" t="str">
        <f>IFERROR(__xludf.DUMMYFUNCTION("""COMPUTED_VALUE"""),"VERDADERO")</f>
        <v>VERDADERO</v>
      </c>
    </row>
    <row r="1213">
      <c r="A1213" s="2">
        <f>IFERROR(__xludf.DUMMYFUNCTION("""COMPUTED_VALUE"""),1212.0)</f>
        <v>1212</v>
      </c>
      <c r="B1213" s="2" t="str">
        <f>IFERROR(__xludf.DUMMYFUNCTION("""COMPUTED_VALUE"""),"Guthrey Tongs")</f>
        <v>Guthrey Tongs</v>
      </c>
      <c r="C1213" s="2" t="str">
        <f>IFERROR(__xludf.DUMMYFUNCTION("""COMPUTED_VALUE"""),"gtongs5w@accuweather.com")</f>
        <v>gtongs5w@accuweather.com</v>
      </c>
      <c r="D1213" s="4">
        <f>IFERROR(__xludf.DUMMYFUNCTION("""COMPUTED_VALUE"""),131.0)</f>
        <v>131</v>
      </c>
      <c r="E1213" s="4">
        <f>IFERROR(__xludf.DUMMYFUNCTION("""COMPUTED_VALUE"""),66.0)</f>
        <v>66</v>
      </c>
      <c r="F1213" s="4">
        <f>IFERROR(__xludf.DUMMYFUNCTION("""COMPUTED_VALUE"""),6.0)</f>
        <v>6</v>
      </c>
      <c r="G1213" s="4">
        <f>IFERROR(__xludf.DUMMYFUNCTION("""COMPUTED_VALUE"""),1053.0)</f>
        <v>1053</v>
      </c>
      <c r="H1213" s="5">
        <f>IFERROR(__xludf.DUMMYFUNCTION("""COMPUTED_VALUE"""),7937.85)</f>
        <v>7937.85</v>
      </c>
      <c r="I1213" s="5">
        <f>IFERROR(__xludf.DUMMYFUNCTION("""COMPUTED_VALUE"""),5544.61)</f>
        <v>5544.61</v>
      </c>
      <c r="J1213" s="5">
        <f>IFERROR(__xludf.DUMMYFUNCTION("""COMPUTED_VALUE"""),8575.05)</f>
        <v>8575.05</v>
      </c>
      <c r="K1213" s="5">
        <f>IFERROR(__xludf.DUMMYFUNCTION("""COMPUTED_VALUE"""),5083.55)</f>
        <v>5083.55</v>
      </c>
      <c r="L1213" s="4">
        <f>IFERROR(__xludf.DUMMYFUNCTION("""COMPUTED_VALUE"""),15.0)</f>
        <v>15</v>
      </c>
      <c r="M1213" s="4">
        <f>IFERROR(__xludf.DUMMYFUNCTION("""COMPUTED_VALUE"""),25.0)</f>
        <v>25</v>
      </c>
      <c r="N1213" s="2" t="str">
        <f>IFERROR(__xludf.DUMMYFUNCTION("""COMPUTED_VALUE"""),"VERDADERO")</f>
        <v>VERDADERO</v>
      </c>
    </row>
    <row r="1214">
      <c r="A1214" s="2">
        <f>IFERROR(__xludf.DUMMYFUNCTION("""COMPUTED_VALUE"""),1213.0)</f>
        <v>1213</v>
      </c>
      <c r="B1214" s="2" t="str">
        <f>IFERROR(__xludf.DUMMYFUNCTION("""COMPUTED_VALUE"""),"Lynette Coveley")</f>
        <v>Lynette Coveley</v>
      </c>
      <c r="C1214" s="2" t="str">
        <f>IFERROR(__xludf.DUMMYFUNCTION("""COMPUTED_VALUE"""),"lcoveley5x@scientificamerican.com")</f>
        <v>lcoveley5x@scientificamerican.com</v>
      </c>
      <c r="D1214" s="4">
        <f>IFERROR(__xludf.DUMMYFUNCTION("""COMPUTED_VALUE"""),34.0)</f>
        <v>34</v>
      </c>
      <c r="E1214" s="4">
        <f>IFERROR(__xludf.DUMMYFUNCTION("""COMPUTED_VALUE"""),54.0)</f>
        <v>54</v>
      </c>
      <c r="F1214" s="4">
        <f>IFERROR(__xludf.DUMMYFUNCTION("""COMPUTED_VALUE"""),5.0)</f>
        <v>5</v>
      </c>
      <c r="G1214" s="4">
        <f>IFERROR(__xludf.DUMMYFUNCTION("""COMPUTED_VALUE"""),1408.0)</f>
        <v>1408</v>
      </c>
      <c r="H1214" s="5">
        <f>IFERROR(__xludf.DUMMYFUNCTION("""COMPUTED_VALUE"""),1976.4)</f>
        <v>1976.4</v>
      </c>
      <c r="I1214" s="5">
        <f>IFERROR(__xludf.DUMMYFUNCTION("""COMPUTED_VALUE"""),3508.4)</f>
        <v>3508.4</v>
      </c>
      <c r="J1214" s="5">
        <f>IFERROR(__xludf.DUMMYFUNCTION("""COMPUTED_VALUE"""),5996.61)</f>
        <v>5996.61</v>
      </c>
      <c r="K1214" s="5">
        <f>IFERROR(__xludf.DUMMYFUNCTION("""COMPUTED_VALUE"""),8245.51)</f>
        <v>8245.51</v>
      </c>
      <c r="L1214" s="4">
        <f>IFERROR(__xludf.DUMMYFUNCTION("""COMPUTED_VALUE"""),9.0)</f>
        <v>9</v>
      </c>
      <c r="M1214" s="4">
        <f>IFERROR(__xludf.DUMMYFUNCTION("""COMPUTED_VALUE"""),55.0)</f>
        <v>55</v>
      </c>
      <c r="N1214" s="2" t="str">
        <f>IFERROR(__xludf.DUMMYFUNCTION("""COMPUTED_VALUE"""),"VERDADERO")</f>
        <v>VERDADERO</v>
      </c>
    </row>
    <row r="1215">
      <c r="A1215" s="2">
        <f>IFERROR(__xludf.DUMMYFUNCTION("""COMPUTED_VALUE"""),1214.0)</f>
        <v>1214</v>
      </c>
      <c r="B1215" s="2" t="str">
        <f>IFERROR(__xludf.DUMMYFUNCTION("""COMPUTED_VALUE"""),"Joey Bramhill")</f>
        <v>Joey Bramhill</v>
      </c>
      <c r="C1215" s="2" t="str">
        <f>IFERROR(__xludf.DUMMYFUNCTION("""COMPUTED_VALUE"""),"jbramhill5y@independent.co.uk")</f>
        <v>jbramhill5y@independent.co.uk</v>
      </c>
      <c r="D1215" s="4">
        <f>IFERROR(__xludf.DUMMYFUNCTION("""COMPUTED_VALUE"""),137.0)</f>
        <v>137</v>
      </c>
      <c r="E1215" s="4">
        <f>IFERROR(__xludf.DUMMYFUNCTION("""COMPUTED_VALUE"""),34.0)</f>
        <v>34</v>
      </c>
      <c r="F1215" s="4">
        <f>IFERROR(__xludf.DUMMYFUNCTION("""COMPUTED_VALUE"""),10.0)</f>
        <v>10</v>
      </c>
      <c r="G1215" s="4">
        <f>IFERROR(__xludf.DUMMYFUNCTION("""COMPUTED_VALUE"""),303.0)</f>
        <v>303</v>
      </c>
      <c r="H1215" s="5">
        <f>IFERROR(__xludf.DUMMYFUNCTION("""COMPUTED_VALUE"""),8920.47)</f>
        <v>8920.47</v>
      </c>
      <c r="I1215" s="5">
        <f>IFERROR(__xludf.DUMMYFUNCTION("""COMPUTED_VALUE"""),4964.78)</f>
        <v>4964.78</v>
      </c>
      <c r="J1215" s="5">
        <f>IFERROR(__xludf.DUMMYFUNCTION("""COMPUTED_VALUE"""),9727.0)</f>
        <v>9727</v>
      </c>
      <c r="K1215" s="5">
        <f>IFERROR(__xludf.DUMMYFUNCTION("""COMPUTED_VALUE"""),3734.09)</f>
        <v>3734.09</v>
      </c>
      <c r="L1215" s="4">
        <f>IFERROR(__xludf.DUMMYFUNCTION("""COMPUTED_VALUE"""),18.0)</f>
        <v>18</v>
      </c>
      <c r="M1215" s="4">
        <f>IFERROR(__xludf.DUMMYFUNCTION("""COMPUTED_VALUE"""),2.0)</f>
        <v>2</v>
      </c>
      <c r="N1215" s="2" t="str">
        <f>IFERROR(__xludf.DUMMYFUNCTION("""COMPUTED_VALUE"""),"FALSO")</f>
        <v>FALSO</v>
      </c>
    </row>
    <row r="1216">
      <c r="A1216" s="2">
        <f>IFERROR(__xludf.DUMMYFUNCTION("""COMPUTED_VALUE"""),1215.0)</f>
        <v>1215</v>
      </c>
      <c r="B1216" s="2" t="str">
        <f>IFERROR(__xludf.DUMMYFUNCTION("""COMPUTED_VALUE"""),"Armand Huckstepp")</f>
        <v>Armand Huckstepp</v>
      </c>
      <c r="C1216" s="2" t="str">
        <f>IFERROR(__xludf.DUMMYFUNCTION("""COMPUTED_VALUE"""),"ahuckstepp5z@sitemeter.com")</f>
        <v>ahuckstepp5z@sitemeter.com</v>
      </c>
      <c r="D1216" s="4">
        <f>IFERROR(__xludf.DUMMYFUNCTION("""COMPUTED_VALUE"""),143.0)</f>
        <v>143</v>
      </c>
      <c r="E1216" s="4">
        <f>IFERROR(__xludf.DUMMYFUNCTION("""COMPUTED_VALUE"""),81.0)</f>
        <v>81</v>
      </c>
      <c r="F1216" s="4">
        <f>IFERROR(__xludf.DUMMYFUNCTION("""COMPUTED_VALUE"""),2.0)</f>
        <v>2</v>
      </c>
      <c r="G1216" s="4">
        <f>IFERROR(__xludf.DUMMYFUNCTION("""COMPUTED_VALUE"""),573.0)</f>
        <v>573</v>
      </c>
      <c r="H1216" s="5">
        <f>IFERROR(__xludf.DUMMYFUNCTION("""COMPUTED_VALUE"""),3429.59)</f>
        <v>3429.59</v>
      </c>
      <c r="I1216" s="5">
        <f>IFERROR(__xludf.DUMMYFUNCTION("""COMPUTED_VALUE"""),2476.11)</f>
        <v>2476.11</v>
      </c>
      <c r="J1216" s="5">
        <f>IFERROR(__xludf.DUMMYFUNCTION("""COMPUTED_VALUE"""),941.91)</f>
        <v>941.91</v>
      </c>
      <c r="K1216" s="5">
        <f>IFERROR(__xludf.DUMMYFUNCTION("""COMPUTED_VALUE"""),9178.98)</f>
        <v>9178.98</v>
      </c>
      <c r="L1216" s="4">
        <f>IFERROR(__xludf.DUMMYFUNCTION("""COMPUTED_VALUE"""),9.0)</f>
        <v>9</v>
      </c>
      <c r="M1216" s="4">
        <f>IFERROR(__xludf.DUMMYFUNCTION("""COMPUTED_VALUE"""),61.0)</f>
        <v>61</v>
      </c>
      <c r="N1216" s="2" t="str">
        <f>IFERROR(__xludf.DUMMYFUNCTION("""COMPUTED_VALUE"""),"FALSO")</f>
        <v>FALSO</v>
      </c>
    </row>
    <row r="1217">
      <c r="A1217" s="2">
        <f>IFERROR(__xludf.DUMMYFUNCTION("""COMPUTED_VALUE"""),1216.0)</f>
        <v>1216</v>
      </c>
      <c r="B1217" s="2" t="str">
        <f>IFERROR(__xludf.DUMMYFUNCTION("""COMPUTED_VALUE"""),"Leda Maes")</f>
        <v>Leda Maes</v>
      </c>
      <c r="C1217" s="2" t="str">
        <f>IFERROR(__xludf.DUMMYFUNCTION("""COMPUTED_VALUE"""),"lmaes60@constantcontact.com")</f>
        <v>lmaes60@constantcontact.com</v>
      </c>
      <c r="D1217" s="4">
        <f>IFERROR(__xludf.DUMMYFUNCTION("""COMPUTED_VALUE"""),73.0)</f>
        <v>73</v>
      </c>
      <c r="E1217" s="4">
        <f>IFERROR(__xludf.DUMMYFUNCTION("""COMPUTED_VALUE"""),81.0)</f>
        <v>81</v>
      </c>
      <c r="F1217" s="4">
        <f>IFERROR(__xludf.DUMMYFUNCTION("""COMPUTED_VALUE"""),2.0)</f>
        <v>2</v>
      </c>
      <c r="G1217" s="4">
        <f>IFERROR(__xludf.DUMMYFUNCTION("""COMPUTED_VALUE"""),1139.0)</f>
        <v>1139</v>
      </c>
      <c r="H1217" s="5">
        <f>IFERROR(__xludf.DUMMYFUNCTION("""COMPUTED_VALUE"""),1938.08)</f>
        <v>1938.08</v>
      </c>
      <c r="I1217" s="5">
        <f>IFERROR(__xludf.DUMMYFUNCTION("""COMPUTED_VALUE"""),8192.28)</f>
        <v>8192.28</v>
      </c>
      <c r="J1217" s="5">
        <f>IFERROR(__xludf.DUMMYFUNCTION("""COMPUTED_VALUE"""),6454.5)</f>
        <v>6454.5</v>
      </c>
      <c r="K1217" s="5">
        <f>IFERROR(__xludf.DUMMYFUNCTION("""COMPUTED_VALUE"""),7090.46)</f>
        <v>7090.46</v>
      </c>
      <c r="L1217" s="4">
        <f>IFERROR(__xludf.DUMMYFUNCTION("""COMPUTED_VALUE"""),3.0)</f>
        <v>3</v>
      </c>
      <c r="M1217" s="4">
        <f>IFERROR(__xludf.DUMMYFUNCTION("""COMPUTED_VALUE"""),55.0)</f>
        <v>55</v>
      </c>
      <c r="N1217" s="2" t="str">
        <f>IFERROR(__xludf.DUMMYFUNCTION("""COMPUTED_VALUE"""),"VERDADERO")</f>
        <v>VERDADERO</v>
      </c>
    </row>
    <row r="1218">
      <c r="A1218" s="2">
        <f>IFERROR(__xludf.DUMMYFUNCTION("""COMPUTED_VALUE"""),1217.0)</f>
        <v>1217</v>
      </c>
      <c r="B1218" s="2" t="str">
        <f>IFERROR(__xludf.DUMMYFUNCTION("""COMPUTED_VALUE"""),"Marge Milmoe")</f>
        <v>Marge Milmoe</v>
      </c>
      <c r="C1218" s="2" t="str">
        <f>IFERROR(__xludf.DUMMYFUNCTION("""COMPUTED_VALUE"""),"mmilmoe61@pen.io")</f>
        <v>mmilmoe61@pen.io</v>
      </c>
      <c r="D1218" s="4">
        <f>IFERROR(__xludf.DUMMYFUNCTION("""COMPUTED_VALUE"""),65.0)</f>
        <v>65</v>
      </c>
      <c r="E1218" s="4">
        <f>IFERROR(__xludf.DUMMYFUNCTION("""COMPUTED_VALUE"""),64.0)</f>
        <v>64</v>
      </c>
      <c r="F1218" s="4">
        <f>IFERROR(__xludf.DUMMYFUNCTION("""COMPUTED_VALUE"""),4.0)</f>
        <v>4</v>
      </c>
      <c r="G1218" s="4">
        <f>IFERROR(__xludf.DUMMYFUNCTION("""COMPUTED_VALUE"""),556.0)</f>
        <v>556</v>
      </c>
      <c r="H1218" s="5">
        <f>IFERROR(__xludf.DUMMYFUNCTION("""COMPUTED_VALUE"""),8010.19)</f>
        <v>8010.19</v>
      </c>
      <c r="I1218" s="5">
        <f>IFERROR(__xludf.DUMMYFUNCTION("""COMPUTED_VALUE"""),1294.77)</f>
        <v>1294.77</v>
      </c>
      <c r="J1218" s="5">
        <f>IFERROR(__xludf.DUMMYFUNCTION("""COMPUTED_VALUE"""),2609.87)</f>
        <v>2609.87</v>
      </c>
      <c r="K1218" s="5">
        <f>IFERROR(__xludf.DUMMYFUNCTION("""COMPUTED_VALUE"""),775.16)</f>
        <v>775.16</v>
      </c>
      <c r="L1218" s="4">
        <f>IFERROR(__xludf.DUMMYFUNCTION("""COMPUTED_VALUE"""),20.0)</f>
        <v>20</v>
      </c>
      <c r="M1218" s="4">
        <f>IFERROR(__xludf.DUMMYFUNCTION("""COMPUTED_VALUE"""),9.0)</f>
        <v>9</v>
      </c>
      <c r="N1218" s="2" t="str">
        <f>IFERROR(__xludf.DUMMYFUNCTION("""COMPUTED_VALUE"""),"VERDADERO")</f>
        <v>VERDADERO</v>
      </c>
    </row>
    <row r="1219">
      <c r="A1219" s="2">
        <f>IFERROR(__xludf.DUMMYFUNCTION("""COMPUTED_VALUE"""),1218.0)</f>
        <v>1218</v>
      </c>
      <c r="B1219" s="2" t="str">
        <f>IFERROR(__xludf.DUMMYFUNCTION("""COMPUTED_VALUE"""),"Doreen Challes")</f>
        <v>Doreen Challes</v>
      </c>
      <c r="C1219" s="2" t="str">
        <f>IFERROR(__xludf.DUMMYFUNCTION("""COMPUTED_VALUE"""),"dchalles62@nih.gov")</f>
        <v>dchalles62@nih.gov</v>
      </c>
      <c r="D1219" s="4">
        <f>IFERROR(__xludf.DUMMYFUNCTION("""COMPUTED_VALUE"""),120.0)</f>
        <v>120</v>
      </c>
      <c r="E1219" s="4">
        <f>IFERROR(__xludf.DUMMYFUNCTION("""COMPUTED_VALUE"""),81.0)</f>
        <v>81</v>
      </c>
      <c r="F1219" s="4">
        <f>IFERROR(__xludf.DUMMYFUNCTION("""COMPUTED_VALUE"""),2.0)</f>
        <v>2</v>
      </c>
      <c r="G1219" s="4">
        <f>IFERROR(__xludf.DUMMYFUNCTION("""COMPUTED_VALUE"""),338.0)</f>
        <v>338</v>
      </c>
      <c r="H1219" s="5">
        <f>IFERROR(__xludf.DUMMYFUNCTION("""COMPUTED_VALUE"""),4157.87)</f>
        <v>4157.87</v>
      </c>
      <c r="I1219" s="5">
        <f>IFERROR(__xludf.DUMMYFUNCTION("""COMPUTED_VALUE"""),7791.71)</f>
        <v>7791.71</v>
      </c>
      <c r="J1219" s="5">
        <f>IFERROR(__xludf.DUMMYFUNCTION("""COMPUTED_VALUE"""),6517.56)</f>
        <v>6517.56</v>
      </c>
      <c r="K1219" s="5">
        <f>IFERROR(__xludf.DUMMYFUNCTION("""COMPUTED_VALUE"""),5693.71)</f>
        <v>5693.71</v>
      </c>
      <c r="L1219" s="4">
        <f>IFERROR(__xludf.DUMMYFUNCTION("""COMPUTED_VALUE"""),18.0)</f>
        <v>18</v>
      </c>
      <c r="M1219" s="4">
        <f>IFERROR(__xludf.DUMMYFUNCTION("""COMPUTED_VALUE"""),95.0)</f>
        <v>95</v>
      </c>
      <c r="N1219" s="2" t="str">
        <f>IFERROR(__xludf.DUMMYFUNCTION("""COMPUTED_VALUE"""),"VERDADERO")</f>
        <v>VERDADERO</v>
      </c>
    </row>
    <row r="1220">
      <c r="A1220" s="2">
        <f>IFERROR(__xludf.DUMMYFUNCTION("""COMPUTED_VALUE"""),1219.0)</f>
        <v>1219</v>
      </c>
      <c r="B1220" s="2" t="str">
        <f>IFERROR(__xludf.DUMMYFUNCTION("""COMPUTED_VALUE"""),"Donielle Paolozzi")</f>
        <v>Donielle Paolozzi</v>
      </c>
      <c r="C1220" s="2" t="str">
        <f>IFERROR(__xludf.DUMMYFUNCTION("""COMPUTED_VALUE"""),"dpaolozzi63@twitpic.com")</f>
        <v>dpaolozzi63@twitpic.com</v>
      </c>
      <c r="D1220" s="4">
        <f>IFERROR(__xludf.DUMMYFUNCTION("""COMPUTED_VALUE"""),135.0)</f>
        <v>135</v>
      </c>
      <c r="E1220" s="4">
        <f>IFERROR(__xludf.DUMMYFUNCTION("""COMPUTED_VALUE"""),81.0)</f>
        <v>81</v>
      </c>
      <c r="F1220" s="4">
        <f>IFERROR(__xludf.DUMMYFUNCTION("""COMPUTED_VALUE"""),2.0)</f>
        <v>2</v>
      </c>
      <c r="G1220" s="4">
        <f>IFERROR(__xludf.DUMMYFUNCTION("""COMPUTED_VALUE"""),853.0)</f>
        <v>853</v>
      </c>
      <c r="H1220" s="5">
        <f>IFERROR(__xludf.DUMMYFUNCTION("""COMPUTED_VALUE"""),1794.48)</f>
        <v>1794.48</v>
      </c>
      <c r="I1220" s="5">
        <f>IFERROR(__xludf.DUMMYFUNCTION("""COMPUTED_VALUE"""),8566.94)</f>
        <v>8566.94</v>
      </c>
      <c r="J1220" s="5">
        <f>IFERROR(__xludf.DUMMYFUNCTION("""COMPUTED_VALUE"""),1468.98)</f>
        <v>1468.98</v>
      </c>
      <c r="K1220" s="5">
        <f>IFERROR(__xludf.DUMMYFUNCTION("""COMPUTED_VALUE"""),3833.41)</f>
        <v>3833.41</v>
      </c>
      <c r="L1220" s="4">
        <f>IFERROR(__xludf.DUMMYFUNCTION("""COMPUTED_VALUE"""),13.0)</f>
        <v>13</v>
      </c>
      <c r="M1220" s="4">
        <f>IFERROR(__xludf.DUMMYFUNCTION("""COMPUTED_VALUE"""),91.0)</f>
        <v>91</v>
      </c>
      <c r="N1220" s="2" t="str">
        <f>IFERROR(__xludf.DUMMYFUNCTION("""COMPUTED_VALUE"""),"FALSO")</f>
        <v>FALSO</v>
      </c>
    </row>
    <row r="1221">
      <c r="A1221" s="2">
        <f>IFERROR(__xludf.DUMMYFUNCTION("""COMPUTED_VALUE"""),1220.0)</f>
        <v>1220</v>
      </c>
      <c r="B1221" s="2" t="str">
        <f>IFERROR(__xludf.DUMMYFUNCTION("""COMPUTED_VALUE"""),"Vinnie Levings")</f>
        <v>Vinnie Levings</v>
      </c>
      <c r="C1221" s="2" t="str">
        <f>IFERROR(__xludf.DUMMYFUNCTION("""COMPUTED_VALUE"""),"vlevings64@aol.com")</f>
        <v>vlevings64@aol.com</v>
      </c>
      <c r="D1221" s="4">
        <f>IFERROR(__xludf.DUMMYFUNCTION("""COMPUTED_VALUE"""),153.0)</f>
        <v>153</v>
      </c>
      <c r="E1221" s="4">
        <f>IFERROR(__xludf.DUMMYFUNCTION("""COMPUTED_VALUE"""),81.0)</f>
        <v>81</v>
      </c>
      <c r="F1221" s="4">
        <f>IFERROR(__xludf.DUMMYFUNCTION("""COMPUTED_VALUE"""),2.0)</f>
        <v>2</v>
      </c>
      <c r="G1221" s="4">
        <f>IFERROR(__xludf.DUMMYFUNCTION("""COMPUTED_VALUE"""),245.0)</f>
        <v>245</v>
      </c>
      <c r="H1221" s="5">
        <f>IFERROR(__xludf.DUMMYFUNCTION("""COMPUTED_VALUE"""),3103.1)</f>
        <v>3103.1</v>
      </c>
      <c r="I1221" s="5">
        <f>IFERROR(__xludf.DUMMYFUNCTION("""COMPUTED_VALUE"""),40.35)</f>
        <v>40.35</v>
      </c>
      <c r="J1221" s="5">
        <f>IFERROR(__xludf.DUMMYFUNCTION("""COMPUTED_VALUE"""),7487.61)</f>
        <v>7487.61</v>
      </c>
      <c r="K1221" s="5">
        <f>IFERROR(__xludf.DUMMYFUNCTION("""COMPUTED_VALUE"""),7873.39)</f>
        <v>7873.39</v>
      </c>
      <c r="L1221" s="4">
        <f>IFERROR(__xludf.DUMMYFUNCTION("""COMPUTED_VALUE"""),3.0)</f>
        <v>3</v>
      </c>
      <c r="M1221" s="4">
        <f>IFERROR(__xludf.DUMMYFUNCTION("""COMPUTED_VALUE"""),47.0)</f>
        <v>47</v>
      </c>
      <c r="N1221" s="2" t="str">
        <f>IFERROR(__xludf.DUMMYFUNCTION("""COMPUTED_VALUE"""),"VERDADERO")</f>
        <v>VERDADERO</v>
      </c>
    </row>
    <row r="1222">
      <c r="A1222" s="2">
        <f>IFERROR(__xludf.DUMMYFUNCTION("""COMPUTED_VALUE"""),1221.0)</f>
        <v>1221</v>
      </c>
      <c r="B1222" s="2" t="str">
        <f>IFERROR(__xludf.DUMMYFUNCTION("""COMPUTED_VALUE"""),"Susanna Giraldez")</f>
        <v>Susanna Giraldez</v>
      </c>
      <c r="C1222" s="2" t="str">
        <f>IFERROR(__xludf.DUMMYFUNCTION("""COMPUTED_VALUE"""),"sgiraldez65@cbc.ca")</f>
        <v>sgiraldez65@cbc.ca</v>
      </c>
      <c r="D1222" s="4">
        <f>IFERROR(__xludf.DUMMYFUNCTION("""COMPUTED_VALUE"""),49.0)</f>
        <v>49</v>
      </c>
      <c r="E1222" s="4">
        <f>IFERROR(__xludf.DUMMYFUNCTION("""COMPUTED_VALUE"""),58.0)</f>
        <v>58</v>
      </c>
      <c r="F1222" s="4">
        <f>IFERROR(__xludf.DUMMYFUNCTION("""COMPUTED_VALUE"""),11.0)</f>
        <v>11</v>
      </c>
      <c r="G1222" s="4">
        <f>IFERROR(__xludf.DUMMYFUNCTION("""COMPUTED_VALUE"""),84.0)</f>
        <v>84</v>
      </c>
      <c r="H1222" s="5">
        <f>IFERROR(__xludf.DUMMYFUNCTION("""COMPUTED_VALUE"""),2314.77)</f>
        <v>2314.77</v>
      </c>
      <c r="I1222" s="5">
        <f>IFERROR(__xludf.DUMMYFUNCTION("""COMPUTED_VALUE"""),9309.72)</f>
        <v>9309.72</v>
      </c>
      <c r="J1222" s="5">
        <f>IFERROR(__xludf.DUMMYFUNCTION("""COMPUTED_VALUE"""),1210.29)</f>
        <v>1210.29</v>
      </c>
      <c r="K1222" s="5">
        <f>IFERROR(__xludf.DUMMYFUNCTION("""COMPUTED_VALUE"""),4874.74)</f>
        <v>4874.74</v>
      </c>
      <c r="L1222" s="4">
        <f>IFERROR(__xludf.DUMMYFUNCTION("""COMPUTED_VALUE"""),10.0)</f>
        <v>10</v>
      </c>
      <c r="M1222" s="4">
        <f>IFERROR(__xludf.DUMMYFUNCTION("""COMPUTED_VALUE"""),19.0)</f>
        <v>19</v>
      </c>
      <c r="N1222" s="2" t="str">
        <f>IFERROR(__xludf.DUMMYFUNCTION("""COMPUTED_VALUE"""),"VERDADERO")</f>
        <v>VERDADERO</v>
      </c>
    </row>
    <row r="1223">
      <c r="A1223" s="2">
        <f>IFERROR(__xludf.DUMMYFUNCTION("""COMPUTED_VALUE"""),1222.0)</f>
        <v>1222</v>
      </c>
      <c r="B1223" s="2" t="str">
        <f>IFERROR(__xludf.DUMMYFUNCTION("""COMPUTED_VALUE"""),"Onofredo Connolly")</f>
        <v>Onofredo Connolly</v>
      </c>
      <c r="C1223" s="2" t="str">
        <f>IFERROR(__xludf.DUMMYFUNCTION("""COMPUTED_VALUE"""),"oconnolly66@posterous.com")</f>
        <v>oconnolly66@posterous.com</v>
      </c>
      <c r="D1223" s="4">
        <f>IFERROR(__xludf.DUMMYFUNCTION("""COMPUTED_VALUE"""),98.0)</f>
        <v>98</v>
      </c>
      <c r="E1223" s="4">
        <f>IFERROR(__xludf.DUMMYFUNCTION("""COMPUTED_VALUE"""),21.0)</f>
        <v>21</v>
      </c>
      <c r="F1223" s="4">
        <f>IFERROR(__xludf.DUMMYFUNCTION("""COMPUTED_VALUE"""),4.0)</f>
        <v>4</v>
      </c>
      <c r="G1223" s="4">
        <f>IFERROR(__xludf.DUMMYFUNCTION("""COMPUTED_VALUE"""),805.0)</f>
        <v>805</v>
      </c>
      <c r="H1223" s="5">
        <f>IFERROR(__xludf.DUMMYFUNCTION("""COMPUTED_VALUE"""),756.84)</f>
        <v>756.84</v>
      </c>
      <c r="I1223" s="5">
        <f>IFERROR(__xludf.DUMMYFUNCTION("""COMPUTED_VALUE"""),447.32)</f>
        <v>447.32</v>
      </c>
      <c r="J1223" s="5">
        <f>IFERROR(__xludf.DUMMYFUNCTION("""COMPUTED_VALUE"""),8233.65)</f>
        <v>8233.65</v>
      </c>
      <c r="K1223" s="5">
        <f>IFERROR(__xludf.DUMMYFUNCTION("""COMPUTED_VALUE"""),81.07)</f>
        <v>81.07</v>
      </c>
      <c r="L1223" s="4">
        <f>IFERROR(__xludf.DUMMYFUNCTION("""COMPUTED_VALUE"""),18.0)</f>
        <v>18</v>
      </c>
      <c r="M1223" s="4">
        <f>IFERROR(__xludf.DUMMYFUNCTION("""COMPUTED_VALUE"""),82.0)</f>
        <v>82</v>
      </c>
      <c r="N1223" s="2" t="str">
        <f>IFERROR(__xludf.DUMMYFUNCTION("""COMPUTED_VALUE"""),"VERDADERO")</f>
        <v>VERDADERO</v>
      </c>
    </row>
    <row r="1224">
      <c r="A1224" s="2">
        <f>IFERROR(__xludf.DUMMYFUNCTION("""COMPUTED_VALUE"""),1223.0)</f>
        <v>1223</v>
      </c>
      <c r="B1224" s="2" t="str">
        <f>IFERROR(__xludf.DUMMYFUNCTION("""COMPUTED_VALUE"""),"Lanie Stannis")</f>
        <v>Lanie Stannis</v>
      </c>
      <c r="C1224" s="2" t="str">
        <f>IFERROR(__xludf.DUMMYFUNCTION("""COMPUTED_VALUE"""),"lstannis67@wisc.edu")</f>
        <v>lstannis67@wisc.edu</v>
      </c>
      <c r="D1224" s="4">
        <f>IFERROR(__xludf.DUMMYFUNCTION("""COMPUTED_VALUE"""),122.0)</f>
        <v>122</v>
      </c>
      <c r="E1224" s="4">
        <f>IFERROR(__xludf.DUMMYFUNCTION("""COMPUTED_VALUE"""),58.0)</f>
        <v>58</v>
      </c>
      <c r="F1224" s="4">
        <f>IFERROR(__xludf.DUMMYFUNCTION("""COMPUTED_VALUE"""),8.0)</f>
        <v>8</v>
      </c>
      <c r="G1224" s="4">
        <f>IFERROR(__xludf.DUMMYFUNCTION("""COMPUTED_VALUE"""),636.0)</f>
        <v>636</v>
      </c>
      <c r="H1224" s="5">
        <f>IFERROR(__xludf.DUMMYFUNCTION("""COMPUTED_VALUE"""),5151.46)</f>
        <v>5151.46</v>
      </c>
      <c r="I1224" s="5">
        <f>IFERROR(__xludf.DUMMYFUNCTION("""COMPUTED_VALUE"""),9107.24)</f>
        <v>9107.24</v>
      </c>
      <c r="J1224" s="5">
        <f>IFERROR(__xludf.DUMMYFUNCTION("""COMPUTED_VALUE"""),6612.09)</f>
        <v>6612.09</v>
      </c>
      <c r="K1224" s="5">
        <f>IFERROR(__xludf.DUMMYFUNCTION("""COMPUTED_VALUE"""),3221.13)</f>
        <v>3221.13</v>
      </c>
      <c r="L1224" s="4">
        <f>IFERROR(__xludf.DUMMYFUNCTION("""COMPUTED_VALUE"""),17.0)</f>
        <v>17</v>
      </c>
      <c r="M1224" s="4">
        <f>IFERROR(__xludf.DUMMYFUNCTION("""COMPUTED_VALUE"""),89.0)</f>
        <v>89</v>
      </c>
      <c r="N1224" s="2" t="str">
        <f>IFERROR(__xludf.DUMMYFUNCTION("""COMPUTED_VALUE"""),"FALSO")</f>
        <v>FALSO</v>
      </c>
    </row>
    <row r="1225">
      <c r="A1225" s="2">
        <f>IFERROR(__xludf.DUMMYFUNCTION("""COMPUTED_VALUE"""),1224.0)</f>
        <v>1224</v>
      </c>
      <c r="B1225" s="2" t="str">
        <f>IFERROR(__xludf.DUMMYFUNCTION("""COMPUTED_VALUE"""),"Billi Lared")</f>
        <v>Billi Lared</v>
      </c>
      <c r="C1225" s="2" t="str">
        <f>IFERROR(__xludf.DUMMYFUNCTION("""COMPUTED_VALUE"""),"blared68@wsj.com")</f>
        <v>blared68@wsj.com</v>
      </c>
      <c r="D1225" s="4">
        <f>IFERROR(__xludf.DUMMYFUNCTION("""COMPUTED_VALUE"""),29.0)</f>
        <v>29</v>
      </c>
      <c r="E1225" s="4">
        <f>IFERROR(__xludf.DUMMYFUNCTION("""COMPUTED_VALUE"""),73.0)</f>
        <v>73</v>
      </c>
      <c r="F1225" s="4">
        <f>IFERROR(__xludf.DUMMYFUNCTION("""COMPUTED_VALUE"""),8.0)</f>
        <v>8</v>
      </c>
      <c r="G1225" s="4">
        <f>IFERROR(__xludf.DUMMYFUNCTION("""COMPUTED_VALUE"""),1008.0)</f>
        <v>1008</v>
      </c>
      <c r="H1225" s="5">
        <f>IFERROR(__xludf.DUMMYFUNCTION("""COMPUTED_VALUE"""),5064.11)</f>
        <v>5064.11</v>
      </c>
      <c r="I1225" s="5">
        <f>IFERROR(__xludf.DUMMYFUNCTION("""COMPUTED_VALUE"""),2832.64)</f>
        <v>2832.64</v>
      </c>
      <c r="J1225" s="5">
        <f>IFERROR(__xludf.DUMMYFUNCTION("""COMPUTED_VALUE"""),6991.09)</f>
        <v>6991.09</v>
      </c>
      <c r="K1225" s="5">
        <f>IFERROR(__xludf.DUMMYFUNCTION("""COMPUTED_VALUE"""),5085.11)</f>
        <v>5085.11</v>
      </c>
      <c r="L1225" s="4">
        <f>IFERROR(__xludf.DUMMYFUNCTION("""COMPUTED_VALUE"""),2.0)</f>
        <v>2</v>
      </c>
      <c r="M1225" s="4">
        <f>IFERROR(__xludf.DUMMYFUNCTION("""COMPUTED_VALUE"""),94.0)</f>
        <v>94</v>
      </c>
      <c r="N1225" s="2" t="str">
        <f>IFERROR(__xludf.DUMMYFUNCTION("""COMPUTED_VALUE"""),"VERDADERO")</f>
        <v>VERDADERO</v>
      </c>
    </row>
    <row r="1226">
      <c r="A1226" s="2">
        <f>IFERROR(__xludf.DUMMYFUNCTION("""COMPUTED_VALUE"""),1225.0)</f>
        <v>1225</v>
      </c>
      <c r="B1226" s="2" t="str">
        <f>IFERROR(__xludf.DUMMYFUNCTION("""COMPUTED_VALUE"""),"Liz Muneely")</f>
        <v>Liz Muneely</v>
      </c>
      <c r="C1226" s="2" t="str">
        <f>IFERROR(__xludf.DUMMYFUNCTION("""COMPUTED_VALUE"""),"lmuneely69@meetup.com")</f>
        <v>lmuneely69@meetup.com</v>
      </c>
      <c r="D1226" s="4">
        <f>IFERROR(__xludf.DUMMYFUNCTION("""COMPUTED_VALUE"""),65.0)</f>
        <v>65</v>
      </c>
      <c r="E1226" s="4">
        <f>IFERROR(__xludf.DUMMYFUNCTION("""COMPUTED_VALUE"""),8.0)</f>
        <v>8</v>
      </c>
      <c r="F1226" s="4">
        <f>IFERROR(__xludf.DUMMYFUNCTION("""COMPUTED_VALUE"""),8.0)</f>
        <v>8</v>
      </c>
      <c r="G1226" s="4">
        <f>IFERROR(__xludf.DUMMYFUNCTION("""COMPUTED_VALUE"""),1332.0)</f>
        <v>1332</v>
      </c>
      <c r="H1226" s="5">
        <f>IFERROR(__xludf.DUMMYFUNCTION("""COMPUTED_VALUE"""),6221.39)</f>
        <v>6221.39</v>
      </c>
      <c r="I1226" s="5">
        <f>IFERROR(__xludf.DUMMYFUNCTION("""COMPUTED_VALUE"""),9325.88)</f>
        <v>9325.88</v>
      </c>
      <c r="J1226" s="5">
        <f>IFERROR(__xludf.DUMMYFUNCTION("""COMPUTED_VALUE"""),1108.95)</f>
        <v>1108.95</v>
      </c>
      <c r="K1226" s="5">
        <f>IFERROR(__xludf.DUMMYFUNCTION("""COMPUTED_VALUE"""),3048.58)</f>
        <v>3048.58</v>
      </c>
      <c r="L1226" s="4">
        <f>IFERROR(__xludf.DUMMYFUNCTION("""COMPUTED_VALUE"""),13.0)</f>
        <v>13</v>
      </c>
      <c r="M1226" s="4">
        <f>IFERROR(__xludf.DUMMYFUNCTION("""COMPUTED_VALUE"""),17.0)</f>
        <v>17</v>
      </c>
      <c r="N1226" s="2" t="str">
        <f>IFERROR(__xludf.DUMMYFUNCTION("""COMPUTED_VALUE"""),"VERDADERO")</f>
        <v>VERDADERO</v>
      </c>
    </row>
    <row r="1227">
      <c r="A1227" s="2">
        <f>IFERROR(__xludf.DUMMYFUNCTION("""COMPUTED_VALUE"""),1226.0)</f>
        <v>1226</v>
      </c>
      <c r="B1227" s="2" t="str">
        <f>IFERROR(__xludf.DUMMYFUNCTION("""COMPUTED_VALUE"""),"Elysha Justis")</f>
        <v>Elysha Justis</v>
      </c>
      <c r="C1227" s="2" t="str">
        <f>IFERROR(__xludf.DUMMYFUNCTION("""COMPUTED_VALUE"""),"ejustis6a@google.ca")</f>
        <v>ejustis6a@google.ca</v>
      </c>
      <c r="D1227" s="4">
        <f>IFERROR(__xludf.DUMMYFUNCTION("""COMPUTED_VALUE"""),71.0)</f>
        <v>71</v>
      </c>
      <c r="E1227" s="4">
        <f>IFERROR(__xludf.DUMMYFUNCTION("""COMPUTED_VALUE"""),12.0)</f>
        <v>12</v>
      </c>
      <c r="F1227" s="4">
        <f>IFERROR(__xludf.DUMMYFUNCTION("""COMPUTED_VALUE"""),6.0)</f>
        <v>6</v>
      </c>
      <c r="G1227" s="4">
        <f>IFERROR(__xludf.DUMMYFUNCTION("""COMPUTED_VALUE"""),705.0)</f>
        <v>705</v>
      </c>
      <c r="H1227" s="5">
        <f>IFERROR(__xludf.DUMMYFUNCTION("""COMPUTED_VALUE"""),7043.32)</f>
        <v>7043.32</v>
      </c>
      <c r="I1227" s="5">
        <f>IFERROR(__xludf.DUMMYFUNCTION("""COMPUTED_VALUE"""),7175.4)</f>
        <v>7175.4</v>
      </c>
      <c r="J1227" s="5">
        <f>IFERROR(__xludf.DUMMYFUNCTION("""COMPUTED_VALUE"""),213.19)</f>
        <v>213.19</v>
      </c>
      <c r="K1227" s="5">
        <f>IFERROR(__xludf.DUMMYFUNCTION("""COMPUTED_VALUE"""),405.18)</f>
        <v>405.18</v>
      </c>
      <c r="L1227" s="4">
        <f>IFERROR(__xludf.DUMMYFUNCTION("""COMPUTED_VALUE"""),16.0)</f>
        <v>16</v>
      </c>
      <c r="M1227" s="4">
        <f>IFERROR(__xludf.DUMMYFUNCTION("""COMPUTED_VALUE"""),43.0)</f>
        <v>43</v>
      </c>
      <c r="N1227" s="2" t="str">
        <f>IFERROR(__xludf.DUMMYFUNCTION("""COMPUTED_VALUE"""),"VERDADERO")</f>
        <v>VERDADERO</v>
      </c>
    </row>
    <row r="1228">
      <c r="A1228" s="2">
        <f>IFERROR(__xludf.DUMMYFUNCTION("""COMPUTED_VALUE"""),1227.0)</f>
        <v>1227</v>
      </c>
      <c r="B1228" s="2" t="str">
        <f>IFERROR(__xludf.DUMMYFUNCTION("""COMPUTED_VALUE"""),"Hannis Hulstrom")</f>
        <v>Hannis Hulstrom</v>
      </c>
      <c r="C1228" s="2" t="str">
        <f>IFERROR(__xludf.DUMMYFUNCTION("""COMPUTED_VALUE"""),"hhulstrom6b@guardian.co.uk")</f>
        <v>hhulstrom6b@guardian.co.uk</v>
      </c>
      <c r="D1228" s="4">
        <f>IFERROR(__xludf.DUMMYFUNCTION("""COMPUTED_VALUE"""),65.0)</f>
        <v>65</v>
      </c>
      <c r="E1228" s="4">
        <f>IFERROR(__xludf.DUMMYFUNCTION("""COMPUTED_VALUE"""),11.0)</f>
        <v>11</v>
      </c>
      <c r="F1228" s="4">
        <f>IFERROR(__xludf.DUMMYFUNCTION("""COMPUTED_VALUE"""),13.0)</f>
        <v>13</v>
      </c>
      <c r="G1228" s="4">
        <f>IFERROR(__xludf.DUMMYFUNCTION("""COMPUTED_VALUE"""),928.0)</f>
        <v>928</v>
      </c>
      <c r="H1228" s="5">
        <f>IFERROR(__xludf.DUMMYFUNCTION("""COMPUTED_VALUE"""),7204.94)</f>
        <v>7204.94</v>
      </c>
      <c r="I1228" s="5">
        <f>IFERROR(__xludf.DUMMYFUNCTION("""COMPUTED_VALUE"""),5350.98)</f>
        <v>5350.98</v>
      </c>
      <c r="J1228" s="5">
        <f>IFERROR(__xludf.DUMMYFUNCTION("""COMPUTED_VALUE"""),6215.28)</f>
        <v>6215.28</v>
      </c>
      <c r="K1228" s="5">
        <f>IFERROR(__xludf.DUMMYFUNCTION("""COMPUTED_VALUE"""),3931.74)</f>
        <v>3931.74</v>
      </c>
      <c r="L1228" s="4">
        <f>IFERROR(__xludf.DUMMYFUNCTION("""COMPUTED_VALUE"""),11.0)</f>
        <v>11</v>
      </c>
      <c r="M1228" s="4">
        <f>IFERROR(__xludf.DUMMYFUNCTION("""COMPUTED_VALUE"""),13.0)</f>
        <v>13</v>
      </c>
      <c r="N1228" s="2" t="str">
        <f>IFERROR(__xludf.DUMMYFUNCTION("""COMPUTED_VALUE"""),"FALSO")</f>
        <v>FALSO</v>
      </c>
    </row>
    <row r="1229">
      <c r="A1229" s="2">
        <f>IFERROR(__xludf.DUMMYFUNCTION("""COMPUTED_VALUE"""),1228.0)</f>
        <v>1228</v>
      </c>
      <c r="B1229" s="2" t="str">
        <f>IFERROR(__xludf.DUMMYFUNCTION("""COMPUTED_VALUE"""),"Salvatore Devereu")</f>
        <v>Salvatore Devereu</v>
      </c>
      <c r="C1229" s="2" t="str">
        <f>IFERROR(__xludf.DUMMYFUNCTION("""COMPUTED_VALUE"""),"sdevereu6c@ow.ly")</f>
        <v>sdevereu6c@ow.ly</v>
      </c>
      <c r="D1229" s="4">
        <f>IFERROR(__xludf.DUMMYFUNCTION("""COMPUTED_VALUE"""),12.0)</f>
        <v>12</v>
      </c>
      <c r="E1229" s="4">
        <f>IFERROR(__xludf.DUMMYFUNCTION("""COMPUTED_VALUE"""),6.0)</f>
        <v>6</v>
      </c>
      <c r="F1229" s="4">
        <f>IFERROR(__xludf.DUMMYFUNCTION("""COMPUTED_VALUE"""),13.0)</f>
        <v>13</v>
      </c>
      <c r="G1229" s="4">
        <f>IFERROR(__xludf.DUMMYFUNCTION("""COMPUTED_VALUE"""),1200.0)</f>
        <v>1200</v>
      </c>
      <c r="H1229" s="5">
        <f>IFERROR(__xludf.DUMMYFUNCTION("""COMPUTED_VALUE"""),8889.4)</f>
        <v>8889.4</v>
      </c>
      <c r="I1229" s="5">
        <f>IFERROR(__xludf.DUMMYFUNCTION("""COMPUTED_VALUE"""),1615.18)</f>
        <v>1615.18</v>
      </c>
      <c r="J1229" s="5">
        <f>IFERROR(__xludf.DUMMYFUNCTION("""COMPUTED_VALUE"""),2873.41)</f>
        <v>2873.41</v>
      </c>
      <c r="K1229" s="5">
        <f>IFERROR(__xludf.DUMMYFUNCTION("""COMPUTED_VALUE"""),1163.56)</f>
        <v>1163.56</v>
      </c>
      <c r="L1229" s="4">
        <f>IFERROR(__xludf.DUMMYFUNCTION("""COMPUTED_VALUE"""),3.0)</f>
        <v>3</v>
      </c>
      <c r="M1229" s="4">
        <f>IFERROR(__xludf.DUMMYFUNCTION("""COMPUTED_VALUE"""),31.0)</f>
        <v>31</v>
      </c>
      <c r="N1229" s="2" t="str">
        <f>IFERROR(__xludf.DUMMYFUNCTION("""COMPUTED_VALUE"""),"VERDADERO")</f>
        <v>VERDADERO</v>
      </c>
    </row>
    <row r="1230">
      <c r="A1230" s="2">
        <f>IFERROR(__xludf.DUMMYFUNCTION("""COMPUTED_VALUE"""),1229.0)</f>
        <v>1229</v>
      </c>
      <c r="B1230" s="2" t="str">
        <f>IFERROR(__xludf.DUMMYFUNCTION("""COMPUTED_VALUE"""),"Carol Rispen")</f>
        <v>Carol Rispen</v>
      </c>
      <c r="C1230" s="2" t="str">
        <f>IFERROR(__xludf.DUMMYFUNCTION("""COMPUTED_VALUE"""),"crispen6d@businessweek.com")</f>
        <v>crispen6d@businessweek.com</v>
      </c>
      <c r="D1230" s="4">
        <f>IFERROR(__xludf.DUMMYFUNCTION("""COMPUTED_VALUE"""),124.0)</f>
        <v>124</v>
      </c>
      <c r="E1230" s="4">
        <f>IFERROR(__xludf.DUMMYFUNCTION("""COMPUTED_VALUE"""),81.0)</f>
        <v>81</v>
      </c>
      <c r="F1230" s="4">
        <f>IFERROR(__xludf.DUMMYFUNCTION("""COMPUTED_VALUE"""),2.0)</f>
        <v>2</v>
      </c>
      <c r="G1230" s="4">
        <f>IFERROR(__xludf.DUMMYFUNCTION("""COMPUTED_VALUE"""),1559.0)</f>
        <v>1559</v>
      </c>
      <c r="H1230" s="5">
        <f>IFERROR(__xludf.DUMMYFUNCTION("""COMPUTED_VALUE"""),3537.73)</f>
        <v>3537.73</v>
      </c>
      <c r="I1230" s="5">
        <f>IFERROR(__xludf.DUMMYFUNCTION("""COMPUTED_VALUE"""),6677.11)</f>
        <v>6677.11</v>
      </c>
      <c r="J1230" s="5">
        <f>IFERROR(__xludf.DUMMYFUNCTION("""COMPUTED_VALUE"""),972.24)</f>
        <v>972.24</v>
      </c>
      <c r="K1230" s="5">
        <f>IFERROR(__xludf.DUMMYFUNCTION("""COMPUTED_VALUE"""),2792.91)</f>
        <v>2792.91</v>
      </c>
      <c r="L1230" s="4">
        <f>IFERROR(__xludf.DUMMYFUNCTION("""COMPUTED_VALUE"""),10.0)</f>
        <v>10</v>
      </c>
      <c r="M1230" s="4">
        <f>IFERROR(__xludf.DUMMYFUNCTION("""COMPUTED_VALUE"""),11.0)</f>
        <v>11</v>
      </c>
      <c r="N1230" s="2" t="str">
        <f>IFERROR(__xludf.DUMMYFUNCTION("""COMPUTED_VALUE"""),"VERDADERO")</f>
        <v>VERDADERO</v>
      </c>
    </row>
    <row r="1231">
      <c r="A1231" s="2">
        <f>IFERROR(__xludf.DUMMYFUNCTION("""COMPUTED_VALUE"""),1230.0)</f>
        <v>1230</v>
      </c>
      <c r="B1231" s="2" t="str">
        <f>IFERROR(__xludf.DUMMYFUNCTION("""COMPUTED_VALUE"""),"Nicolai Coughlin")</f>
        <v>Nicolai Coughlin</v>
      </c>
      <c r="C1231" s="2" t="str">
        <f>IFERROR(__xludf.DUMMYFUNCTION("""COMPUTED_VALUE"""),"ncoughlin6e@booking.com")</f>
        <v>ncoughlin6e@booking.com</v>
      </c>
      <c r="D1231" s="4">
        <f>IFERROR(__xludf.DUMMYFUNCTION("""COMPUTED_VALUE"""),66.0)</f>
        <v>66</v>
      </c>
      <c r="E1231" s="4">
        <f>IFERROR(__xludf.DUMMYFUNCTION("""COMPUTED_VALUE"""),6.0)</f>
        <v>6</v>
      </c>
      <c r="F1231" s="4">
        <f>IFERROR(__xludf.DUMMYFUNCTION("""COMPUTED_VALUE"""),13.0)</f>
        <v>13</v>
      </c>
      <c r="G1231" s="4">
        <f>IFERROR(__xludf.DUMMYFUNCTION("""COMPUTED_VALUE"""),1107.0)</f>
        <v>1107</v>
      </c>
      <c r="H1231" s="5">
        <f>IFERROR(__xludf.DUMMYFUNCTION("""COMPUTED_VALUE"""),3935.96)</f>
        <v>3935.96</v>
      </c>
      <c r="I1231" s="5">
        <f>IFERROR(__xludf.DUMMYFUNCTION("""COMPUTED_VALUE"""),7227.23)</f>
        <v>7227.23</v>
      </c>
      <c r="J1231" s="5">
        <f>IFERROR(__xludf.DUMMYFUNCTION("""COMPUTED_VALUE"""),7995.36)</f>
        <v>7995.36</v>
      </c>
      <c r="K1231" s="5">
        <f>IFERROR(__xludf.DUMMYFUNCTION("""COMPUTED_VALUE"""),9553.46)</f>
        <v>9553.46</v>
      </c>
      <c r="L1231" s="4">
        <f>IFERROR(__xludf.DUMMYFUNCTION("""COMPUTED_VALUE"""),6.0)</f>
        <v>6</v>
      </c>
      <c r="M1231" s="4">
        <f>IFERROR(__xludf.DUMMYFUNCTION("""COMPUTED_VALUE"""),29.0)</f>
        <v>29</v>
      </c>
      <c r="N1231" s="2" t="str">
        <f>IFERROR(__xludf.DUMMYFUNCTION("""COMPUTED_VALUE"""),"VERDADERO")</f>
        <v>VERDADERO</v>
      </c>
    </row>
    <row r="1232">
      <c r="A1232" s="2">
        <f>IFERROR(__xludf.DUMMYFUNCTION("""COMPUTED_VALUE"""),1231.0)</f>
        <v>1231</v>
      </c>
      <c r="B1232" s="2" t="str">
        <f>IFERROR(__xludf.DUMMYFUNCTION("""COMPUTED_VALUE"""),"Brinna Soloway")</f>
        <v>Brinna Soloway</v>
      </c>
      <c r="C1232" s="2" t="str">
        <f>IFERROR(__xludf.DUMMYFUNCTION("""COMPUTED_VALUE"""),"bsoloway6f@jiathis.com")</f>
        <v>bsoloway6f@jiathis.com</v>
      </c>
      <c r="D1232" s="4">
        <f>IFERROR(__xludf.DUMMYFUNCTION("""COMPUTED_VALUE"""),30.0)</f>
        <v>30</v>
      </c>
      <c r="E1232" s="4">
        <f>IFERROR(__xludf.DUMMYFUNCTION("""COMPUTED_VALUE"""),81.0)</f>
        <v>81</v>
      </c>
      <c r="F1232" s="4">
        <f>IFERROR(__xludf.DUMMYFUNCTION("""COMPUTED_VALUE"""),2.0)</f>
        <v>2</v>
      </c>
      <c r="G1232" s="4">
        <f>IFERROR(__xludf.DUMMYFUNCTION("""COMPUTED_VALUE"""),218.0)</f>
        <v>218</v>
      </c>
      <c r="H1232" s="5">
        <f>IFERROR(__xludf.DUMMYFUNCTION("""COMPUTED_VALUE"""),9936.86)</f>
        <v>9936.86</v>
      </c>
      <c r="I1232" s="5">
        <f>IFERROR(__xludf.DUMMYFUNCTION("""COMPUTED_VALUE"""),289.31)</f>
        <v>289.31</v>
      </c>
      <c r="J1232" s="5">
        <f>IFERROR(__xludf.DUMMYFUNCTION("""COMPUTED_VALUE"""),2467.07)</f>
        <v>2467.07</v>
      </c>
      <c r="K1232" s="5">
        <f>IFERROR(__xludf.DUMMYFUNCTION("""COMPUTED_VALUE"""),4137.43)</f>
        <v>4137.43</v>
      </c>
      <c r="L1232" s="4">
        <f>IFERROR(__xludf.DUMMYFUNCTION("""COMPUTED_VALUE"""),4.0)</f>
        <v>4</v>
      </c>
      <c r="M1232" s="4">
        <f>IFERROR(__xludf.DUMMYFUNCTION("""COMPUTED_VALUE"""),18.0)</f>
        <v>18</v>
      </c>
      <c r="N1232" s="2" t="str">
        <f>IFERROR(__xludf.DUMMYFUNCTION("""COMPUTED_VALUE"""),"FALSO")</f>
        <v>FALSO</v>
      </c>
    </row>
    <row r="1233">
      <c r="A1233" s="2">
        <f>IFERROR(__xludf.DUMMYFUNCTION("""COMPUTED_VALUE"""),1232.0)</f>
        <v>1232</v>
      </c>
      <c r="B1233" s="2" t="str">
        <f>IFERROR(__xludf.DUMMYFUNCTION("""COMPUTED_VALUE"""),"Ellswerth Stables")</f>
        <v>Ellswerth Stables</v>
      </c>
      <c r="C1233" s="2" t="str">
        <f>IFERROR(__xludf.DUMMYFUNCTION("""COMPUTED_VALUE"""),"estables6g@drupal.org")</f>
        <v>estables6g@drupal.org</v>
      </c>
      <c r="D1233" s="4">
        <f>IFERROR(__xludf.DUMMYFUNCTION("""COMPUTED_VALUE"""),153.0)</f>
        <v>153</v>
      </c>
      <c r="E1233" s="4">
        <f>IFERROR(__xludf.DUMMYFUNCTION("""COMPUTED_VALUE"""),81.0)</f>
        <v>81</v>
      </c>
      <c r="F1233" s="4">
        <f>IFERROR(__xludf.DUMMYFUNCTION("""COMPUTED_VALUE"""),2.0)</f>
        <v>2</v>
      </c>
      <c r="G1233" s="4">
        <f>IFERROR(__xludf.DUMMYFUNCTION("""COMPUTED_VALUE"""),1481.0)</f>
        <v>1481</v>
      </c>
      <c r="H1233" s="5">
        <f>IFERROR(__xludf.DUMMYFUNCTION("""COMPUTED_VALUE"""),240.95)</f>
        <v>240.95</v>
      </c>
      <c r="I1233" s="5">
        <f>IFERROR(__xludf.DUMMYFUNCTION("""COMPUTED_VALUE"""),3777.23)</f>
        <v>3777.23</v>
      </c>
      <c r="J1233" s="5">
        <f>IFERROR(__xludf.DUMMYFUNCTION("""COMPUTED_VALUE"""),8548.16)</f>
        <v>8548.16</v>
      </c>
      <c r="K1233" s="5">
        <f>IFERROR(__xludf.DUMMYFUNCTION("""COMPUTED_VALUE"""),5648.39)</f>
        <v>5648.39</v>
      </c>
      <c r="L1233" s="4">
        <f>IFERROR(__xludf.DUMMYFUNCTION("""COMPUTED_VALUE"""),15.0)</f>
        <v>15</v>
      </c>
      <c r="M1233" s="4">
        <f>IFERROR(__xludf.DUMMYFUNCTION("""COMPUTED_VALUE"""),4.0)</f>
        <v>4</v>
      </c>
      <c r="N1233" s="2" t="str">
        <f>IFERROR(__xludf.DUMMYFUNCTION("""COMPUTED_VALUE"""),"VERDADERO")</f>
        <v>VERDADERO</v>
      </c>
    </row>
    <row r="1234">
      <c r="A1234" s="2">
        <f>IFERROR(__xludf.DUMMYFUNCTION("""COMPUTED_VALUE"""),1233.0)</f>
        <v>1233</v>
      </c>
      <c r="B1234" s="2" t="str">
        <f>IFERROR(__xludf.DUMMYFUNCTION("""COMPUTED_VALUE"""),"Ramsey Dottrell")</f>
        <v>Ramsey Dottrell</v>
      </c>
      <c r="C1234" s="2" t="str">
        <f>IFERROR(__xludf.DUMMYFUNCTION("""COMPUTED_VALUE"""),"rdottrell6h@yellowbook.com")</f>
        <v>rdottrell6h@yellowbook.com</v>
      </c>
      <c r="D1234" s="4">
        <f>IFERROR(__xludf.DUMMYFUNCTION("""COMPUTED_VALUE"""),99.0)</f>
        <v>99</v>
      </c>
      <c r="E1234" s="4">
        <f>IFERROR(__xludf.DUMMYFUNCTION("""COMPUTED_VALUE"""),62.0)</f>
        <v>62</v>
      </c>
      <c r="F1234" s="4">
        <f>IFERROR(__xludf.DUMMYFUNCTION("""COMPUTED_VALUE"""),4.0)</f>
        <v>4</v>
      </c>
      <c r="G1234" s="4">
        <f>IFERROR(__xludf.DUMMYFUNCTION("""COMPUTED_VALUE"""),703.0)</f>
        <v>703</v>
      </c>
      <c r="H1234" s="5">
        <f>IFERROR(__xludf.DUMMYFUNCTION("""COMPUTED_VALUE"""),5521.55)</f>
        <v>5521.55</v>
      </c>
      <c r="I1234" s="5">
        <f>IFERROR(__xludf.DUMMYFUNCTION("""COMPUTED_VALUE"""),8100.58)</f>
        <v>8100.58</v>
      </c>
      <c r="J1234" s="5">
        <f>IFERROR(__xludf.DUMMYFUNCTION("""COMPUTED_VALUE"""),9303.42)</f>
        <v>9303.42</v>
      </c>
      <c r="K1234" s="5">
        <f>IFERROR(__xludf.DUMMYFUNCTION("""COMPUTED_VALUE"""),725.7)</f>
        <v>725.7</v>
      </c>
      <c r="L1234" s="4">
        <f>IFERROR(__xludf.DUMMYFUNCTION("""COMPUTED_VALUE"""),14.0)</f>
        <v>14</v>
      </c>
      <c r="M1234" s="4">
        <f>IFERROR(__xludf.DUMMYFUNCTION("""COMPUTED_VALUE"""),43.0)</f>
        <v>43</v>
      </c>
      <c r="N1234" s="2" t="str">
        <f>IFERROR(__xludf.DUMMYFUNCTION("""COMPUTED_VALUE"""),"VERDADERO")</f>
        <v>VERDADERO</v>
      </c>
    </row>
    <row r="1235">
      <c r="A1235" s="2">
        <f>IFERROR(__xludf.DUMMYFUNCTION("""COMPUTED_VALUE"""),1234.0)</f>
        <v>1234</v>
      </c>
      <c r="B1235" s="2" t="str">
        <f>IFERROR(__xludf.DUMMYFUNCTION("""COMPUTED_VALUE"""),"Gavra Willeman")</f>
        <v>Gavra Willeman</v>
      </c>
      <c r="C1235" s="2" t="str">
        <f>IFERROR(__xludf.DUMMYFUNCTION("""COMPUTED_VALUE"""),"gwilleman6i@usa.gov")</f>
        <v>gwilleman6i@usa.gov</v>
      </c>
      <c r="D1235" s="4">
        <f>IFERROR(__xludf.DUMMYFUNCTION("""COMPUTED_VALUE"""),73.0)</f>
        <v>73</v>
      </c>
      <c r="E1235" s="4">
        <f>IFERROR(__xludf.DUMMYFUNCTION("""COMPUTED_VALUE"""),58.0)</f>
        <v>58</v>
      </c>
      <c r="F1235" s="4">
        <f>IFERROR(__xludf.DUMMYFUNCTION("""COMPUTED_VALUE"""),8.0)</f>
        <v>8</v>
      </c>
      <c r="G1235" s="4">
        <f>IFERROR(__xludf.DUMMYFUNCTION("""COMPUTED_VALUE"""),689.0)</f>
        <v>689</v>
      </c>
      <c r="H1235" s="5">
        <f>IFERROR(__xludf.DUMMYFUNCTION("""COMPUTED_VALUE"""),6054.47)</f>
        <v>6054.47</v>
      </c>
      <c r="I1235" s="5">
        <f>IFERROR(__xludf.DUMMYFUNCTION("""COMPUTED_VALUE"""),5164.31)</f>
        <v>5164.31</v>
      </c>
      <c r="J1235" s="5">
        <f>IFERROR(__xludf.DUMMYFUNCTION("""COMPUTED_VALUE"""),3909.18)</f>
        <v>3909.18</v>
      </c>
      <c r="K1235" s="5">
        <f>IFERROR(__xludf.DUMMYFUNCTION("""COMPUTED_VALUE"""),6822.06)</f>
        <v>6822.06</v>
      </c>
      <c r="L1235" s="4">
        <f>IFERROR(__xludf.DUMMYFUNCTION("""COMPUTED_VALUE"""),13.0)</f>
        <v>13</v>
      </c>
      <c r="M1235" s="4">
        <f>IFERROR(__xludf.DUMMYFUNCTION("""COMPUTED_VALUE"""),16.0)</f>
        <v>16</v>
      </c>
      <c r="N1235" s="2" t="str">
        <f>IFERROR(__xludf.DUMMYFUNCTION("""COMPUTED_VALUE"""),"VERDADERO")</f>
        <v>VERDADERO</v>
      </c>
    </row>
    <row r="1236">
      <c r="A1236" s="2">
        <f>IFERROR(__xludf.DUMMYFUNCTION("""COMPUTED_VALUE"""),1235.0)</f>
        <v>1235</v>
      </c>
      <c r="B1236" s="2" t="str">
        <f>IFERROR(__xludf.DUMMYFUNCTION("""COMPUTED_VALUE"""),"Abigael Wingate")</f>
        <v>Abigael Wingate</v>
      </c>
      <c r="C1236" s="2" t="str">
        <f>IFERROR(__xludf.DUMMYFUNCTION("""COMPUTED_VALUE"""),"awingate6j@w3.org")</f>
        <v>awingate6j@w3.org</v>
      </c>
      <c r="D1236" s="4">
        <f>IFERROR(__xludf.DUMMYFUNCTION("""COMPUTED_VALUE"""),29.0)</f>
        <v>29</v>
      </c>
      <c r="E1236" s="4">
        <f>IFERROR(__xludf.DUMMYFUNCTION("""COMPUTED_VALUE"""),25.0)</f>
        <v>25</v>
      </c>
      <c r="F1236" s="4">
        <f>IFERROR(__xludf.DUMMYFUNCTION("""COMPUTED_VALUE"""),4.0)</f>
        <v>4</v>
      </c>
      <c r="G1236" s="4">
        <f>IFERROR(__xludf.DUMMYFUNCTION("""COMPUTED_VALUE"""),698.0)</f>
        <v>698</v>
      </c>
      <c r="H1236" s="5">
        <f>IFERROR(__xludf.DUMMYFUNCTION("""COMPUTED_VALUE"""),1908.06)</f>
        <v>1908.06</v>
      </c>
      <c r="I1236" s="5">
        <f>IFERROR(__xludf.DUMMYFUNCTION("""COMPUTED_VALUE"""),8204.45)</f>
        <v>8204.45</v>
      </c>
      <c r="J1236" s="5">
        <f>IFERROR(__xludf.DUMMYFUNCTION("""COMPUTED_VALUE"""),607.08)</f>
        <v>607.08</v>
      </c>
      <c r="K1236" s="5">
        <f>IFERROR(__xludf.DUMMYFUNCTION("""COMPUTED_VALUE"""),3420.53)</f>
        <v>3420.53</v>
      </c>
      <c r="L1236" s="4">
        <f>IFERROR(__xludf.DUMMYFUNCTION("""COMPUTED_VALUE"""),14.0)</f>
        <v>14</v>
      </c>
      <c r="M1236" s="4">
        <f>IFERROR(__xludf.DUMMYFUNCTION("""COMPUTED_VALUE"""),34.0)</f>
        <v>34</v>
      </c>
      <c r="N1236" s="2" t="str">
        <f>IFERROR(__xludf.DUMMYFUNCTION("""COMPUTED_VALUE"""),"VERDADERO")</f>
        <v>VERDADERO</v>
      </c>
    </row>
    <row r="1237">
      <c r="A1237" s="2">
        <f>IFERROR(__xludf.DUMMYFUNCTION("""COMPUTED_VALUE"""),1236.0)</f>
        <v>1236</v>
      </c>
      <c r="B1237" s="2" t="str">
        <f>IFERROR(__xludf.DUMMYFUNCTION("""COMPUTED_VALUE"""),"Nata Pilkinton")</f>
        <v>Nata Pilkinton</v>
      </c>
      <c r="C1237" s="2" t="str">
        <f>IFERROR(__xludf.DUMMYFUNCTION("""COMPUTED_VALUE"""),"npilkinton6k@123-reg.co.uk")</f>
        <v>npilkinton6k@123-reg.co.uk</v>
      </c>
      <c r="D1237" s="4">
        <f>IFERROR(__xludf.DUMMYFUNCTION("""COMPUTED_VALUE"""),84.0)</f>
        <v>84</v>
      </c>
      <c r="E1237" s="4">
        <f>IFERROR(__xludf.DUMMYFUNCTION("""COMPUTED_VALUE"""),27.0)</f>
        <v>27</v>
      </c>
      <c r="F1237" s="4">
        <f>IFERROR(__xludf.DUMMYFUNCTION("""COMPUTED_VALUE"""),11.0)</f>
        <v>11</v>
      </c>
      <c r="G1237" s="4">
        <f>IFERROR(__xludf.DUMMYFUNCTION("""COMPUTED_VALUE"""),1009.0)</f>
        <v>1009</v>
      </c>
      <c r="H1237" s="5">
        <f>IFERROR(__xludf.DUMMYFUNCTION("""COMPUTED_VALUE"""),4378.32)</f>
        <v>4378.32</v>
      </c>
      <c r="I1237" s="5">
        <f>IFERROR(__xludf.DUMMYFUNCTION("""COMPUTED_VALUE"""),8070.37)</f>
        <v>8070.37</v>
      </c>
      <c r="J1237" s="5">
        <f>IFERROR(__xludf.DUMMYFUNCTION("""COMPUTED_VALUE"""),5567.97)</f>
        <v>5567.97</v>
      </c>
      <c r="K1237" s="5">
        <f>IFERROR(__xludf.DUMMYFUNCTION("""COMPUTED_VALUE"""),4674.67)</f>
        <v>4674.67</v>
      </c>
      <c r="L1237" s="4">
        <f>IFERROR(__xludf.DUMMYFUNCTION("""COMPUTED_VALUE"""),14.0)</f>
        <v>14</v>
      </c>
      <c r="M1237" s="4">
        <f>IFERROR(__xludf.DUMMYFUNCTION("""COMPUTED_VALUE"""),6.0)</f>
        <v>6</v>
      </c>
      <c r="N1237" s="2" t="str">
        <f>IFERROR(__xludf.DUMMYFUNCTION("""COMPUTED_VALUE"""),"VERDADERO")</f>
        <v>VERDADERO</v>
      </c>
    </row>
    <row r="1238">
      <c r="A1238" s="2">
        <f>IFERROR(__xludf.DUMMYFUNCTION("""COMPUTED_VALUE"""),1237.0)</f>
        <v>1237</v>
      </c>
      <c r="B1238" s="2" t="str">
        <f>IFERROR(__xludf.DUMMYFUNCTION("""COMPUTED_VALUE"""),"Wanda Humble")</f>
        <v>Wanda Humble</v>
      </c>
      <c r="C1238" s="2" t="str">
        <f>IFERROR(__xludf.DUMMYFUNCTION("""COMPUTED_VALUE"""),"whumble6l@cisco.com")</f>
        <v>whumble6l@cisco.com</v>
      </c>
      <c r="D1238" s="4">
        <f>IFERROR(__xludf.DUMMYFUNCTION("""COMPUTED_VALUE"""),29.0)</f>
        <v>29</v>
      </c>
      <c r="E1238" s="4">
        <f>IFERROR(__xludf.DUMMYFUNCTION("""COMPUTED_VALUE"""),58.0)</f>
        <v>58</v>
      </c>
      <c r="F1238" s="4">
        <f>IFERROR(__xludf.DUMMYFUNCTION("""COMPUTED_VALUE"""),3.0)</f>
        <v>3</v>
      </c>
      <c r="G1238" s="4">
        <f>IFERROR(__xludf.DUMMYFUNCTION("""COMPUTED_VALUE"""),275.0)</f>
        <v>275</v>
      </c>
      <c r="H1238" s="5">
        <f>IFERROR(__xludf.DUMMYFUNCTION("""COMPUTED_VALUE"""),235.25)</f>
        <v>235.25</v>
      </c>
      <c r="I1238" s="5">
        <f>IFERROR(__xludf.DUMMYFUNCTION("""COMPUTED_VALUE"""),3795.61)</f>
        <v>3795.61</v>
      </c>
      <c r="J1238" s="5">
        <f>IFERROR(__xludf.DUMMYFUNCTION("""COMPUTED_VALUE"""),8321.07)</f>
        <v>8321.07</v>
      </c>
      <c r="K1238" s="5">
        <f>IFERROR(__xludf.DUMMYFUNCTION("""COMPUTED_VALUE"""),7132.17)</f>
        <v>7132.17</v>
      </c>
      <c r="L1238" s="4">
        <f>IFERROR(__xludf.DUMMYFUNCTION("""COMPUTED_VALUE"""),7.0)</f>
        <v>7</v>
      </c>
      <c r="M1238" s="4">
        <f>IFERROR(__xludf.DUMMYFUNCTION("""COMPUTED_VALUE"""),78.0)</f>
        <v>78</v>
      </c>
      <c r="N1238" s="2" t="str">
        <f>IFERROR(__xludf.DUMMYFUNCTION("""COMPUTED_VALUE"""),"VERDADERO")</f>
        <v>VERDADERO</v>
      </c>
    </row>
    <row r="1239">
      <c r="A1239" s="2">
        <f>IFERROR(__xludf.DUMMYFUNCTION("""COMPUTED_VALUE"""),1238.0)</f>
        <v>1238</v>
      </c>
      <c r="B1239" s="2" t="str">
        <f>IFERROR(__xludf.DUMMYFUNCTION("""COMPUTED_VALUE"""),"Hagen Crush")</f>
        <v>Hagen Crush</v>
      </c>
      <c r="C1239" s="2" t="str">
        <f>IFERROR(__xludf.DUMMYFUNCTION("""COMPUTED_VALUE"""),"hcrush6m@wunderground.com")</f>
        <v>hcrush6m@wunderground.com</v>
      </c>
      <c r="D1239" s="4">
        <f>IFERROR(__xludf.DUMMYFUNCTION("""COMPUTED_VALUE"""),124.0)</f>
        <v>124</v>
      </c>
      <c r="E1239" s="4">
        <f>IFERROR(__xludf.DUMMYFUNCTION("""COMPUTED_VALUE"""),81.0)</f>
        <v>81</v>
      </c>
      <c r="F1239" s="4">
        <f>IFERROR(__xludf.DUMMYFUNCTION("""COMPUTED_VALUE"""),2.0)</f>
        <v>2</v>
      </c>
      <c r="G1239" s="4">
        <f>IFERROR(__xludf.DUMMYFUNCTION("""COMPUTED_VALUE"""),924.0)</f>
        <v>924</v>
      </c>
      <c r="H1239" s="5">
        <f>IFERROR(__xludf.DUMMYFUNCTION("""COMPUTED_VALUE"""),8647.7)</f>
        <v>8647.7</v>
      </c>
      <c r="I1239" s="5">
        <f>IFERROR(__xludf.DUMMYFUNCTION("""COMPUTED_VALUE"""),1567.0)</f>
        <v>1567</v>
      </c>
      <c r="J1239" s="5">
        <f>IFERROR(__xludf.DUMMYFUNCTION("""COMPUTED_VALUE"""),3790.04)</f>
        <v>3790.04</v>
      </c>
      <c r="K1239" s="5">
        <f>IFERROR(__xludf.DUMMYFUNCTION("""COMPUTED_VALUE"""),6880.0)</f>
        <v>6880</v>
      </c>
      <c r="L1239" s="4">
        <f>IFERROR(__xludf.DUMMYFUNCTION("""COMPUTED_VALUE"""),4.0)</f>
        <v>4</v>
      </c>
      <c r="M1239" s="4">
        <f>IFERROR(__xludf.DUMMYFUNCTION("""COMPUTED_VALUE"""),8.0)</f>
        <v>8</v>
      </c>
      <c r="N1239" s="2" t="str">
        <f>IFERROR(__xludf.DUMMYFUNCTION("""COMPUTED_VALUE"""),"FALSO")</f>
        <v>FALSO</v>
      </c>
    </row>
    <row r="1240">
      <c r="A1240" s="2">
        <f>IFERROR(__xludf.DUMMYFUNCTION("""COMPUTED_VALUE"""),1239.0)</f>
        <v>1239</v>
      </c>
      <c r="B1240" s="2" t="str">
        <f>IFERROR(__xludf.DUMMYFUNCTION("""COMPUTED_VALUE"""),"Ahmed Bohl")</f>
        <v>Ahmed Bohl</v>
      </c>
      <c r="C1240" s="2" t="str">
        <f>IFERROR(__xludf.DUMMYFUNCTION("""COMPUTED_VALUE"""),"abohl6n@irs.gov")</f>
        <v>abohl6n@irs.gov</v>
      </c>
      <c r="D1240" s="4">
        <f>IFERROR(__xludf.DUMMYFUNCTION("""COMPUTED_VALUE"""),17.0)</f>
        <v>17</v>
      </c>
      <c r="E1240" s="4">
        <f>IFERROR(__xludf.DUMMYFUNCTION("""COMPUTED_VALUE"""),86.0)</f>
        <v>86</v>
      </c>
      <c r="F1240" s="4">
        <f>IFERROR(__xludf.DUMMYFUNCTION("""COMPUTED_VALUE"""),3.0)</f>
        <v>3</v>
      </c>
      <c r="G1240" s="4">
        <f>IFERROR(__xludf.DUMMYFUNCTION("""COMPUTED_VALUE"""),1528.0)</f>
        <v>1528</v>
      </c>
      <c r="H1240" s="5">
        <f>IFERROR(__xludf.DUMMYFUNCTION("""COMPUTED_VALUE"""),1023.88)</f>
        <v>1023.88</v>
      </c>
      <c r="I1240" s="5">
        <f>IFERROR(__xludf.DUMMYFUNCTION("""COMPUTED_VALUE"""),4127.82)</f>
        <v>4127.82</v>
      </c>
      <c r="J1240" s="5">
        <f>IFERROR(__xludf.DUMMYFUNCTION("""COMPUTED_VALUE"""),1099.13)</f>
        <v>1099.13</v>
      </c>
      <c r="K1240" s="5">
        <f>IFERROR(__xludf.DUMMYFUNCTION("""COMPUTED_VALUE"""),1630.65)</f>
        <v>1630.65</v>
      </c>
      <c r="L1240" s="4">
        <f>IFERROR(__xludf.DUMMYFUNCTION("""COMPUTED_VALUE"""),18.0)</f>
        <v>18</v>
      </c>
      <c r="M1240" s="4">
        <f>IFERROR(__xludf.DUMMYFUNCTION("""COMPUTED_VALUE"""),59.0)</f>
        <v>59</v>
      </c>
      <c r="N1240" s="2" t="str">
        <f>IFERROR(__xludf.DUMMYFUNCTION("""COMPUTED_VALUE"""),"VERDADERO")</f>
        <v>VERDADERO</v>
      </c>
    </row>
    <row r="1241">
      <c r="A1241" s="2">
        <f>IFERROR(__xludf.DUMMYFUNCTION("""COMPUTED_VALUE"""),1240.0)</f>
        <v>1240</v>
      </c>
      <c r="B1241" s="2" t="str">
        <f>IFERROR(__xludf.DUMMYFUNCTION("""COMPUTED_VALUE"""),"Kathryne Valerius")</f>
        <v>Kathryne Valerius</v>
      </c>
      <c r="C1241" s="2" t="str">
        <f>IFERROR(__xludf.DUMMYFUNCTION("""COMPUTED_VALUE"""),"kvalerius6o@epa.gov")</f>
        <v>kvalerius6o@epa.gov</v>
      </c>
      <c r="D1241" s="4">
        <f>IFERROR(__xludf.DUMMYFUNCTION("""COMPUTED_VALUE"""),29.0)</f>
        <v>29</v>
      </c>
      <c r="E1241" s="4">
        <f>IFERROR(__xludf.DUMMYFUNCTION("""COMPUTED_VALUE"""),57.0)</f>
        <v>57</v>
      </c>
      <c r="F1241" s="4">
        <f>IFERROR(__xludf.DUMMYFUNCTION("""COMPUTED_VALUE"""),5.0)</f>
        <v>5</v>
      </c>
      <c r="G1241" s="4">
        <f>IFERROR(__xludf.DUMMYFUNCTION("""COMPUTED_VALUE"""),1587.0)</f>
        <v>1587</v>
      </c>
      <c r="H1241" s="5">
        <f>IFERROR(__xludf.DUMMYFUNCTION("""COMPUTED_VALUE"""),1920.95)</f>
        <v>1920.95</v>
      </c>
      <c r="I1241" s="5">
        <f>IFERROR(__xludf.DUMMYFUNCTION("""COMPUTED_VALUE"""),7668.05)</f>
        <v>7668.05</v>
      </c>
      <c r="J1241" s="5">
        <f>IFERROR(__xludf.DUMMYFUNCTION("""COMPUTED_VALUE"""),6738.11)</f>
        <v>6738.11</v>
      </c>
      <c r="K1241" s="5">
        <f>IFERROR(__xludf.DUMMYFUNCTION("""COMPUTED_VALUE"""),2267.95)</f>
        <v>2267.95</v>
      </c>
      <c r="L1241" s="4">
        <f>IFERROR(__xludf.DUMMYFUNCTION("""COMPUTED_VALUE"""),19.0)</f>
        <v>19</v>
      </c>
      <c r="M1241" s="4">
        <f>IFERROR(__xludf.DUMMYFUNCTION("""COMPUTED_VALUE"""),75.0)</f>
        <v>75</v>
      </c>
      <c r="N1241" s="2" t="str">
        <f>IFERROR(__xludf.DUMMYFUNCTION("""COMPUTED_VALUE"""),"FALSO")</f>
        <v>FALSO</v>
      </c>
    </row>
    <row r="1242">
      <c r="A1242" s="2">
        <f>IFERROR(__xludf.DUMMYFUNCTION("""COMPUTED_VALUE"""),1241.0)</f>
        <v>1241</v>
      </c>
      <c r="B1242" s="2" t="str">
        <f>IFERROR(__xludf.DUMMYFUNCTION("""COMPUTED_VALUE"""),"Warren Kivelhan")</f>
        <v>Warren Kivelhan</v>
      </c>
      <c r="C1242" s="2" t="str">
        <f>IFERROR(__xludf.DUMMYFUNCTION("""COMPUTED_VALUE"""),"wkivelhan6p@ibm.com")</f>
        <v>wkivelhan6p@ibm.com</v>
      </c>
      <c r="D1242" s="4">
        <f>IFERROR(__xludf.DUMMYFUNCTION("""COMPUTED_VALUE"""),54.0)</f>
        <v>54</v>
      </c>
      <c r="E1242" s="4">
        <f>IFERROR(__xludf.DUMMYFUNCTION("""COMPUTED_VALUE"""),40.0)</f>
        <v>40</v>
      </c>
      <c r="F1242" s="4">
        <f>IFERROR(__xludf.DUMMYFUNCTION("""COMPUTED_VALUE"""),1.0)</f>
        <v>1</v>
      </c>
      <c r="G1242" s="4">
        <f>IFERROR(__xludf.DUMMYFUNCTION("""COMPUTED_VALUE"""),466.0)</f>
        <v>466</v>
      </c>
      <c r="H1242" s="5">
        <f>IFERROR(__xludf.DUMMYFUNCTION("""COMPUTED_VALUE"""),2690.03)</f>
        <v>2690.03</v>
      </c>
      <c r="I1242" s="5">
        <f>IFERROR(__xludf.DUMMYFUNCTION("""COMPUTED_VALUE"""),6552.47)</f>
        <v>6552.47</v>
      </c>
      <c r="J1242" s="5">
        <f>IFERROR(__xludf.DUMMYFUNCTION("""COMPUTED_VALUE"""),4488.02)</f>
        <v>4488.02</v>
      </c>
      <c r="K1242" s="5">
        <f>IFERROR(__xludf.DUMMYFUNCTION("""COMPUTED_VALUE"""),1284.48)</f>
        <v>1284.48</v>
      </c>
      <c r="L1242" s="4">
        <f>IFERROR(__xludf.DUMMYFUNCTION("""COMPUTED_VALUE"""),7.0)</f>
        <v>7</v>
      </c>
      <c r="M1242" s="4">
        <f>IFERROR(__xludf.DUMMYFUNCTION("""COMPUTED_VALUE"""),29.0)</f>
        <v>29</v>
      </c>
      <c r="N1242" s="2" t="str">
        <f>IFERROR(__xludf.DUMMYFUNCTION("""COMPUTED_VALUE"""),"VERDADERO")</f>
        <v>VERDADERO</v>
      </c>
    </row>
    <row r="1243">
      <c r="A1243" s="2">
        <f>IFERROR(__xludf.DUMMYFUNCTION("""COMPUTED_VALUE"""),1242.0)</f>
        <v>1242</v>
      </c>
      <c r="B1243" s="2" t="str">
        <f>IFERROR(__xludf.DUMMYFUNCTION("""COMPUTED_VALUE"""),"Zak Ravenhill")</f>
        <v>Zak Ravenhill</v>
      </c>
      <c r="C1243" s="2" t="str">
        <f>IFERROR(__xludf.DUMMYFUNCTION("""COMPUTED_VALUE"""),"zravenhill6q@networksolutions.com")</f>
        <v>zravenhill6q@networksolutions.com</v>
      </c>
      <c r="D1243" s="4">
        <f>IFERROR(__xludf.DUMMYFUNCTION("""COMPUTED_VALUE"""),29.0)</f>
        <v>29</v>
      </c>
      <c r="E1243" s="4">
        <f>IFERROR(__xludf.DUMMYFUNCTION("""COMPUTED_VALUE"""),66.0)</f>
        <v>66</v>
      </c>
      <c r="F1243" s="4">
        <f>IFERROR(__xludf.DUMMYFUNCTION("""COMPUTED_VALUE"""),6.0)</f>
        <v>6</v>
      </c>
      <c r="G1243" s="4">
        <f>IFERROR(__xludf.DUMMYFUNCTION("""COMPUTED_VALUE"""),619.0)</f>
        <v>619</v>
      </c>
      <c r="H1243" s="5">
        <f>IFERROR(__xludf.DUMMYFUNCTION("""COMPUTED_VALUE"""),4725.28)</f>
        <v>4725.28</v>
      </c>
      <c r="I1243" s="5">
        <f>IFERROR(__xludf.DUMMYFUNCTION("""COMPUTED_VALUE"""),4192.07)</f>
        <v>4192.07</v>
      </c>
      <c r="J1243" s="5">
        <f>IFERROR(__xludf.DUMMYFUNCTION("""COMPUTED_VALUE"""),5230.38)</f>
        <v>5230.38</v>
      </c>
      <c r="K1243" s="5">
        <f>IFERROR(__xludf.DUMMYFUNCTION("""COMPUTED_VALUE"""),2356.39)</f>
        <v>2356.39</v>
      </c>
      <c r="L1243" s="4">
        <f>IFERROR(__xludf.DUMMYFUNCTION("""COMPUTED_VALUE"""),6.0)</f>
        <v>6</v>
      </c>
      <c r="M1243" s="4">
        <f>IFERROR(__xludf.DUMMYFUNCTION("""COMPUTED_VALUE"""),93.0)</f>
        <v>93</v>
      </c>
      <c r="N1243" s="2" t="str">
        <f>IFERROR(__xludf.DUMMYFUNCTION("""COMPUTED_VALUE"""),"VERDADERO")</f>
        <v>VERDADERO</v>
      </c>
    </row>
    <row r="1244">
      <c r="A1244" s="2">
        <f>IFERROR(__xludf.DUMMYFUNCTION("""COMPUTED_VALUE"""),1243.0)</f>
        <v>1243</v>
      </c>
      <c r="B1244" s="2" t="str">
        <f>IFERROR(__xludf.DUMMYFUNCTION("""COMPUTED_VALUE"""),"Brianna Everton")</f>
        <v>Brianna Everton</v>
      </c>
      <c r="C1244" s="2" t="str">
        <f>IFERROR(__xludf.DUMMYFUNCTION("""COMPUTED_VALUE"""),"beverton6r@1und1.de")</f>
        <v>beverton6r@1und1.de</v>
      </c>
      <c r="D1244" s="4">
        <f>IFERROR(__xludf.DUMMYFUNCTION("""COMPUTED_VALUE"""),104.0)</f>
        <v>104</v>
      </c>
      <c r="E1244" s="4">
        <f>IFERROR(__xludf.DUMMYFUNCTION("""COMPUTED_VALUE"""),104.0)</f>
        <v>104</v>
      </c>
      <c r="F1244" s="4">
        <f>IFERROR(__xludf.DUMMYFUNCTION("""COMPUTED_VALUE"""),11.0)</f>
        <v>11</v>
      </c>
      <c r="G1244" s="4">
        <f>IFERROR(__xludf.DUMMYFUNCTION("""COMPUTED_VALUE"""),1362.0)</f>
        <v>1362</v>
      </c>
      <c r="H1244" s="5">
        <f>IFERROR(__xludf.DUMMYFUNCTION("""COMPUTED_VALUE"""),6520.32)</f>
        <v>6520.32</v>
      </c>
      <c r="I1244" s="5">
        <f>IFERROR(__xludf.DUMMYFUNCTION("""COMPUTED_VALUE"""),3097.56)</f>
        <v>3097.56</v>
      </c>
      <c r="J1244" s="5">
        <f>IFERROR(__xludf.DUMMYFUNCTION("""COMPUTED_VALUE"""),665.21)</f>
        <v>665.21</v>
      </c>
      <c r="K1244" s="5">
        <f>IFERROR(__xludf.DUMMYFUNCTION("""COMPUTED_VALUE"""),5994.33)</f>
        <v>5994.33</v>
      </c>
      <c r="L1244" s="4">
        <f>IFERROR(__xludf.DUMMYFUNCTION("""COMPUTED_VALUE"""),17.0)</f>
        <v>17</v>
      </c>
      <c r="M1244" s="4">
        <f>IFERROR(__xludf.DUMMYFUNCTION("""COMPUTED_VALUE"""),48.0)</f>
        <v>48</v>
      </c>
      <c r="N1244" s="2" t="str">
        <f>IFERROR(__xludf.DUMMYFUNCTION("""COMPUTED_VALUE"""),"FALSO")</f>
        <v>FALSO</v>
      </c>
    </row>
    <row r="1245">
      <c r="A1245" s="2">
        <f>IFERROR(__xludf.DUMMYFUNCTION("""COMPUTED_VALUE"""),1244.0)</f>
        <v>1244</v>
      </c>
      <c r="B1245" s="2" t="str">
        <f>IFERROR(__xludf.DUMMYFUNCTION("""COMPUTED_VALUE"""),"Moore Sheach")</f>
        <v>Moore Sheach</v>
      </c>
      <c r="C1245" s="2" t="str">
        <f>IFERROR(__xludf.DUMMYFUNCTION("""COMPUTED_VALUE"""),"msheach6s@sakura.ne.jp")</f>
        <v>msheach6s@sakura.ne.jp</v>
      </c>
      <c r="D1245" s="4">
        <f>IFERROR(__xludf.DUMMYFUNCTION("""COMPUTED_VALUE"""),29.0)</f>
        <v>29</v>
      </c>
      <c r="E1245" s="4">
        <f>IFERROR(__xludf.DUMMYFUNCTION("""COMPUTED_VALUE"""),54.0)</f>
        <v>54</v>
      </c>
      <c r="F1245" s="4">
        <f>IFERROR(__xludf.DUMMYFUNCTION("""COMPUTED_VALUE"""),10.0)</f>
        <v>10</v>
      </c>
      <c r="G1245" s="4">
        <f>IFERROR(__xludf.DUMMYFUNCTION("""COMPUTED_VALUE"""),1025.0)</f>
        <v>1025</v>
      </c>
      <c r="H1245" s="5">
        <f>IFERROR(__xludf.DUMMYFUNCTION("""COMPUTED_VALUE"""),4447.81)</f>
        <v>4447.81</v>
      </c>
      <c r="I1245" s="5">
        <f>IFERROR(__xludf.DUMMYFUNCTION("""COMPUTED_VALUE"""),324.06)</f>
        <v>324.06</v>
      </c>
      <c r="J1245" s="5">
        <f>IFERROR(__xludf.DUMMYFUNCTION("""COMPUTED_VALUE"""),2936.6)</f>
        <v>2936.6</v>
      </c>
      <c r="K1245" s="5">
        <f>IFERROR(__xludf.DUMMYFUNCTION("""COMPUTED_VALUE"""),4206.41)</f>
        <v>4206.41</v>
      </c>
      <c r="L1245" s="4">
        <f>IFERROR(__xludf.DUMMYFUNCTION("""COMPUTED_VALUE"""),4.0)</f>
        <v>4</v>
      </c>
      <c r="M1245" s="4">
        <f>IFERROR(__xludf.DUMMYFUNCTION("""COMPUTED_VALUE"""),18.0)</f>
        <v>18</v>
      </c>
      <c r="N1245" s="2" t="str">
        <f>IFERROR(__xludf.DUMMYFUNCTION("""COMPUTED_VALUE"""),"VERDADERO")</f>
        <v>VERDADERO</v>
      </c>
    </row>
    <row r="1246">
      <c r="A1246" s="2">
        <f>IFERROR(__xludf.DUMMYFUNCTION("""COMPUTED_VALUE"""),1245.0)</f>
        <v>1245</v>
      </c>
      <c r="B1246" s="2" t="str">
        <f>IFERROR(__xludf.DUMMYFUNCTION("""COMPUTED_VALUE"""),"Ardelia Gurry")</f>
        <v>Ardelia Gurry</v>
      </c>
      <c r="C1246" s="2" t="str">
        <f>IFERROR(__xludf.DUMMYFUNCTION("""COMPUTED_VALUE"""),"agurry6t@nyu.edu")</f>
        <v>agurry6t@nyu.edu</v>
      </c>
      <c r="D1246" s="4">
        <f>IFERROR(__xludf.DUMMYFUNCTION("""COMPUTED_VALUE"""),29.0)</f>
        <v>29</v>
      </c>
      <c r="E1246" s="4">
        <f>IFERROR(__xludf.DUMMYFUNCTION("""COMPUTED_VALUE"""),64.0)</f>
        <v>64</v>
      </c>
      <c r="F1246" s="4">
        <f>IFERROR(__xludf.DUMMYFUNCTION("""COMPUTED_VALUE"""),4.0)</f>
        <v>4</v>
      </c>
      <c r="G1246" s="4">
        <f>IFERROR(__xludf.DUMMYFUNCTION("""COMPUTED_VALUE"""),141.0)</f>
        <v>141</v>
      </c>
      <c r="H1246" s="5">
        <f>IFERROR(__xludf.DUMMYFUNCTION("""COMPUTED_VALUE"""),46.23)</f>
        <v>46.23</v>
      </c>
      <c r="I1246" s="5">
        <f>IFERROR(__xludf.DUMMYFUNCTION("""COMPUTED_VALUE"""),1775.82)</f>
        <v>1775.82</v>
      </c>
      <c r="J1246" s="5">
        <f>IFERROR(__xludf.DUMMYFUNCTION("""COMPUTED_VALUE"""),8068.83)</f>
        <v>8068.83</v>
      </c>
      <c r="K1246" s="5">
        <f>IFERROR(__xludf.DUMMYFUNCTION("""COMPUTED_VALUE"""),9414.44)</f>
        <v>9414.44</v>
      </c>
      <c r="L1246" s="4">
        <f>IFERROR(__xludf.DUMMYFUNCTION("""COMPUTED_VALUE"""),5.0)</f>
        <v>5</v>
      </c>
      <c r="M1246" s="4">
        <f>IFERROR(__xludf.DUMMYFUNCTION("""COMPUTED_VALUE"""),63.0)</f>
        <v>63</v>
      </c>
      <c r="N1246" s="2" t="str">
        <f>IFERROR(__xludf.DUMMYFUNCTION("""COMPUTED_VALUE"""),"FALSO")</f>
        <v>FALSO</v>
      </c>
    </row>
    <row r="1247">
      <c r="A1247" s="2">
        <f>IFERROR(__xludf.DUMMYFUNCTION("""COMPUTED_VALUE"""),1246.0)</f>
        <v>1246</v>
      </c>
      <c r="B1247" s="2" t="str">
        <f>IFERROR(__xludf.DUMMYFUNCTION("""COMPUTED_VALUE"""),"Adaline Beldham")</f>
        <v>Adaline Beldham</v>
      </c>
      <c r="C1247" s="2" t="str">
        <f>IFERROR(__xludf.DUMMYFUNCTION("""COMPUTED_VALUE"""),"abeldham6u@unesco.org")</f>
        <v>abeldham6u@unesco.org</v>
      </c>
      <c r="D1247" s="4">
        <f>IFERROR(__xludf.DUMMYFUNCTION("""COMPUTED_VALUE"""),122.0)</f>
        <v>122</v>
      </c>
      <c r="E1247" s="4">
        <f>IFERROR(__xludf.DUMMYFUNCTION("""COMPUTED_VALUE"""),14.0)</f>
        <v>14</v>
      </c>
      <c r="F1247" s="4">
        <f>IFERROR(__xludf.DUMMYFUNCTION("""COMPUTED_VALUE"""),6.0)</f>
        <v>6</v>
      </c>
      <c r="G1247" s="4">
        <f>IFERROR(__xludf.DUMMYFUNCTION("""COMPUTED_VALUE"""),191.0)</f>
        <v>191</v>
      </c>
      <c r="H1247" s="5">
        <f>IFERROR(__xludf.DUMMYFUNCTION("""COMPUTED_VALUE"""),6042.77)</f>
        <v>6042.77</v>
      </c>
      <c r="I1247" s="5">
        <f>IFERROR(__xludf.DUMMYFUNCTION("""COMPUTED_VALUE"""),5201.12)</f>
        <v>5201.12</v>
      </c>
      <c r="J1247" s="5">
        <f>IFERROR(__xludf.DUMMYFUNCTION("""COMPUTED_VALUE"""),1979.43)</f>
        <v>1979.43</v>
      </c>
      <c r="K1247" s="5">
        <f>IFERROR(__xludf.DUMMYFUNCTION("""COMPUTED_VALUE"""),4380.05)</f>
        <v>4380.05</v>
      </c>
      <c r="L1247" s="4">
        <f>IFERROR(__xludf.DUMMYFUNCTION("""COMPUTED_VALUE"""),13.0)</f>
        <v>13</v>
      </c>
      <c r="M1247" s="4">
        <f>IFERROR(__xludf.DUMMYFUNCTION("""COMPUTED_VALUE"""),9.0)</f>
        <v>9</v>
      </c>
      <c r="N1247" s="2" t="str">
        <f>IFERROR(__xludf.DUMMYFUNCTION("""COMPUTED_VALUE"""),"VERDADERO")</f>
        <v>VERDADERO</v>
      </c>
    </row>
    <row r="1248">
      <c r="A1248" s="2">
        <f>IFERROR(__xludf.DUMMYFUNCTION("""COMPUTED_VALUE"""),1247.0)</f>
        <v>1247</v>
      </c>
      <c r="B1248" s="2" t="str">
        <f>IFERROR(__xludf.DUMMYFUNCTION("""COMPUTED_VALUE"""),"Danit Mongenot")</f>
        <v>Danit Mongenot</v>
      </c>
      <c r="C1248" s="2" t="str">
        <f>IFERROR(__xludf.DUMMYFUNCTION("""COMPUTED_VALUE"""),"dmongenot6v@si.edu")</f>
        <v>dmongenot6v@si.edu</v>
      </c>
      <c r="D1248" s="4">
        <f>IFERROR(__xludf.DUMMYFUNCTION("""COMPUTED_VALUE"""),73.0)</f>
        <v>73</v>
      </c>
      <c r="E1248" s="4">
        <f>IFERROR(__xludf.DUMMYFUNCTION("""COMPUTED_VALUE"""),64.0)</f>
        <v>64</v>
      </c>
      <c r="F1248" s="4">
        <f>IFERROR(__xludf.DUMMYFUNCTION("""COMPUTED_VALUE"""),4.0)</f>
        <v>4</v>
      </c>
      <c r="G1248" s="4">
        <f>IFERROR(__xludf.DUMMYFUNCTION("""COMPUTED_VALUE"""),721.0)</f>
        <v>721</v>
      </c>
      <c r="H1248" s="5">
        <f>IFERROR(__xludf.DUMMYFUNCTION("""COMPUTED_VALUE"""),4746.18)</f>
        <v>4746.18</v>
      </c>
      <c r="I1248" s="5">
        <f>IFERROR(__xludf.DUMMYFUNCTION("""COMPUTED_VALUE"""),4661.46)</f>
        <v>4661.46</v>
      </c>
      <c r="J1248" s="5">
        <f>IFERROR(__xludf.DUMMYFUNCTION("""COMPUTED_VALUE"""),142.95)</f>
        <v>142.95</v>
      </c>
      <c r="K1248" s="5">
        <f>IFERROR(__xludf.DUMMYFUNCTION("""COMPUTED_VALUE"""),7034.39)</f>
        <v>7034.39</v>
      </c>
      <c r="L1248" s="4">
        <f>IFERROR(__xludf.DUMMYFUNCTION("""COMPUTED_VALUE"""),4.0)</f>
        <v>4</v>
      </c>
      <c r="M1248" s="4">
        <f>IFERROR(__xludf.DUMMYFUNCTION("""COMPUTED_VALUE"""),69.0)</f>
        <v>69</v>
      </c>
      <c r="N1248" s="2" t="str">
        <f>IFERROR(__xludf.DUMMYFUNCTION("""COMPUTED_VALUE"""),"FALSO")</f>
        <v>FALSO</v>
      </c>
    </row>
    <row r="1249">
      <c r="A1249" s="2">
        <f>IFERROR(__xludf.DUMMYFUNCTION("""COMPUTED_VALUE"""),1248.0)</f>
        <v>1248</v>
      </c>
      <c r="B1249" s="2" t="str">
        <f>IFERROR(__xludf.DUMMYFUNCTION("""COMPUTED_VALUE"""),"Benedetta Gayne")</f>
        <v>Benedetta Gayne</v>
      </c>
      <c r="C1249" s="2" t="str">
        <f>IFERROR(__xludf.DUMMYFUNCTION("""COMPUTED_VALUE"""),"bgayne6w@multiply.com")</f>
        <v>bgayne6w@multiply.com</v>
      </c>
      <c r="D1249" s="4">
        <f>IFERROR(__xludf.DUMMYFUNCTION("""COMPUTED_VALUE"""),120.0)</f>
        <v>120</v>
      </c>
      <c r="E1249" s="4">
        <f>IFERROR(__xludf.DUMMYFUNCTION("""COMPUTED_VALUE"""),119.0)</f>
        <v>119</v>
      </c>
      <c r="F1249" s="4">
        <f>IFERROR(__xludf.DUMMYFUNCTION("""COMPUTED_VALUE"""),5.0)</f>
        <v>5</v>
      </c>
      <c r="G1249" s="4">
        <f>IFERROR(__xludf.DUMMYFUNCTION("""COMPUTED_VALUE"""),758.0)</f>
        <v>758</v>
      </c>
      <c r="H1249" s="5">
        <f>IFERROR(__xludf.DUMMYFUNCTION("""COMPUTED_VALUE"""),6449.89)</f>
        <v>6449.89</v>
      </c>
      <c r="I1249" s="5">
        <f>IFERROR(__xludf.DUMMYFUNCTION("""COMPUTED_VALUE"""),4615.71)</f>
        <v>4615.71</v>
      </c>
      <c r="J1249" s="5">
        <f>IFERROR(__xludf.DUMMYFUNCTION("""COMPUTED_VALUE"""),5204.37)</f>
        <v>5204.37</v>
      </c>
      <c r="K1249" s="5">
        <f>IFERROR(__xludf.DUMMYFUNCTION("""COMPUTED_VALUE"""),8924.88)</f>
        <v>8924.88</v>
      </c>
      <c r="L1249" s="4">
        <f>IFERROR(__xludf.DUMMYFUNCTION("""COMPUTED_VALUE"""),3.0)</f>
        <v>3</v>
      </c>
      <c r="M1249" s="4">
        <f>IFERROR(__xludf.DUMMYFUNCTION("""COMPUTED_VALUE"""),61.0)</f>
        <v>61</v>
      </c>
      <c r="N1249" s="2" t="str">
        <f>IFERROR(__xludf.DUMMYFUNCTION("""COMPUTED_VALUE"""),"FALSO")</f>
        <v>FALSO</v>
      </c>
    </row>
    <row r="1250">
      <c r="A1250" s="2">
        <f>IFERROR(__xludf.DUMMYFUNCTION("""COMPUTED_VALUE"""),1249.0)</f>
        <v>1249</v>
      </c>
      <c r="B1250" s="2" t="str">
        <f>IFERROR(__xludf.DUMMYFUNCTION("""COMPUTED_VALUE"""),"Mina Dench")</f>
        <v>Mina Dench</v>
      </c>
      <c r="C1250" s="2" t="str">
        <f>IFERROR(__xludf.DUMMYFUNCTION("""COMPUTED_VALUE"""),"mdench6x@myspace.com")</f>
        <v>mdench6x@myspace.com</v>
      </c>
      <c r="D1250" s="4">
        <f>IFERROR(__xludf.DUMMYFUNCTION("""COMPUTED_VALUE"""),119.0)</f>
        <v>119</v>
      </c>
      <c r="E1250" s="4">
        <f>IFERROR(__xludf.DUMMYFUNCTION("""COMPUTED_VALUE"""),66.0)</f>
        <v>66</v>
      </c>
      <c r="F1250" s="4">
        <f>IFERROR(__xludf.DUMMYFUNCTION("""COMPUTED_VALUE"""),6.0)</f>
        <v>6</v>
      </c>
      <c r="G1250" s="4">
        <f>IFERROR(__xludf.DUMMYFUNCTION("""COMPUTED_VALUE"""),507.0)</f>
        <v>507</v>
      </c>
      <c r="H1250" s="5">
        <f>IFERROR(__xludf.DUMMYFUNCTION("""COMPUTED_VALUE"""),8897.22)</f>
        <v>8897.22</v>
      </c>
      <c r="I1250" s="5">
        <f>IFERROR(__xludf.DUMMYFUNCTION("""COMPUTED_VALUE"""),2577.84)</f>
        <v>2577.84</v>
      </c>
      <c r="J1250" s="5">
        <f>IFERROR(__xludf.DUMMYFUNCTION("""COMPUTED_VALUE"""),7149.96)</f>
        <v>7149.96</v>
      </c>
      <c r="K1250" s="5">
        <f>IFERROR(__xludf.DUMMYFUNCTION("""COMPUTED_VALUE"""),3439.5)</f>
        <v>3439.5</v>
      </c>
      <c r="L1250" s="4">
        <f>IFERROR(__xludf.DUMMYFUNCTION("""COMPUTED_VALUE"""),13.0)</f>
        <v>13</v>
      </c>
      <c r="M1250" s="4">
        <f>IFERROR(__xludf.DUMMYFUNCTION("""COMPUTED_VALUE"""),77.0)</f>
        <v>77</v>
      </c>
      <c r="N1250" s="2" t="str">
        <f>IFERROR(__xludf.DUMMYFUNCTION("""COMPUTED_VALUE"""),"VERDADERO")</f>
        <v>VERDADERO</v>
      </c>
    </row>
    <row r="1251">
      <c r="A1251" s="2">
        <f>IFERROR(__xludf.DUMMYFUNCTION("""COMPUTED_VALUE"""),1250.0)</f>
        <v>1250</v>
      </c>
      <c r="B1251" s="2" t="str">
        <f>IFERROR(__xludf.DUMMYFUNCTION("""COMPUTED_VALUE"""),"Ruthy McKomb")</f>
        <v>Ruthy McKomb</v>
      </c>
      <c r="C1251" s="2" t="str">
        <f>IFERROR(__xludf.DUMMYFUNCTION("""COMPUTED_VALUE"""),"rmckomb6y@msu.edu")</f>
        <v>rmckomb6y@msu.edu</v>
      </c>
      <c r="D1251" s="4">
        <f>IFERROR(__xludf.DUMMYFUNCTION("""COMPUTED_VALUE"""),139.0)</f>
        <v>139</v>
      </c>
      <c r="E1251" s="4">
        <f>IFERROR(__xludf.DUMMYFUNCTION("""COMPUTED_VALUE"""),20.0)</f>
        <v>20</v>
      </c>
      <c r="F1251" s="4">
        <f>IFERROR(__xludf.DUMMYFUNCTION("""COMPUTED_VALUE"""),8.0)</f>
        <v>8</v>
      </c>
      <c r="G1251" s="4">
        <f>IFERROR(__xludf.DUMMYFUNCTION("""COMPUTED_VALUE"""),160.0)</f>
        <v>160</v>
      </c>
      <c r="H1251" s="5">
        <f>IFERROR(__xludf.DUMMYFUNCTION("""COMPUTED_VALUE"""),8602.46)</f>
        <v>8602.46</v>
      </c>
      <c r="I1251" s="5">
        <f>IFERROR(__xludf.DUMMYFUNCTION("""COMPUTED_VALUE"""),852.44)</f>
        <v>852.44</v>
      </c>
      <c r="J1251" s="5">
        <f>IFERROR(__xludf.DUMMYFUNCTION("""COMPUTED_VALUE"""),6318.39)</f>
        <v>6318.39</v>
      </c>
      <c r="K1251" s="5">
        <f>IFERROR(__xludf.DUMMYFUNCTION("""COMPUTED_VALUE"""),5482.89)</f>
        <v>5482.89</v>
      </c>
      <c r="L1251" s="4">
        <f>IFERROR(__xludf.DUMMYFUNCTION("""COMPUTED_VALUE"""),13.0)</f>
        <v>13</v>
      </c>
      <c r="M1251" s="4">
        <f>IFERROR(__xludf.DUMMYFUNCTION("""COMPUTED_VALUE"""),82.0)</f>
        <v>82</v>
      </c>
      <c r="N1251" s="2" t="str">
        <f>IFERROR(__xludf.DUMMYFUNCTION("""COMPUTED_VALUE"""),"FALSO")</f>
        <v>FALSO</v>
      </c>
    </row>
    <row r="1252">
      <c r="A1252" s="2">
        <f>IFERROR(__xludf.DUMMYFUNCTION("""COMPUTED_VALUE"""),1251.0)</f>
        <v>1251</v>
      </c>
      <c r="B1252" s="2" t="str">
        <f>IFERROR(__xludf.DUMMYFUNCTION("""COMPUTED_VALUE"""),"Shoshanna Muffett")</f>
        <v>Shoshanna Muffett</v>
      </c>
      <c r="C1252" s="2" t="str">
        <f>IFERROR(__xludf.DUMMYFUNCTION("""COMPUTED_VALUE"""),"smuffett6z@twitpic.com")</f>
        <v>smuffett6z@twitpic.com</v>
      </c>
      <c r="D1252" s="4">
        <f>IFERROR(__xludf.DUMMYFUNCTION("""COMPUTED_VALUE"""),120.0)</f>
        <v>120</v>
      </c>
      <c r="E1252" s="4">
        <f>IFERROR(__xludf.DUMMYFUNCTION("""COMPUTED_VALUE"""),29.0)</f>
        <v>29</v>
      </c>
      <c r="F1252" s="4">
        <f>IFERROR(__xludf.DUMMYFUNCTION("""COMPUTED_VALUE"""),11.0)</f>
        <v>11</v>
      </c>
      <c r="G1252" s="4">
        <f>IFERROR(__xludf.DUMMYFUNCTION("""COMPUTED_VALUE"""),243.0)</f>
        <v>243</v>
      </c>
      <c r="H1252" s="5">
        <f>IFERROR(__xludf.DUMMYFUNCTION("""COMPUTED_VALUE"""),1442.73)</f>
        <v>1442.73</v>
      </c>
      <c r="I1252" s="5">
        <f>IFERROR(__xludf.DUMMYFUNCTION("""COMPUTED_VALUE"""),7855.48)</f>
        <v>7855.48</v>
      </c>
      <c r="J1252" s="5">
        <f>IFERROR(__xludf.DUMMYFUNCTION("""COMPUTED_VALUE"""),5355.41)</f>
        <v>5355.41</v>
      </c>
      <c r="K1252" s="5">
        <f>IFERROR(__xludf.DUMMYFUNCTION("""COMPUTED_VALUE"""),4501.32)</f>
        <v>4501.32</v>
      </c>
      <c r="L1252" s="4">
        <f>IFERROR(__xludf.DUMMYFUNCTION("""COMPUTED_VALUE"""),1.0)</f>
        <v>1</v>
      </c>
      <c r="M1252" s="4">
        <f>IFERROR(__xludf.DUMMYFUNCTION("""COMPUTED_VALUE"""),24.0)</f>
        <v>24</v>
      </c>
      <c r="N1252" s="2" t="str">
        <f>IFERROR(__xludf.DUMMYFUNCTION("""COMPUTED_VALUE"""),"FALSO")</f>
        <v>FALSO</v>
      </c>
    </row>
    <row r="1253">
      <c r="A1253" s="2">
        <f>IFERROR(__xludf.DUMMYFUNCTION("""COMPUTED_VALUE"""),1252.0)</f>
        <v>1252</v>
      </c>
      <c r="B1253" s="2" t="str">
        <f>IFERROR(__xludf.DUMMYFUNCTION("""COMPUTED_VALUE"""),"Elyn Chrystie")</f>
        <v>Elyn Chrystie</v>
      </c>
      <c r="C1253" s="2" t="str">
        <f>IFERROR(__xludf.DUMMYFUNCTION("""COMPUTED_VALUE"""),"echrystie70@geocities.com")</f>
        <v>echrystie70@geocities.com</v>
      </c>
      <c r="D1253" s="4">
        <f>IFERROR(__xludf.DUMMYFUNCTION("""COMPUTED_VALUE"""),91.0)</f>
        <v>91</v>
      </c>
      <c r="E1253" s="4">
        <f>IFERROR(__xludf.DUMMYFUNCTION("""COMPUTED_VALUE"""),66.0)</f>
        <v>66</v>
      </c>
      <c r="F1253" s="4">
        <f>IFERROR(__xludf.DUMMYFUNCTION("""COMPUTED_VALUE"""),6.0)</f>
        <v>6</v>
      </c>
      <c r="G1253" s="4">
        <f>IFERROR(__xludf.DUMMYFUNCTION("""COMPUTED_VALUE"""),1172.0)</f>
        <v>1172</v>
      </c>
      <c r="H1253" s="5">
        <f>IFERROR(__xludf.DUMMYFUNCTION("""COMPUTED_VALUE"""),1392.35)</f>
        <v>1392.35</v>
      </c>
      <c r="I1253" s="5">
        <f>IFERROR(__xludf.DUMMYFUNCTION("""COMPUTED_VALUE"""),398.48)</f>
        <v>398.48</v>
      </c>
      <c r="J1253" s="5">
        <f>IFERROR(__xludf.DUMMYFUNCTION("""COMPUTED_VALUE"""),8166.4)</f>
        <v>8166.4</v>
      </c>
      <c r="K1253" s="5">
        <f>IFERROR(__xludf.DUMMYFUNCTION("""COMPUTED_VALUE"""),7193.21)</f>
        <v>7193.21</v>
      </c>
      <c r="L1253" s="4">
        <f>IFERROR(__xludf.DUMMYFUNCTION("""COMPUTED_VALUE"""),12.0)</f>
        <v>12</v>
      </c>
      <c r="M1253" s="4">
        <f>IFERROR(__xludf.DUMMYFUNCTION("""COMPUTED_VALUE"""),2.0)</f>
        <v>2</v>
      </c>
      <c r="N1253" s="2" t="str">
        <f>IFERROR(__xludf.DUMMYFUNCTION("""COMPUTED_VALUE"""),"FALSO")</f>
        <v>FALSO</v>
      </c>
    </row>
    <row r="1254">
      <c r="A1254" s="2">
        <f>IFERROR(__xludf.DUMMYFUNCTION("""COMPUTED_VALUE"""),1253.0)</f>
        <v>1253</v>
      </c>
      <c r="B1254" s="2" t="str">
        <f>IFERROR(__xludf.DUMMYFUNCTION("""COMPUTED_VALUE"""),"Celia Lenglet")</f>
        <v>Celia Lenglet</v>
      </c>
      <c r="C1254" s="2" t="str">
        <f>IFERROR(__xludf.DUMMYFUNCTION("""COMPUTED_VALUE"""),"clenglet71@cbsnews.com")</f>
        <v>clenglet71@cbsnews.com</v>
      </c>
      <c r="D1254" s="4">
        <f>IFERROR(__xludf.DUMMYFUNCTION("""COMPUTED_VALUE"""),122.0)</f>
        <v>122</v>
      </c>
      <c r="E1254" s="4">
        <f>IFERROR(__xludf.DUMMYFUNCTION("""COMPUTED_VALUE"""),70.0)</f>
        <v>70</v>
      </c>
      <c r="F1254" s="4">
        <f>IFERROR(__xludf.DUMMYFUNCTION("""COMPUTED_VALUE"""),6.0)</f>
        <v>6</v>
      </c>
      <c r="G1254" s="4">
        <f>IFERROR(__xludf.DUMMYFUNCTION("""COMPUTED_VALUE"""),94.0)</f>
        <v>94</v>
      </c>
      <c r="H1254" s="5">
        <f>IFERROR(__xludf.DUMMYFUNCTION("""COMPUTED_VALUE"""),1702.99)</f>
        <v>1702.99</v>
      </c>
      <c r="I1254" s="5">
        <f>IFERROR(__xludf.DUMMYFUNCTION("""COMPUTED_VALUE"""),3101.48)</f>
        <v>3101.48</v>
      </c>
      <c r="J1254" s="5">
        <f>IFERROR(__xludf.DUMMYFUNCTION("""COMPUTED_VALUE"""),151.3)</f>
        <v>151.3</v>
      </c>
      <c r="K1254" s="5">
        <f>IFERROR(__xludf.DUMMYFUNCTION("""COMPUTED_VALUE"""),1783.55)</f>
        <v>1783.55</v>
      </c>
      <c r="L1254" s="4">
        <f>IFERROR(__xludf.DUMMYFUNCTION("""COMPUTED_VALUE"""),3.0)</f>
        <v>3</v>
      </c>
      <c r="M1254" s="4">
        <f>IFERROR(__xludf.DUMMYFUNCTION("""COMPUTED_VALUE"""),95.0)</f>
        <v>95</v>
      </c>
      <c r="N1254" s="2" t="str">
        <f>IFERROR(__xludf.DUMMYFUNCTION("""COMPUTED_VALUE"""),"FALSO")</f>
        <v>FALSO</v>
      </c>
    </row>
    <row r="1255">
      <c r="A1255" s="2">
        <f>IFERROR(__xludf.DUMMYFUNCTION("""COMPUTED_VALUE"""),1254.0)</f>
        <v>1254</v>
      </c>
      <c r="B1255" s="2" t="str">
        <f>IFERROR(__xludf.DUMMYFUNCTION("""COMPUTED_VALUE"""),"Eddy Balazs")</f>
        <v>Eddy Balazs</v>
      </c>
      <c r="C1255" s="2" t="str">
        <f>IFERROR(__xludf.DUMMYFUNCTION("""COMPUTED_VALUE"""),"ebalazs72@comsenz.com")</f>
        <v>ebalazs72@comsenz.com</v>
      </c>
      <c r="D1255" s="4">
        <f>IFERROR(__xludf.DUMMYFUNCTION("""COMPUTED_VALUE"""),120.0)</f>
        <v>120</v>
      </c>
      <c r="E1255" s="4">
        <f>IFERROR(__xludf.DUMMYFUNCTION("""COMPUTED_VALUE"""),34.0)</f>
        <v>34</v>
      </c>
      <c r="F1255" s="4">
        <f>IFERROR(__xludf.DUMMYFUNCTION("""COMPUTED_VALUE"""),5.0)</f>
        <v>5</v>
      </c>
      <c r="G1255" s="4">
        <f>IFERROR(__xludf.DUMMYFUNCTION("""COMPUTED_VALUE"""),1291.0)</f>
        <v>1291</v>
      </c>
      <c r="H1255" s="5">
        <f>IFERROR(__xludf.DUMMYFUNCTION("""COMPUTED_VALUE"""),9438.48)</f>
        <v>9438.48</v>
      </c>
      <c r="I1255" s="5">
        <f>IFERROR(__xludf.DUMMYFUNCTION("""COMPUTED_VALUE"""),3157.09)</f>
        <v>3157.09</v>
      </c>
      <c r="J1255" s="5">
        <f>IFERROR(__xludf.DUMMYFUNCTION("""COMPUTED_VALUE"""),5746.57)</f>
        <v>5746.57</v>
      </c>
      <c r="K1255" s="5">
        <f>IFERROR(__xludf.DUMMYFUNCTION("""COMPUTED_VALUE"""),7083.71)</f>
        <v>7083.71</v>
      </c>
      <c r="L1255" s="4">
        <f>IFERROR(__xludf.DUMMYFUNCTION("""COMPUTED_VALUE"""),14.0)</f>
        <v>14</v>
      </c>
      <c r="M1255" s="4">
        <f>IFERROR(__xludf.DUMMYFUNCTION("""COMPUTED_VALUE"""),7.0)</f>
        <v>7</v>
      </c>
      <c r="N1255" s="2" t="str">
        <f>IFERROR(__xludf.DUMMYFUNCTION("""COMPUTED_VALUE"""),"VERDADERO")</f>
        <v>VERDADERO</v>
      </c>
    </row>
    <row r="1256">
      <c r="A1256" s="2">
        <f>IFERROR(__xludf.DUMMYFUNCTION("""COMPUTED_VALUE"""),1255.0)</f>
        <v>1255</v>
      </c>
      <c r="B1256" s="2" t="str">
        <f>IFERROR(__xludf.DUMMYFUNCTION("""COMPUTED_VALUE"""),"Reginauld Maddick")</f>
        <v>Reginauld Maddick</v>
      </c>
      <c r="C1256" s="2" t="str">
        <f>IFERROR(__xludf.DUMMYFUNCTION("""COMPUTED_VALUE"""),"rmaddick73@github.io")</f>
        <v>rmaddick73@github.io</v>
      </c>
      <c r="D1256" s="4">
        <f>IFERROR(__xludf.DUMMYFUNCTION("""COMPUTED_VALUE"""),29.0)</f>
        <v>29</v>
      </c>
      <c r="E1256" s="4">
        <f>IFERROR(__xludf.DUMMYFUNCTION("""COMPUTED_VALUE"""),39.0)</f>
        <v>39</v>
      </c>
      <c r="F1256" s="4">
        <f>IFERROR(__xludf.DUMMYFUNCTION("""COMPUTED_VALUE"""),11.0)</f>
        <v>11</v>
      </c>
      <c r="G1256" s="4">
        <f>IFERROR(__xludf.DUMMYFUNCTION("""COMPUTED_VALUE"""),61.0)</f>
        <v>61</v>
      </c>
      <c r="H1256" s="5">
        <f>IFERROR(__xludf.DUMMYFUNCTION("""COMPUTED_VALUE"""),8800.97)</f>
        <v>8800.97</v>
      </c>
      <c r="I1256" s="5">
        <f>IFERROR(__xludf.DUMMYFUNCTION("""COMPUTED_VALUE"""),5023.72)</f>
        <v>5023.72</v>
      </c>
      <c r="J1256" s="5">
        <f>IFERROR(__xludf.DUMMYFUNCTION("""COMPUTED_VALUE"""),9056.38)</f>
        <v>9056.38</v>
      </c>
      <c r="K1256" s="5">
        <f>IFERROR(__xludf.DUMMYFUNCTION("""COMPUTED_VALUE"""),4357.87)</f>
        <v>4357.87</v>
      </c>
      <c r="L1256" s="4">
        <f>IFERROR(__xludf.DUMMYFUNCTION("""COMPUTED_VALUE"""),2.0)</f>
        <v>2</v>
      </c>
      <c r="M1256" s="4">
        <f>IFERROR(__xludf.DUMMYFUNCTION("""COMPUTED_VALUE"""),69.0)</f>
        <v>69</v>
      </c>
      <c r="N1256" s="2" t="str">
        <f>IFERROR(__xludf.DUMMYFUNCTION("""COMPUTED_VALUE"""),"FALSO")</f>
        <v>FALSO</v>
      </c>
    </row>
    <row r="1257">
      <c r="A1257" s="2">
        <f>IFERROR(__xludf.DUMMYFUNCTION("""COMPUTED_VALUE"""),1256.0)</f>
        <v>1256</v>
      </c>
      <c r="B1257" s="2" t="str">
        <f>IFERROR(__xludf.DUMMYFUNCTION("""COMPUTED_VALUE"""),"Ignace Hagergham")</f>
        <v>Ignace Hagergham</v>
      </c>
      <c r="C1257" s="2" t="str">
        <f>IFERROR(__xludf.DUMMYFUNCTION("""COMPUTED_VALUE"""),"ihagergham74@jalbum.net")</f>
        <v>ihagergham74@jalbum.net</v>
      </c>
      <c r="D1257" s="4">
        <f>IFERROR(__xludf.DUMMYFUNCTION("""COMPUTED_VALUE"""),120.0)</f>
        <v>120</v>
      </c>
      <c r="E1257" s="4">
        <f>IFERROR(__xludf.DUMMYFUNCTION("""COMPUTED_VALUE"""),16.0)</f>
        <v>16</v>
      </c>
      <c r="F1257" s="4">
        <f>IFERROR(__xludf.DUMMYFUNCTION("""COMPUTED_VALUE"""),8.0)</f>
        <v>8</v>
      </c>
      <c r="G1257" s="4">
        <f>IFERROR(__xludf.DUMMYFUNCTION("""COMPUTED_VALUE"""),594.0)</f>
        <v>594</v>
      </c>
      <c r="H1257" s="5">
        <f>IFERROR(__xludf.DUMMYFUNCTION("""COMPUTED_VALUE"""),9646.26)</f>
        <v>9646.26</v>
      </c>
      <c r="I1257" s="5">
        <f>IFERROR(__xludf.DUMMYFUNCTION("""COMPUTED_VALUE"""),8825.16)</f>
        <v>8825.16</v>
      </c>
      <c r="J1257" s="5">
        <f>IFERROR(__xludf.DUMMYFUNCTION("""COMPUTED_VALUE"""),8165.44)</f>
        <v>8165.44</v>
      </c>
      <c r="K1257" s="5">
        <f>IFERROR(__xludf.DUMMYFUNCTION("""COMPUTED_VALUE"""),7602.79)</f>
        <v>7602.79</v>
      </c>
      <c r="L1257" s="4">
        <f>IFERROR(__xludf.DUMMYFUNCTION("""COMPUTED_VALUE"""),18.0)</f>
        <v>18</v>
      </c>
      <c r="M1257" s="4">
        <f>IFERROR(__xludf.DUMMYFUNCTION("""COMPUTED_VALUE"""),38.0)</f>
        <v>38</v>
      </c>
      <c r="N1257" s="2" t="str">
        <f>IFERROR(__xludf.DUMMYFUNCTION("""COMPUTED_VALUE"""),"FALSO")</f>
        <v>FALSO</v>
      </c>
    </row>
    <row r="1258">
      <c r="A1258" s="2">
        <f>IFERROR(__xludf.DUMMYFUNCTION("""COMPUTED_VALUE"""),1257.0)</f>
        <v>1257</v>
      </c>
      <c r="B1258" s="2" t="str">
        <f>IFERROR(__xludf.DUMMYFUNCTION("""COMPUTED_VALUE"""),"Conni Ivachyov")</f>
        <v>Conni Ivachyov</v>
      </c>
      <c r="C1258" s="2" t="str">
        <f>IFERROR(__xludf.DUMMYFUNCTION("""COMPUTED_VALUE"""),"civachyov75@homestead.com")</f>
        <v>civachyov75@homestead.com</v>
      </c>
      <c r="D1258" s="4">
        <f>IFERROR(__xludf.DUMMYFUNCTION("""COMPUTED_VALUE"""),135.0)</f>
        <v>135</v>
      </c>
      <c r="E1258" s="4">
        <f>IFERROR(__xludf.DUMMYFUNCTION("""COMPUTED_VALUE"""),29.0)</f>
        <v>29</v>
      </c>
      <c r="F1258" s="4">
        <f>IFERROR(__xludf.DUMMYFUNCTION("""COMPUTED_VALUE"""),11.0)</f>
        <v>11</v>
      </c>
      <c r="G1258" s="4">
        <f>IFERROR(__xludf.DUMMYFUNCTION("""COMPUTED_VALUE"""),1195.0)</f>
        <v>1195</v>
      </c>
      <c r="H1258" s="5">
        <f>IFERROR(__xludf.DUMMYFUNCTION("""COMPUTED_VALUE"""),3885.16)</f>
        <v>3885.16</v>
      </c>
      <c r="I1258" s="5">
        <f>IFERROR(__xludf.DUMMYFUNCTION("""COMPUTED_VALUE"""),1371.55)</f>
        <v>1371.55</v>
      </c>
      <c r="J1258" s="5">
        <f>IFERROR(__xludf.DUMMYFUNCTION("""COMPUTED_VALUE"""),7962.8)</f>
        <v>7962.8</v>
      </c>
      <c r="K1258" s="5">
        <f>IFERROR(__xludf.DUMMYFUNCTION("""COMPUTED_VALUE"""),1448.91)</f>
        <v>1448.91</v>
      </c>
      <c r="L1258" s="4">
        <f>IFERROR(__xludf.DUMMYFUNCTION("""COMPUTED_VALUE"""),5.0)</f>
        <v>5</v>
      </c>
      <c r="M1258" s="4">
        <f>IFERROR(__xludf.DUMMYFUNCTION("""COMPUTED_VALUE"""),96.0)</f>
        <v>96</v>
      </c>
      <c r="N1258" s="2" t="str">
        <f>IFERROR(__xludf.DUMMYFUNCTION("""COMPUTED_VALUE"""),"VERDADERO")</f>
        <v>VERDADERO</v>
      </c>
    </row>
    <row r="1259">
      <c r="A1259" s="2">
        <f>IFERROR(__xludf.DUMMYFUNCTION("""COMPUTED_VALUE"""),1258.0)</f>
        <v>1258</v>
      </c>
      <c r="B1259" s="2" t="str">
        <f>IFERROR(__xludf.DUMMYFUNCTION("""COMPUTED_VALUE"""),"Martguerita Tetlow")</f>
        <v>Martguerita Tetlow</v>
      </c>
      <c r="C1259" s="2" t="str">
        <f>IFERROR(__xludf.DUMMYFUNCTION("""COMPUTED_VALUE"""),"mtetlow76@eepurl.com")</f>
        <v>mtetlow76@eepurl.com</v>
      </c>
      <c r="D1259" s="4">
        <f>IFERROR(__xludf.DUMMYFUNCTION("""COMPUTED_VALUE"""),124.0)</f>
        <v>124</v>
      </c>
      <c r="E1259" s="4">
        <f>IFERROR(__xludf.DUMMYFUNCTION("""COMPUTED_VALUE"""),81.0)</f>
        <v>81</v>
      </c>
      <c r="F1259" s="4">
        <f>IFERROR(__xludf.DUMMYFUNCTION("""COMPUTED_VALUE"""),2.0)</f>
        <v>2</v>
      </c>
      <c r="G1259" s="4">
        <f>IFERROR(__xludf.DUMMYFUNCTION("""COMPUTED_VALUE"""),357.0)</f>
        <v>357</v>
      </c>
      <c r="H1259" s="5">
        <f>IFERROR(__xludf.DUMMYFUNCTION("""COMPUTED_VALUE"""),9486.63)</f>
        <v>9486.63</v>
      </c>
      <c r="I1259" s="5">
        <f>IFERROR(__xludf.DUMMYFUNCTION("""COMPUTED_VALUE"""),900.97)</f>
        <v>900.97</v>
      </c>
      <c r="J1259" s="5">
        <f>IFERROR(__xludf.DUMMYFUNCTION("""COMPUTED_VALUE"""),3118.86)</f>
        <v>3118.86</v>
      </c>
      <c r="K1259" s="5">
        <f>IFERROR(__xludf.DUMMYFUNCTION("""COMPUTED_VALUE"""),7084.64)</f>
        <v>7084.64</v>
      </c>
      <c r="L1259" s="4">
        <f>IFERROR(__xludf.DUMMYFUNCTION("""COMPUTED_VALUE"""),11.0)</f>
        <v>11</v>
      </c>
      <c r="M1259" s="4">
        <f>IFERROR(__xludf.DUMMYFUNCTION("""COMPUTED_VALUE"""),24.0)</f>
        <v>24</v>
      </c>
      <c r="N1259" s="2" t="str">
        <f>IFERROR(__xludf.DUMMYFUNCTION("""COMPUTED_VALUE"""),"FALSO")</f>
        <v>FALSO</v>
      </c>
    </row>
    <row r="1260">
      <c r="A1260" s="2">
        <f>IFERROR(__xludf.DUMMYFUNCTION("""COMPUTED_VALUE"""),1259.0)</f>
        <v>1259</v>
      </c>
      <c r="B1260" s="2" t="str">
        <f>IFERROR(__xludf.DUMMYFUNCTION("""COMPUTED_VALUE"""),"Denver Bernardon")</f>
        <v>Denver Bernardon</v>
      </c>
      <c r="C1260" s="2" t="str">
        <f>IFERROR(__xludf.DUMMYFUNCTION("""COMPUTED_VALUE"""),"dbernardon77@reddit.com")</f>
        <v>dbernardon77@reddit.com</v>
      </c>
      <c r="D1260" s="4">
        <f>IFERROR(__xludf.DUMMYFUNCTION("""COMPUTED_VALUE"""),65.0)</f>
        <v>65</v>
      </c>
      <c r="E1260" s="4">
        <f>IFERROR(__xludf.DUMMYFUNCTION("""COMPUTED_VALUE"""),88.0)</f>
        <v>88</v>
      </c>
      <c r="F1260" s="4">
        <f>IFERROR(__xludf.DUMMYFUNCTION("""COMPUTED_VALUE"""),3.0)</f>
        <v>3</v>
      </c>
      <c r="G1260" s="4">
        <f>IFERROR(__xludf.DUMMYFUNCTION("""COMPUTED_VALUE"""),1018.0)</f>
        <v>1018</v>
      </c>
      <c r="H1260" s="5">
        <f>IFERROR(__xludf.DUMMYFUNCTION("""COMPUTED_VALUE"""),2796.5)</f>
        <v>2796.5</v>
      </c>
      <c r="I1260" s="5">
        <f>IFERROR(__xludf.DUMMYFUNCTION("""COMPUTED_VALUE"""),8923.76)</f>
        <v>8923.76</v>
      </c>
      <c r="J1260" s="5">
        <f>IFERROR(__xludf.DUMMYFUNCTION("""COMPUTED_VALUE"""),6327.31)</f>
        <v>6327.31</v>
      </c>
      <c r="K1260" s="5">
        <f>IFERROR(__xludf.DUMMYFUNCTION("""COMPUTED_VALUE"""),5113.95)</f>
        <v>5113.95</v>
      </c>
      <c r="L1260" s="4">
        <f>IFERROR(__xludf.DUMMYFUNCTION("""COMPUTED_VALUE"""),20.0)</f>
        <v>20</v>
      </c>
      <c r="M1260" s="4">
        <f>IFERROR(__xludf.DUMMYFUNCTION("""COMPUTED_VALUE"""),73.0)</f>
        <v>73</v>
      </c>
      <c r="N1260" s="2" t="str">
        <f>IFERROR(__xludf.DUMMYFUNCTION("""COMPUTED_VALUE"""),"VERDADERO")</f>
        <v>VERDADERO</v>
      </c>
    </row>
    <row r="1261">
      <c r="A1261" s="2">
        <f>IFERROR(__xludf.DUMMYFUNCTION("""COMPUTED_VALUE"""),1260.0)</f>
        <v>1260</v>
      </c>
      <c r="B1261" s="2" t="str">
        <f>IFERROR(__xludf.DUMMYFUNCTION("""COMPUTED_VALUE"""),"Carree Roskeilly")</f>
        <v>Carree Roskeilly</v>
      </c>
      <c r="C1261" s="2" t="str">
        <f>IFERROR(__xludf.DUMMYFUNCTION("""COMPUTED_VALUE"""),"croskeilly78@webeden.co.uk")</f>
        <v>croskeilly78@webeden.co.uk</v>
      </c>
      <c r="D1261" s="4">
        <f>IFERROR(__xludf.DUMMYFUNCTION("""COMPUTED_VALUE"""),155.0)</f>
        <v>155</v>
      </c>
      <c r="E1261" s="4">
        <f>IFERROR(__xludf.DUMMYFUNCTION("""COMPUTED_VALUE"""),107.0)</f>
        <v>107</v>
      </c>
      <c r="F1261" s="4">
        <f>IFERROR(__xludf.DUMMYFUNCTION("""COMPUTED_VALUE"""),5.0)</f>
        <v>5</v>
      </c>
      <c r="G1261" s="4">
        <f>IFERROR(__xludf.DUMMYFUNCTION("""COMPUTED_VALUE"""),1407.0)</f>
        <v>1407</v>
      </c>
      <c r="H1261" s="5">
        <f>IFERROR(__xludf.DUMMYFUNCTION("""COMPUTED_VALUE"""),5420.89)</f>
        <v>5420.89</v>
      </c>
      <c r="I1261" s="5">
        <f>IFERROR(__xludf.DUMMYFUNCTION("""COMPUTED_VALUE"""),9177.97)</f>
        <v>9177.97</v>
      </c>
      <c r="J1261" s="5">
        <f>IFERROR(__xludf.DUMMYFUNCTION("""COMPUTED_VALUE"""),3271.03)</f>
        <v>3271.03</v>
      </c>
      <c r="K1261" s="5">
        <f>IFERROR(__xludf.DUMMYFUNCTION("""COMPUTED_VALUE"""),6430.25)</f>
        <v>6430.25</v>
      </c>
      <c r="L1261" s="4">
        <f>IFERROR(__xludf.DUMMYFUNCTION("""COMPUTED_VALUE"""),3.0)</f>
        <v>3</v>
      </c>
      <c r="M1261" s="4">
        <f>IFERROR(__xludf.DUMMYFUNCTION("""COMPUTED_VALUE"""),87.0)</f>
        <v>87</v>
      </c>
      <c r="N1261" s="2" t="str">
        <f>IFERROR(__xludf.DUMMYFUNCTION("""COMPUTED_VALUE"""),"FALSO")</f>
        <v>FALSO</v>
      </c>
    </row>
    <row r="1262">
      <c r="A1262" s="2">
        <f>IFERROR(__xludf.DUMMYFUNCTION("""COMPUTED_VALUE"""),1261.0)</f>
        <v>1261</v>
      </c>
      <c r="B1262" s="2" t="str">
        <f>IFERROR(__xludf.DUMMYFUNCTION("""COMPUTED_VALUE"""),"Dewain Malan")</f>
        <v>Dewain Malan</v>
      </c>
      <c r="C1262" s="2" t="str">
        <f>IFERROR(__xludf.DUMMYFUNCTION("""COMPUTED_VALUE"""),"dmalan79@webeden.co.uk")</f>
        <v>dmalan79@webeden.co.uk</v>
      </c>
      <c r="D1262" s="4">
        <f>IFERROR(__xludf.DUMMYFUNCTION("""COMPUTED_VALUE"""),121.0)</f>
        <v>121</v>
      </c>
      <c r="E1262" s="4">
        <f>IFERROR(__xludf.DUMMYFUNCTION("""COMPUTED_VALUE"""),81.0)</f>
        <v>81</v>
      </c>
      <c r="F1262" s="4">
        <f>IFERROR(__xludf.DUMMYFUNCTION("""COMPUTED_VALUE"""),2.0)</f>
        <v>2</v>
      </c>
      <c r="G1262" s="4">
        <f>IFERROR(__xludf.DUMMYFUNCTION("""COMPUTED_VALUE"""),202.0)</f>
        <v>202</v>
      </c>
      <c r="H1262" s="5">
        <f>IFERROR(__xludf.DUMMYFUNCTION("""COMPUTED_VALUE"""),3633.32)</f>
        <v>3633.32</v>
      </c>
      <c r="I1262" s="5">
        <f>IFERROR(__xludf.DUMMYFUNCTION("""COMPUTED_VALUE"""),2301.35)</f>
        <v>2301.35</v>
      </c>
      <c r="J1262" s="5">
        <f>IFERROR(__xludf.DUMMYFUNCTION("""COMPUTED_VALUE"""),1726.83)</f>
        <v>1726.83</v>
      </c>
      <c r="K1262" s="5">
        <f>IFERROR(__xludf.DUMMYFUNCTION("""COMPUTED_VALUE"""),6092.55)</f>
        <v>6092.55</v>
      </c>
      <c r="L1262" s="4">
        <f>IFERROR(__xludf.DUMMYFUNCTION("""COMPUTED_VALUE"""),9.0)</f>
        <v>9</v>
      </c>
      <c r="M1262" s="4">
        <f>IFERROR(__xludf.DUMMYFUNCTION("""COMPUTED_VALUE"""),88.0)</f>
        <v>88</v>
      </c>
      <c r="N1262" s="2" t="str">
        <f>IFERROR(__xludf.DUMMYFUNCTION("""COMPUTED_VALUE"""),"FALSO")</f>
        <v>FALSO</v>
      </c>
    </row>
    <row r="1263">
      <c r="A1263" s="2">
        <f>IFERROR(__xludf.DUMMYFUNCTION("""COMPUTED_VALUE"""),1262.0)</f>
        <v>1262</v>
      </c>
      <c r="B1263" s="2" t="str">
        <f>IFERROR(__xludf.DUMMYFUNCTION("""COMPUTED_VALUE"""),"Yalonda Musso")</f>
        <v>Yalonda Musso</v>
      </c>
      <c r="C1263" s="2" t="str">
        <f>IFERROR(__xludf.DUMMYFUNCTION("""COMPUTED_VALUE"""),"ymusso7a@unicef.org")</f>
        <v>ymusso7a@unicef.org</v>
      </c>
      <c r="D1263" s="4">
        <f>IFERROR(__xludf.DUMMYFUNCTION("""COMPUTED_VALUE"""),29.0)</f>
        <v>29</v>
      </c>
      <c r="E1263" s="4">
        <f>IFERROR(__xludf.DUMMYFUNCTION("""COMPUTED_VALUE"""),81.0)</f>
        <v>81</v>
      </c>
      <c r="F1263" s="4">
        <f>IFERROR(__xludf.DUMMYFUNCTION("""COMPUTED_VALUE"""),2.0)</f>
        <v>2</v>
      </c>
      <c r="G1263" s="4">
        <f>IFERROR(__xludf.DUMMYFUNCTION("""COMPUTED_VALUE"""),1523.0)</f>
        <v>1523</v>
      </c>
      <c r="H1263" s="5">
        <f>IFERROR(__xludf.DUMMYFUNCTION("""COMPUTED_VALUE"""),5937.82)</f>
        <v>5937.82</v>
      </c>
      <c r="I1263" s="5">
        <f>IFERROR(__xludf.DUMMYFUNCTION("""COMPUTED_VALUE"""),4776.16)</f>
        <v>4776.16</v>
      </c>
      <c r="J1263" s="5">
        <f>IFERROR(__xludf.DUMMYFUNCTION("""COMPUTED_VALUE"""),5581.24)</f>
        <v>5581.24</v>
      </c>
      <c r="K1263" s="5">
        <f>IFERROR(__xludf.DUMMYFUNCTION("""COMPUTED_VALUE"""),1251.0)</f>
        <v>1251</v>
      </c>
      <c r="L1263" s="4">
        <f>IFERROR(__xludf.DUMMYFUNCTION("""COMPUTED_VALUE"""),3.0)</f>
        <v>3</v>
      </c>
      <c r="M1263" s="4">
        <f>IFERROR(__xludf.DUMMYFUNCTION("""COMPUTED_VALUE"""),96.0)</f>
        <v>96</v>
      </c>
      <c r="N1263" s="2" t="str">
        <f>IFERROR(__xludf.DUMMYFUNCTION("""COMPUTED_VALUE"""),"VERDADERO")</f>
        <v>VERDADERO</v>
      </c>
    </row>
    <row r="1264">
      <c r="A1264" s="2">
        <f>IFERROR(__xludf.DUMMYFUNCTION("""COMPUTED_VALUE"""),1263.0)</f>
        <v>1263</v>
      </c>
      <c r="B1264" s="2" t="str">
        <f>IFERROR(__xludf.DUMMYFUNCTION("""COMPUTED_VALUE"""),"Darcie Felipe")</f>
        <v>Darcie Felipe</v>
      </c>
      <c r="C1264" s="2" t="str">
        <f>IFERROR(__xludf.DUMMYFUNCTION("""COMPUTED_VALUE"""),"dfelipe7b@nba.com")</f>
        <v>dfelipe7b@nba.com</v>
      </c>
      <c r="D1264" s="4">
        <f>IFERROR(__xludf.DUMMYFUNCTION("""COMPUTED_VALUE"""),49.0)</f>
        <v>49</v>
      </c>
      <c r="E1264" s="4">
        <f>IFERROR(__xludf.DUMMYFUNCTION("""COMPUTED_VALUE"""),54.0)</f>
        <v>54</v>
      </c>
      <c r="F1264" s="4">
        <f>IFERROR(__xludf.DUMMYFUNCTION("""COMPUTED_VALUE"""),5.0)</f>
        <v>5</v>
      </c>
      <c r="G1264" s="4">
        <f>IFERROR(__xludf.DUMMYFUNCTION("""COMPUTED_VALUE"""),137.0)</f>
        <v>137</v>
      </c>
      <c r="H1264" s="5">
        <f>IFERROR(__xludf.DUMMYFUNCTION("""COMPUTED_VALUE"""),8135.13)</f>
        <v>8135.13</v>
      </c>
      <c r="I1264" s="5">
        <f>IFERROR(__xludf.DUMMYFUNCTION("""COMPUTED_VALUE"""),3282.14)</f>
        <v>3282.14</v>
      </c>
      <c r="J1264" s="5">
        <f>IFERROR(__xludf.DUMMYFUNCTION("""COMPUTED_VALUE"""),6740.44)</f>
        <v>6740.44</v>
      </c>
      <c r="K1264" s="5">
        <f>IFERROR(__xludf.DUMMYFUNCTION("""COMPUTED_VALUE"""),5859.2)</f>
        <v>5859.2</v>
      </c>
      <c r="L1264" s="4">
        <f>IFERROR(__xludf.DUMMYFUNCTION("""COMPUTED_VALUE"""),17.0)</f>
        <v>17</v>
      </c>
      <c r="M1264" s="4">
        <f>IFERROR(__xludf.DUMMYFUNCTION("""COMPUTED_VALUE"""),21.0)</f>
        <v>21</v>
      </c>
      <c r="N1264" s="2" t="str">
        <f>IFERROR(__xludf.DUMMYFUNCTION("""COMPUTED_VALUE"""),"VERDADERO")</f>
        <v>VERDADERO</v>
      </c>
    </row>
    <row r="1265">
      <c r="A1265" s="2">
        <f>IFERROR(__xludf.DUMMYFUNCTION("""COMPUTED_VALUE"""),1264.0)</f>
        <v>1264</v>
      </c>
      <c r="B1265" s="2" t="str">
        <f>IFERROR(__xludf.DUMMYFUNCTION("""COMPUTED_VALUE"""),"Bo Frizzell")</f>
        <v>Bo Frizzell</v>
      </c>
      <c r="C1265" s="2" t="str">
        <f>IFERROR(__xludf.DUMMYFUNCTION("""COMPUTED_VALUE"""),"bfrizzell7c@sitemeter.com")</f>
        <v>bfrizzell7c@sitemeter.com</v>
      </c>
      <c r="D1265" s="4">
        <f>IFERROR(__xludf.DUMMYFUNCTION("""COMPUTED_VALUE"""),29.0)</f>
        <v>29</v>
      </c>
      <c r="E1265" s="4">
        <f>IFERROR(__xludf.DUMMYFUNCTION("""COMPUTED_VALUE"""),56.0)</f>
        <v>56</v>
      </c>
      <c r="F1265" s="4">
        <f>IFERROR(__xludf.DUMMYFUNCTION("""COMPUTED_VALUE"""),6.0)</f>
        <v>6</v>
      </c>
      <c r="G1265" s="4">
        <f>IFERROR(__xludf.DUMMYFUNCTION("""COMPUTED_VALUE"""),1474.0)</f>
        <v>1474</v>
      </c>
      <c r="H1265" s="5">
        <f>IFERROR(__xludf.DUMMYFUNCTION("""COMPUTED_VALUE"""),5603.76)</f>
        <v>5603.76</v>
      </c>
      <c r="I1265" s="5">
        <f>IFERROR(__xludf.DUMMYFUNCTION("""COMPUTED_VALUE"""),6898.3)</f>
        <v>6898.3</v>
      </c>
      <c r="J1265" s="5">
        <f>IFERROR(__xludf.DUMMYFUNCTION("""COMPUTED_VALUE"""),9278.87)</f>
        <v>9278.87</v>
      </c>
      <c r="K1265" s="5">
        <f>IFERROR(__xludf.DUMMYFUNCTION("""COMPUTED_VALUE"""),3962.57)</f>
        <v>3962.57</v>
      </c>
      <c r="L1265" s="4">
        <f>IFERROR(__xludf.DUMMYFUNCTION("""COMPUTED_VALUE"""),13.0)</f>
        <v>13</v>
      </c>
      <c r="M1265" s="4">
        <f>IFERROR(__xludf.DUMMYFUNCTION("""COMPUTED_VALUE"""),40.0)</f>
        <v>40</v>
      </c>
      <c r="N1265" s="2" t="str">
        <f>IFERROR(__xludf.DUMMYFUNCTION("""COMPUTED_VALUE"""),"FALSO")</f>
        <v>FALSO</v>
      </c>
    </row>
    <row r="1266">
      <c r="A1266" s="2">
        <f>IFERROR(__xludf.DUMMYFUNCTION("""COMPUTED_VALUE"""),1265.0)</f>
        <v>1265</v>
      </c>
      <c r="B1266" s="2" t="str">
        <f>IFERROR(__xludf.DUMMYFUNCTION("""COMPUTED_VALUE"""),"Guillemette Kennagh")</f>
        <v>Guillemette Kennagh</v>
      </c>
      <c r="C1266" s="2" t="str">
        <f>IFERROR(__xludf.DUMMYFUNCTION("""COMPUTED_VALUE"""),"gkennagh7d@sciencedaily.com")</f>
        <v>gkennagh7d@sciencedaily.com</v>
      </c>
      <c r="D1266" s="4">
        <f>IFERROR(__xludf.DUMMYFUNCTION("""COMPUTED_VALUE"""),120.0)</f>
        <v>120</v>
      </c>
      <c r="E1266" s="4">
        <f>IFERROR(__xludf.DUMMYFUNCTION("""COMPUTED_VALUE"""),95.0)</f>
        <v>95</v>
      </c>
      <c r="F1266" s="4">
        <f>IFERROR(__xludf.DUMMYFUNCTION("""COMPUTED_VALUE"""),13.0)</f>
        <v>13</v>
      </c>
      <c r="G1266" s="4">
        <f>IFERROR(__xludf.DUMMYFUNCTION("""COMPUTED_VALUE"""),367.0)</f>
        <v>367</v>
      </c>
      <c r="H1266" s="5">
        <f>IFERROR(__xludf.DUMMYFUNCTION("""COMPUTED_VALUE"""),3249.13)</f>
        <v>3249.13</v>
      </c>
      <c r="I1266" s="5">
        <f>IFERROR(__xludf.DUMMYFUNCTION("""COMPUTED_VALUE"""),8811.04)</f>
        <v>8811.04</v>
      </c>
      <c r="J1266" s="5">
        <f>IFERROR(__xludf.DUMMYFUNCTION("""COMPUTED_VALUE"""),8846.22)</f>
        <v>8846.22</v>
      </c>
      <c r="K1266" s="5">
        <f>IFERROR(__xludf.DUMMYFUNCTION("""COMPUTED_VALUE"""),3320.87)</f>
        <v>3320.87</v>
      </c>
      <c r="L1266" s="4">
        <f>IFERROR(__xludf.DUMMYFUNCTION("""COMPUTED_VALUE"""),10.0)</f>
        <v>10</v>
      </c>
      <c r="M1266" s="4">
        <f>IFERROR(__xludf.DUMMYFUNCTION("""COMPUTED_VALUE"""),14.0)</f>
        <v>14</v>
      </c>
      <c r="N1266" s="2" t="str">
        <f>IFERROR(__xludf.DUMMYFUNCTION("""COMPUTED_VALUE"""),"FALSO")</f>
        <v>FALSO</v>
      </c>
    </row>
    <row r="1267">
      <c r="A1267" s="2">
        <f>IFERROR(__xludf.DUMMYFUNCTION("""COMPUTED_VALUE"""),1266.0)</f>
        <v>1266</v>
      </c>
      <c r="B1267" s="2" t="str">
        <f>IFERROR(__xludf.DUMMYFUNCTION("""COMPUTED_VALUE"""),"Edd Gladdish")</f>
        <v>Edd Gladdish</v>
      </c>
      <c r="C1267" s="2" t="str">
        <f>IFERROR(__xludf.DUMMYFUNCTION("""COMPUTED_VALUE"""),"egladdish7e@weebly.com")</f>
        <v>egladdish7e@weebly.com</v>
      </c>
      <c r="D1267" s="4">
        <f>IFERROR(__xludf.DUMMYFUNCTION("""COMPUTED_VALUE"""),17.0)</f>
        <v>17</v>
      </c>
      <c r="E1267" s="4">
        <f>IFERROR(__xludf.DUMMYFUNCTION("""COMPUTED_VALUE"""),81.0)</f>
        <v>81</v>
      </c>
      <c r="F1267" s="4">
        <f>IFERROR(__xludf.DUMMYFUNCTION("""COMPUTED_VALUE"""),2.0)</f>
        <v>2</v>
      </c>
      <c r="G1267" s="4">
        <f>IFERROR(__xludf.DUMMYFUNCTION("""COMPUTED_VALUE"""),786.0)</f>
        <v>786</v>
      </c>
      <c r="H1267" s="5">
        <f>IFERROR(__xludf.DUMMYFUNCTION("""COMPUTED_VALUE"""),4709.43)</f>
        <v>4709.43</v>
      </c>
      <c r="I1267" s="5">
        <f>IFERROR(__xludf.DUMMYFUNCTION("""COMPUTED_VALUE"""),6346.99)</f>
        <v>6346.99</v>
      </c>
      <c r="J1267" s="5">
        <f>IFERROR(__xludf.DUMMYFUNCTION("""COMPUTED_VALUE"""),1524.04)</f>
        <v>1524.04</v>
      </c>
      <c r="K1267" s="5">
        <f>IFERROR(__xludf.DUMMYFUNCTION("""COMPUTED_VALUE"""),8760.16)</f>
        <v>8760.16</v>
      </c>
      <c r="L1267" s="4">
        <f>IFERROR(__xludf.DUMMYFUNCTION("""COMPUTED_VALUE"""),13.0)</f>
        <v>13</v>
      </c>
      <c r="M1267" s="4">
        <f>IFERROR(__xludf.DUMMYFUNCTION("""COMPUTED_VALUE"""),79.0)</f>
        <v>79</v>
      </c>
      <c r="N1267" s="2" t="str">
        <f>IFERROR(__xludf.DUMMYFUNCTION("""COMPUTED_VALUE"""),"FALSO")</f>
        <v>FALSO</v>
      </c>
    </row>
    <row r="1268">
      <c r="A1268" s="2">
        <f>IFERROR(__xludf.DUMMYFUNCTION("""COMPUTED_VALUE"""),1267.0)</f>
        <v>1267</v>
      </c>
      <c r="B1268" s="2" t="str">
        <f>IFERROR(__xludf.DUMMYFUNCTION("""COMPUTED_VALUE"""),"Malinda Dougal")</f>
        <v>Malinda Dougal</v>
      </c>
      <c r="C1268" s="2" t="str">
        <f>IFERROR(__xludf.DUMMYFUNCTION("""COMPUTED_VALUE"""),"mdougal7f@amazon.de")</f>
        <v>mdougal7f@amazon.de</v>
      </c>
      <c r="D1268" s="4">
        <f>IFERROR(__xludf.DUMMYFUNCTION("""COMPUTED_VALUE"""),65.0)</f>
        <v>65</v>
      </c>
      <c r="E1268" s="4">
        <f>IFERROR(__xludf.DUMMYFUNCTION("""COMPUTED_VALUE"""),64.0)</f>
        <v>64</v>
      </c>
      <c r="F1268" s="4">
        <f>IFERROR(__xludf.DUMMYFUNCTION("""COMPUTED_VALUE"""),4.0)</f>
        <v>4</v>
      </c>
      <c r="G1268" s="4">
        <f>IFERROR(__xludf.DUMMYFUNCTION("""COMPUTED_VALUE"""),1456.0)</f>
        <v>1456</v>
      </c>
      <c r="H1268" s="5">
        <f>IFERROR(__xludf.DUMMYFUNCTION("""COMPUTED_VALUE"""),9260.59)</f>
        <v>9260.59</v>
      </c>
      <c r="I1268" s="5">
        <f>IFERROR(__xludf.DUMMYFUNCTION("""COMPUTED_VALUE"""),4962.28)</f>
        <v>4962.28</v>
      </c>
      <c r="J1268" s="5">
        <f>IFERROR(__xludf.DUMMYFUNCTION("""COMPUTED_VALUE"""),9166.16)</f>
        <v>9166.16</v>
      </c>
      <c r="K1268" s="5">
        <f>IFERROR(__xludf.DUMMYFUNCTION("""COMPUTED_VALUE"""),6757.96)</f>
        <v>6757.96</v>
      </c>
      <c r="L1268" s="4">
        <f>IFERROR(__xludf.DUMMYFUNCTION("""COMPUTED_VALUE"""),15.0)</f>
        <v>15</v>
      </c>
      <c r="M1268" s="4">
        <f>IFERROR(__xludf.DUMMYFUNCTION("""COMPUTED_VALUE"""),8.0)</f>
        <v>8</v>
      </c>
      <c r="N1268" s="2" t="str">
        <f>IFERROR(__xludf.DUMMYFUNCTION("""COMPUTED_VALUE"""),"FALSO")</f>
        <v>FALSO</v>
      </c>
    </row>
    <row r="1269">
      <c r="A1269" s="2">
        <f>IFERROR(__xludf.DUMMYFUNCTION("""COMPUTED_VALUE"""),1268.0)</f>
        <v>1268</v>
      </c>
      <c r="B1269" s="2" t="str">
        <f>IFERROR(__xludf.DUMMYFUNCTION("""COMPUTED_VALUE"""),"Westbrooke Rennolds")</f>
        <v>Westbrooke Rennolds</v>
      </c>
      <c r="C1269" s="2" t="str">
        <f>IFERROR(__xludf.DUMMYFUNCTION("""COMPUTED_VALUE"""),"wrennolds7g@ifeng.com")</f>
        <v>wrennolds7g@ifeng.com</v>
      </c>
      <c r="D1269" s="4">
        <f>IFERROR(__xludf.DUMMYFUNCTION("""COMPUTED_VALUE"""),10.0)</f>
        <v>10</v>
      </c>
      <c r="E1269" s="4">
        <f>IFERROR(__xludf.DUMMYFUNCTION("""COMPUTED_VALUE"""),117.0)</f>
        <v>117</v>
      </c>
      <c r="F1269" s="4">
        <f>IFERROR(__xludf.DUMMYFUNCTION("""COMPUTED_VALUE"""),4.0)</f>
        <v>4</v>
      </c>
      <c r="G1269" s="4">
        <f>IFERROR(__xludf.DUMMYFUNCTION("""COMPUTED_VALUE"""),551.0)</f>
        <v>551</v>
      </c>
      <c r="H1269" s="5">
        <f>IFERROR(__xludf.DUMMYFUNCTION("""COMPUTED_VALUE"""),4544.58)</f>
        <v>4544.58</v>
      </c>
      <c r="I1269" s="5">
        <f>IFERROR(__xludf.DUMMYFUNCTION("""COMPUTED_VALUE"""),5695.6)</f>
        <v>5695.6</v>
      </c>
      <c r="J1269" s="5">
        <f>IFERROR(__xludf.DUMMYFUNCTION("""COMPUTED_VALUE"""),6391.73)</f>
        <v>6391.73</v>
      </c>
      <c r="K1269" s="5">
        <f>IFERROR(__xludf.DUMMYFUNCTION("""COMPUTED_VALUE"""),9010.02)</f>
        <v>9010.02</v>
      </c>
      <c r="L1269" s="4">
        <f>IFERROR(__xludf.DUMMYFUNCTION("""COMPUTED_VALUE"""),18.0)</f>
        <v>18</v>
      </c>
      <c r="M1269" s="4">
        <f>IFERROR(__xludf.DUMMYFUNCTION("""COMPUTED_VALUE"""),98.0)</f>
        <v>98</v>
      </c>
      <c r="N1269" s="2" t="str">
        <f>IFERROR(__xludf.DUMMYFUNCTION("""COMPUTED_VALUE"""),"VERDADERO")</f>
        <v>VERDADERO</v>
      </c>
    </row>
    <row r="1270">
      <c r="A1270" s="2">
        <f>IFERROR(__xludf.DUMMYFUNCTION("""COMPUTED_VALUE"""),1269.0)</f>
        <v>1269</v>
      </c>
      <c r="B1270" s="2" t="str">
        <f>IFERROR(__xludf.DUMMYFUNCTION("""COMPUTED_VALUE"""),"Emlyn Freed")</f>
        <v>Emlyn Freed</v>
      </c>
      <c r="C1270" s="2" t="str">
        <f>IFERROR(__xludf.DUMMYFUNCTION("""COMPUTED_VALUE"""),"efreed7h@jimdo.com")</f>
        <v>efreed7h@jimdo.com</v>
      </c>
      <c r="D1270" s="4">
        <f>IFERROR(__xludf.DUMMYFUNCTION("""COMPUTED_VALUE"""),137.0)</f>
        <v>137</v>
      </c>
      <c r="E1270" s="4">
        <f>IFERROR(__xludf.DUMMYFUNCTION("""COMPUTED_VALUE"""),66.0)</f>
        <v>66</v>
      </c>
      <c r="F1270" s="4">
        <f>IFERROR(__xludf.DUMMYFUNCTION("""COMPUTED_VALUE"""),6.0)</f>
        <v>6</v>
      </c>
      <c r="G1270" s="4">
        <f>IFERROR(__xludf.DUMMYFUNCTION("""COMPUTED_VALUE"""),1055.0)</f>
        <v>1055</v>
      </c>
      <c r="H1270" s="5">
        <f>IFERROR(__xludf.DUMMYFUNCTION("""COMPUTED_VALUE"""),2707.23)</f>
        <v>2707.23</v>
      </c>
      <c r="I1270" s="5">
        <f>IFERROR(__xludf.DUMMYFUNCTION("""COMPUTED_VALUE"""),5658.04)</f>
        <v>5658.04</v>
      </c>
      <c r="J1270" s="5">
        <f>IFERROR(__xludf.DUMMYFUNCTION("""COMPUTED_VALUE"""),8261.47)</f>
        <v>8261.47</v>
      </c>
      <c r="K1270" s="5">
        <f>IFERROR(__xludf.DUMMYFUNCTION("""COMPUTED_VALUE"""),7255.77)</f>
        <v>7255.77</v>
      </c>
      <c r="L1270" s="4">
        <f>IFERROR(__xludf.DUMMYFUNCTION("""COMPUTED_VALUE"""),7.0)</f>
        <v>7</v>
      </c>
      <c r="M1270" s="4">
        <f>IFERROR(__xludf.DUMMYFUNCTION("""COMPUTED_VALUE"""),97.0)</f>
        <v>97</v>
      </c>
      <c r="N1270" s="2" t="str">
        <f>IFERROR(__xludf.DUMMYFUNCTION("""COMPUTED_VALUE"""),"VERDADERO")</f>
        <v>VERDADERO</v>
      </c>
    </row>
    <row r="1271">
      <c r="A1271" s="2">
        <f>IFERROR(__xludf.DUMMYFUNCTION("""COMPUTED_VALUE"""),1270.0)</f>
        <v>1270</v>
      </c>
      <c r="B1271" s="2" t="str">
        <f>IFERROR(__xludf.DUMMYFUNCTION("""COMPUTED_VALUE"""),"Lorry Fontes")</f>
        <v>Lorry Fontes</v>
      </c>
      <c r="C1271" s="2" t="str">
        <f>IFERROR(__xludf.DUMMYFUNCTION("""COMPUTED_VALUE"""),"lfontes7i@gmpg.org")</f>
        <v>lfontes7i@gmpg.org</v>
      </c>
      <c r="D1271" s="4">
        <f>IFERROR(__xludf.DUMMYFUNCTION("""COMPUTED_VALUE"""),26.0)</f>
        <v>26</v>
      </c>
      <c r="E1271" s="4">
        <f>IFERROR(__xludf.DUMMYFUNCTION("""COMPUTED_VALUE"""),21.0)</f>
        <v>21</v>
      </c>
      <c r="F1271" s="4">
        <f>IFERROR(__xludf.DUMMYFUNCTION("""COMPUTED_VALUE"""),4.0)</f>
        <v>4</v>
      </c>
      <c r="G1271" s="4">
        <f>IFERROR(__xludf.DUMMYFUNCTION("""COMPUTED_VALUE"""),815.0)</f>
        <v>815</v>
      </c>
      <c r="H1271" s="5">
        <f>IFERROR(__xludf.DUMMYFUNCTION("""COMPUTED_VALUE"""),8336.79)</f>
        <v>8336.79</v>
      </c>
      <c r="I1271" s="5">
        <f>IFERROR(__xludf.DUMMYFUNCTION("""COMPUTED_VALUE"""),9677.51)</f>
        <v>9677.51</v>
      </c>
      <c r="J1271" s="5">
        <f>IFERROR(__xludf.DUMMYFUNCTION("""COMPUTED_VALUE"""),3941.59)</f>
        <v>3941.59</v>
      </c>
      <c r="K1271" s="5">
        <f>IFERROR(__xludf.DUMMYFUNCTION("""COMPUTED_VALUE"""),1073.37)</f>
        <v>1073.37</v>
      </c>
      <c r="L1271" s="4">
        <f>IFERROR(__xludf.DUMMYFUNCTION("""COMPUTED_VALUE"""),10.0)</f>
        <v>10</v>
      </c>
      <c r="M1271" s="4">
        <f>IFERROR(__xludf.DUMMYFUNCTION("""COMPUTED_VALUE"""),54.0)</f>
        <v>54</v>
      </c>
      <c r="N1271" s="2" t="str">
        <f>IFERROR(__xludf.DUMMYFUNCTION("""COMPUTED_VALUE"""),"VERDADERO")</f>
        <v>VERDADERO</v>
      </c>
    </row>
    <row r="1272">
      <c r="A1272" s="2">
        <f>IFERROR(__xludf.DUMMYFUNCTION("""COMPUTED_VALUE"""),1271.0)</f>
        <v>1271</v>
      </c>
      <c r="B1272" s="2" t="str">
        <f>IFERROR(__xludf.DUMMYFUNCTION("""COMPUTED_VALUE"""),"Perceval Begbie")</f>
        <v>Perceval Begbie</v>
      </c>
      <c r="C1272" s="2" t="str">
        <f>IFERROR(__xludf.DUMMYFUNCTION("""COMPUTED_VALUE"""),"pbegbie7j@fda.gov")</f>
        <v>pbegbie7j@fda.gov</v>
      </c>
      <c r="D1272" s="4">
        <f>IFERROR(__xludf.DUMMYFUNCTION("""COMPUTED_VALUE"""),124.0)</f>
        <v>124</v>
      </c>
      <c r="E1272" s="4">
        <f>IFERROR(__xludf.DUMMYFUNCTION("""COMPUTED_VALUE"""),30.0)</f>
        <v>30</v>
      </c>
      <c r="F1272" s="4">
        <f>IFERROR(__xludf.DUMMYFUNCTION("""COMPUTED_VALUE"""),11.0)</f>
        <v>11</v>
      </c>
      <c r="G1272" s="4">
        <f>IFERROR(__xludf.DUMMYFUNCTION("""COMPUTED_VALUE"""),66.0)</f>
        <v>66</v>
      </c>
      <c r="H1272" s="5">
        <f>IFERROR(__xludf.DUMMYFUNCTION("""COMPUTED_VALUE"""),3422.76)</f>
        <v>3422.76</v>
      </c>
      <c r="I1272" s="5">
        <f>IFERROR(__xludf.DUMMYFUNCTION("""COMPUTED_VALUE"""),277.74)</f>
        <v>277.74</v>
      </c>
      <c r="J1272" s="5">
        <f>IFERROR(__xludf.DUMMYFUNCTION("""COMPUTED_VALUE"""),7211.63)</f>
        <v>7211.63</v>
      </c>
      <c r="K1272" s="5">
        <f>IFERROR(__xludf.DUMMYFUNCTION("""COMPUTED_VALUE"""),7425.27)</f>
        <v>7425.27</v>
      </c>
      <c r="L1272" s="4">
        <f>IFERROR(__xludf.DUMMYFUNCTION("""COMPUTED_VALUE"""),14.0)</f>
        <v>14</v>
      </c>
      <c r="M1272" s="4">
        <f>IFERROR(__xludf.DUMMYFUNCTION("""COMPUTED_VALUE"""),83.0)</f>
        <v>83</v>
      </c>
      <c r="N1272" s="2" t="str">
        <f>IFERROR(__xludf.DUMMYFUNCTION("""COMPUTED_VALUE"""),"VERDADERO")</f>
        <v>VERDADERO</v>
      </c>
    </row>
    <row r="1273">
      <c r="A1273" s="2">
        <f>IFERROR(__xludf.DUMMYFUNCTION("""COMPUTED_VALUE"""),1272.0)</f>
        <v>1272</v>
      </c>
      <c r="B1273" s="2" t="str">
        <f>IFERROR(__xludf.DUMMYFUNCTION("""COMPUTED_VALUE"""),"Dannel Jayme")</f>
        <v>Dannel Jayme</v>
      </c>
      <c r="C1273" s="2" t="str">
        <f>IFERROR(__xludf.DUMMYFUNCTION("""COMPUTED_VALUE"""),"djayme7k@go.com")</f>
        <v>djayme7k@go.com</v>
      </c>
      <c r="D1273" s="4">
        <f>IFERROR(__xludf.DUMMYFUNCTION("""COMPUTED_VALUE"""),17.0)</f>
        <v>17</v>
      </c>
      <c r="E1273" s="4">
        <f>IFERROR(__xludf.DUMMYFUNCTION("""COMPUTED_VALUE"""),81.0)</f>
        <v>81</v>
      </c>
      <c r="F1273" s="4">
        <f>IFERROR(__xludf.DUMMYFUNCTION("""COMPUTED_VALUE"""),2.0)</f>
        <v>2</v>
      </c>
      <c r="G1273" s="4">
        <f>IFERROR(__xludf.DUMMYFUNCTION("""COMPUTED_VALUE"""),1237.0)</f>
        <v>1237</v>
      </c>
      <c r="H1273" s="5">
        <f>IFERROR(__xludf.DUMMYFUNCTION("""COMPUTED_VALUE"""),6589.71)</f>
        <v>6589.71</v>
      </c>
      <c r="I1273" s="5">
        <f>IFERROR(__xludf.DUMMYFUNCTION("""COMPUTED_VALUE"""),3209.43)</f>
        <v>3209.43</v>
      </c>
      <c r="J1273" s="5">
        <f>IFERROR(__xludf.DUMMYFUNCTION("""COMPUTED_VALUE"""),4112.29)</f>
        <v>4112.29</v>
      </c>
      <c r="K1273" s="5">
        <f>IFERROR(__xludf.DUMMYFUNCTION("""COMPUTED_VALUE"""),2739.78)</f>
        <v>2739.78</v>
      </c>
      <c r="L1273" s="4">
        <f>IFERROR(__xludf.DUMMYFUNCTION("""COMPUTED_VALUE"""),12.0)</f>
        <v>12</v>
      </c>
      <c r="M1273" s="4">
        <f>IFERROR(__xludf.DUMMYFUNCTION("""COMPUTED_VALUE"""),100.0)</f>
        <v>100</v>
      </c>
      <c r="N1273" s="2" t="str">
        <f>IFERROR(__xludf.DUMMYFUNCTION("""COMPUTED_VALUE"""),"FALSO")</f>
        <v>FALSO</v>
      </c>
    </row>
    <row r="1274">
      <c r="A1274" s="2">
        <f>IFERROR(__xludf.DUMMYFUNCTION("""COMPUTED_VALUE"""),1273.0)</f>
        <v>1273</v>
      </c>
      <c r="B1274" s="2" t="str">
        <f>IFERROR(__xludf.DUMMYFUNCTION("""COMPUTED_VALUE"""),"Maynard Guarnier")</f>
        <v>Maynard Guarnier</v>
      </c>
      <c r="C1274" s="2" t="str">
        <f>IFERROR(__xludf.DUMMYFUNCTION("""COMPUTED_VALUE"""),"mguarnier7l@marketwatch.com")</f>
        <v>mguarnier7l@marketwatch.com</v>
      </c>
      <c r="D1274" s="4">
        <f>IFERROR(__xludf.DUMMYFUNCTION("""COMPUTED_VALUE"""),120.0)</f>
        <v>120</v>
      </c>
      <c r="E1274" s="4">
        <f>IFERROR(__xludf.DUMMYFUNCTION("""COMPUTED_VALUE"""),107.0)</f>
        <v>107</v>
      </c>
      <c r="F1274" s="4">
        <f>IFERROR(__xludf.DUMMYFUNCTION("""COMPUTED_VALUE"""),5.0)</f>
        <v>5</v>
      </c>
      <c r="G1274" s="4">
        <f>IFERROR(__xludf.DUMMYFUNCTION("""COMPUTED_VALUE"""),461.0)</f>
        <v>461</v>
      </c>
      <c r="H1274" s="5">
        <f>IFERROR(__xludf.DUMMYFUNCTION("""COMPUTED_VALUE"""),6443.25)</f>
        <v>6443.25</v>
      </c>
      <c r="I1274" s="5">
        <f>IFERROR(__xludf.DUMMYFUNCTION("""COMPUTED_VALUE"""),1191.1)</f>
        <v>1191.1</v>
      </c>
      <c r="J1274" s="5">
        <f>IFERROR(__xludf.DUMMYFUNCTION("""COMPUTED_VALUE"""),3647.24)</f>
        <v>3647.24</v>
      </c>
      <c r="K1274" s="5">
        <f>IFERROR(__xludf.DUMMYFUNCTION("""COMPUTED_VALUE"""),848.08)</f>
        <v>848.08</v>
      </c>
      <c r="L1274" s="4">
        <f>IFERROR(__xludf.DUMMYFUNCTION("""COMPUTED_VALUE"""),7.0)</f>
        <v>7</v>
      </c>
      <c r="M1274" s="4">
        <f>IFERROR(__xludf.DUMMYFUNCTION("""COMPUTED_VALUE"""),83.0)</f>
        <v>83</v>
      </c>
      <c r="N1274" s="2" t="str">
        <f>IFERROR(__xludf.DUMMYFUNCTION("""COMPUTED_VALUE"""),"FALSO")</f>
        <v>FALSO</v>
      </c>
    </row>
    <row r="1275">
      <c r="A1275" s="2">
        <f>IFERROR(__xludf.DUMMYFUNCTION("""COMPUTED_VALUE"""),1274.0)</f>
        <v>1274</v>
      </c>
      <c r="B1275" s="2" t="str">
        <f>IFERROR(__xludf.DUMMYFUNCTION("""COMPUTED_VALUE"""),"Zitella Fyall")</f>
        <v>Zitella Fyall</v>
      </c>
      <c r="C1275" s="2" t="str">
        <f>IFERROR(__xludf.DUMMYFUNCTION("""COMPUTED_VALUE"""),"zfyall7m@ehow.com")</f>
        <v>zfyall7m@ehow.com</v>
      </c>
      <c r="D1275" s="4">
        <f>IFERROR(__xludf.DUMMYFUNCTION("""COMPUTED_VALUE"""),1.0)</f>
        <v>1</v>
      </c>
      <c r="E1275" s="4">
        <f>IFERROR(__xludf.DUMMYFUNCTION("""COMPUTED_VALUE"""),81.0)</f>
        <v>81</v>
      </c>
      <c r="F1275" s="4">
        <f>IFERROR(__xludf.DUMMYFUNCTION("""COMPUTED_VALUE"""),2.0)</f>
        <v>2</v>
      </c>
      <c r="G1275" s="4">
        <f>IFERROR(__xludf.DUMMYFUNCTION("""COMPUTED_VALUE"""),466.0)</f>
        <v>466</v>
      </c>
      <c r="H1275" s="5">
        <f>IFERROR(__xludf.DUMMYFUNCTION("""COMPUTED_VALUE"""),8451.72)</f>
        <v>8451.72</v>
      </c>
      <c r="I1275" s="5">
        <f>IFERROR(__xludf.DUMMYFUNCTION("""COMPUTED_VALUE"""),741.47)</f>
        <v>741.47</v>
      </c>
      <c r="J1275" s="5">
        <f>IFERROR(__xludf.DUMMYFUNCTION("""COMPUTED_VALUE"""),2545.26)</f>
        <v>2545.26</v>
      </c>
      <c r="K1275" s="5">
        <f>IFERROR(__xludf.DUMMYFUNCTION("""COMPUTED_VALUE"""),2009.38)</f>
        <v>2009.38</v>
      </c>
      <c r="L1275" s="4">
        <f>IFERROR(__xludf.DUMMYFUNCTION("""COMPUTED_VALUE"""),13.0)</f>
        <v>13</v>
      </c>
      <c r="M1275" s="4">
        <f>IFERROR(__xludf.DUMMYFUNCTION("""COMPUTED_VALUE"""),54.0)</f>
        <v>54</v>
      </c>
      <c r="N1275" s="2" t="str">
        <f>IFERROR(__xludf.DUMMYFUNCTION("""COMPUTED_VALUE"""),"VERDADERO")</f>
        <v>VERDADERO</v>
      </c>
    </row>
    <row r="1276">
      <c r="A1276" s="2">
        <f>IFERROR(__xludf.DUMMYFUNCTION("""COMPUTED_VALUE"""),1275.0)</f>
        <v>1275</v>
      </c>
      <c r="B1276" s="2" t="str">
        <f>IFERROR(__xludf.DUMMYFUNCTION("""COMPUTED_VALUE"""),"Torie Enticott")</f>
        <v>Torie Enticott</v>
      </c>
      <c r="C1276" s="2" t="str">
        <f>IFERROR(__xludf.DUMMYFUNCTION("""COMPUTED_VALUE"""),"tenticott7n@cdc.gov")</f>
        <v>tenticott7n@cdc.gov</v>
      </c>
      <c r="D1276" s="4">
        <f>IFERROR(__xludf.DUMMYFUNCTION("""COMPUTED_VALUE"""),124.0)</f>
        <v>124</v>
      </c>
      <c r="E1276" s="4">
        <f>IFERROR(__xludf.DUMMYFUNCTION("""COMPUTED_VALUE"""),56.0)</f>
        <v>56</v>
      </c>
      <c r="F1276" s="4">
        <f>IFERROR(__xludf.DUMMYFUNCTION("""COMPUTED_VALUE"""),6.0)</f>
        <v>6</v>
      </c>
      <c r="G1276" s="4">
        <f>IFERROR(__xludf.DUMMYFUNCTION("""COMPUTED_VALUE"""),1275.0)</f>
        <v>1275</v>
      </c>
      <c r="H1276" s="5">
        <f>IFERROR(__xludf.DUMMYFUNCTION("""COMPUTED_VALUE"""),8393.17)</f>
        <v>8393.17</v>
      </c>
      <c r="I1276" s="5">
        <f>IFERROR(__xludf.DUMMYFUNCTION("""COMPUTED_VALUE"""),6934.01)</f>
        <v>6934.01</v>
      </c>
      <c r="J1276" s="5">
        <f>IFERROR(__xludf.DUMMYFUNCTION("""COMPUTED_VALUE"""),9048.32)</f>
        <v>9048.32</v>
      </c>
      <c r="K1276" s="5">
        <f>IFERROR(__xludf.DUMMYFUNCTION("""COMPUTED_VALUE"""),2025.17)</f>
        <v>2025.17</v>
      </c>
      <c r="L1276" s="4">
        <f>IFERROR(__xludf.DUMMYFUNCTION("""COMPUTED_VALUE"""),12.0)</f>
        <v>12</v>
      </c>
      <c r="M1276" s="4">
        <f>IFERROR(__xludf.DUMMYFUNCTION("""COMPUTED_VALUE"""),57.0)</f>
        <v>57</v>
      </c>
      <c r="N1276" s="2" t="str">
        <f>IFERROR(__xludf.DUMMYFUNCTION("""COMPUTED_VALUE"""),"VERDADERO")</f>
        <v>VERDADERO</v>
      </c>
    </row>
    <row r="1277">
      <c r="A1277" s="2">
        <f>IFERROR(__xludf.DUMMYFUNCTION("""COMPUTED_VALUE"""),1276.0)</f>
        <v>1276</v>
      </c>
      <c r="B1277" s="2" t="str">
        <f>IFERROR(__xludf.DUMMYFUNCTION("""COMPUTED_VALUE"""),"Joann Whinney")</f>
        <v>Joann Whinney</v>
      </c>
      <c r="C1277" s="2" t="str">
        <f>IFERROR(__xludf.DUMMYFUNCTION("""COMPUTED_VALUE"""),"jwhinney7o@washingtonpost.com")</f>
        <v>jwhinney7o@washingtonpost.com</v>
      </c>
      <c r="D1277" s="4">
        <f>IFERROR(__xludf.DUMMYFUNCTION("""COMPUTED_VALUE"""),137.0)</f>
        <v>137</v>
      </c>
      <c r="E1277" s="4">
        <f>IFERROR(__xludf.DUMMYFUNCTION("""COMPUTED_VALUE"""),71.0)</f>
        <v>71</v>
      </c>
      <c r="F1277" s="4">
        <f>IFERROR(__xludf.DUMMYFUNCTION("""COMPUTED_VALUE"""),6.0)</f>
        <v>6</v>
      </c>
      <c r="G1277" s="4">
        <f>IFERROR(__xludf.DUMMYFUNCTION("""COMPUTED_VALUE"""),861.0)</f>
        <v>861</v>
      </c>
      <c r="H1277" s="5">
        <f>IFERROR(__xludf.DUMMYFUNCTION("""COMPUTED_VALUE"""),4338.01)</f>
        <v>4338.01</v>
      </c>
      <c r="I1277" s="5">
        <f>IFERROR(__xludf.DUMMYFUNCTION("""COMPUTED_VALUE"""),776.99)</f>
        <v>776.99</v>
      </c>
      <c r="J1277" s="5">
        <f>IFERROR(__xludf.DUMMYFUNCTION("""COMPUTED_VALUE"""),9856.65)</f>
        <v>9856.65</v>
      </c>
      <c r="K1277" s="5">
        <f>IFERROR(__xludf.DUMMYFUNCTION("""COMPUTED_VALUE"""),2481.73)</f>
        <v>2481.73</v>
      </c>
      <c r="L1277" s="4">
        <f>IFERROR(__xludf.DUMMYFUNCTION("""COMPUTED_VALUE"""),18.0)</f>
        <v>18</v>
      </c>
      <c r="M1277" s="4">
        <f>IFERROR(__xludf.DUMMYFUNCTION("""COMPUTED_VALUE"""),22.0)</f>
        <v>22</v>
      </c>
      <c r="N1277" s="2" t="str">
        <f>IFERROR(__xludf.DUMMYFUNCTION("""COMPUTED_VALUE"""),"FALSO")</f>
        <v>FALSO</v>
      </c>
    </row>
    <row r="1278">
      <c r="A1278" s="2">
        <f>IFERROR(__xludf.DUMMYFUNCTION("""COMPUTED_VALUE"""),1277.0)</f>
        <v>1277</v>
      </c>
      <c r="B1278" s="2" t="str">
        <f>IFERROR(__xludf.DUMMYFUNCTION("""COMPUTED_VALUE"""),"Sherilyn Aldersey")</f>
        <v>Sherilyn Aldersey</v>
      </c>
      <c r="C1278" s="2" t="str">
        <f>IFERROR(__xludf.DUMMYFUNCTION("""COMPUTED_VALUE"""),"saldersey7p@java.com")</f>
        <v>saldersey7p@java.com</v>
      </c>
      <c r="D1278" s="4">
        <f>IFERROR(__xludf.DUMMYFUNCTION("""COMPUTED_VALUE"""),29.0)</f>
        <v>29</v>
      </c>
      <c r="E1278" s="4">
        <f>IFERROR(__xludf.DUMMYFUNCTION("""COMPUTED_VALUE"""),90.0)</f>
        <v>90</v>
      </c>
      <c r="F1278" s="4">
        <f>IFERROR(__xludf.DUMMYFUNCTION("""COMPUTED_VALUE"""),5.0)</f>
        <v>5</v>
      </c>
      <c r="G1278" s="4">
        <f>IFERROR(__xludf.DUMMYFUNCTION("""COMPUTED_VALUE"""),813.0)</f>
        <v>813</v>
      </c>
      <c r="H1278" s="5">
        <f>IFERROR(__xludf.DUMMYFUNCTION("""COMPUTED_VALUE"""),3867.13)</f>
        <v>3867.13</v>
      </c>
      <c r="I1278" s="5">
        <f>IFERROR(__xludf.DUMMYFUNCTION("""COMPUTED_VALUE"""),7940.42)</f>
        <v>7940.42</v>
      </c>
      <c r="J1278" s="5">
        <f>IFERROR(__xludf.DUMMYFUNCTION("""COMPUTED_VALUE"""),3481.44)</f>
        <v>3481.44</v>
      </c>
      <c r="K1278" s="5">
        <f>IFERROR(__xludf.DUMMYFUNCTION("""COMPUTED_VALUE"""),4864.82)</f>
        <v>4864.82</v>
      </c>
      <c r="L1278" s="4">
        <f>IFERROR(__xludf.DUMMYFUNCTION("""COMPUTED_VALUE"""),19.0)</f>
        <v>19</v>
      </c>
      <c r="M1278" s="4">
        <f>IFERROR(__xludf.DUMMYFUNCTION("""COMPUTED_VALUE"""),42.0)</f>
        <v>42</v>
      </c>
      <c r="N1278" s="2" t="str">
        <f>IFERROR(__xludf.DUMMYFUNCTION("""COMPUTED_VALUE"""),"FALSO")</f>
        <v>FALSO</v>
      </c>
    </row>
    <row r="1279">
      <c r="A1279" s="2">
        <f>IFERROR(__xludf.DUMMYFUNCTION("""COMPUTED_VALUE"""),1278.0)</f>
        <v>1278</v>
      </c>
      <c r="B1279" s="2" t="str">
        <f>IFERROR(__xludf.DUMMYFUNCTION("""COMPUTED_VALUE"""),"Corina Whilde")</f>
        <v>Corina Whilde</v>
      </c>
      <c r="C1279" s="2" t="str">
        <f>IFERROR(__xludf.DUMMYFUNCTION("""COMPUTED_VALUE"""),"cwhilde7q@accuweather.com")</f>
        <v>cwhilde7q@accuweather.com</v>
      </c>
      <c r="D1279" s="4">
        <f>IFERROR(__xludf.DUMMYFUNCTION("""COMPUTED_VALUE"""),119.0)</f>
        <v>119</v>
      </c>
      <c r="E1279" s="4">
        <f>IFERROR(__xludf.DUMMYFUNCTION("""COMPUTED_VALUE"""),95.0)</f>
        <v>95</v>
      </c>
      <c r="F1279" s="4">
        <f>IFERROR(__xludf.DUMMYFUNCTION("""COMPUTED_VALUE"""),13.0)</f>
        <v>13</v>
      </c>
      <c r="G1279" s="4">
        <f>IFERROR(__xludf.DUMMYFUNCTION("""COMPUTED_VALUE"""),843.0)</f>
        <v>843</v>
      </c>
      <c r="H1279" s="5">
        <f>IFERROR(__xludf.DUMMYFUNCTION("""COMPUTED_VALUE"""),9918.29)</f>
        <v>9918.29</v>
      </c>
      <c r="I1279" s="5">
        <f>IFERROR(__xludf.DUMMYFUNCTION("""COMPUTED_VALUE"""),5206.61)</f>
        <v>5206.61</v>
      </c>
      <c r="J1279" s="5">
        <f>IFERROR(__xludf.DUMMYFUNCTION("""COMPUTED_VALUE"""),3021.51)</f>
        <v>3021.51</v>
      </c>
      <c r="K1279" s="5">
        <f>IFERROR(__xludf.DUMMYFUNCTION("""COMPUTED_VALUE"""),7600.95)</f>
        <v>7600.95</v>
      </c>
      <c r="L1279" s="4">
        <f>IFERROR(__xludf.DUMMYFUNCTION("""COMPUTED_VALUE"""),10.0)</f>
        <v>10</v>
      </c>
      <c r="M1279" s="4">
        <f>IFERROR(__xludf.DUMMYFUNCTION("""COMPUTED_VALUE"""),67.0)</f>
        <v>67</v>
      </c>
      <c r="N1279" s="2" t="str">
        <f>IFERROR(__xludf.DUMMYFUNCTION("""COMPUTED_VALUE"""),"FALSO")</f>
        <v>FALSO</v>
      </c>
    </row>
    <row r="1280">
      <c r="A1280" s="2">
        <f>IFERROR(__xludf.DUMMYFUNCTION("""COMPUTED_VALUE"""),1279.0)</f>
        <v>1279</v>
      </c>
      <c r="B1280" s="2" t="str">
        <f>IFERROR(__xludf.DUMMYFUNCTION("""COMPUTED_VALUE"""),"Rickie Freemantle")</f>
        <v>Rickie Freemantle</v>
      </c>
      <c r="C1280" s="2" t="str">
        <f>IFERROR(__xludf.DUMMYFUNCTION("""COMPUTED_VALUE"""),"rfreemantle7r@blogger.com")</f>
        <v>rfreemantle7r@blogger.com</v>
      </c>
      <c r="D1280" s="4">
        <f>IFERROR(__xludf.DUMMYFUNCTION("""COMPUTED_VALUE"""),157.0)</f>
        <v>157</v>
      </c>
      <c r="E1280" s="4">
        <f>IFERROR(__xludf.DUMMYFUNCTION("""COMPUTED_VALUE"""),81.0)</f>
        <v>81</v>
      </c>
      <c r="F1280" s="4">
        <f>IFERROR(__xludf.DUMMYFUNCTION("""COMPUTED_VALUE"""),2.0)</f>
        <v>2</v>
      </c>
      <c r="G1280" s="4">
        <f>IFERROR(__xludf.DUMMYFUNCTION("""COMPUTED_VALUE"""),27.0)</f>
        <v>27</v>
      </c>
      <c r="H1280" s="5">
        <f>IFERROR(__xludf.DUMMYFUNCTION("""COMPUTED_VALUE"""),7638.92)</f>
        <v>7638.92</v>
      </c>
      <c r="I1280" s="5">
        <f>IFERROR(__xludf.DUMMYFUNCTION("""COMPUTED_VALUE"""),2679.26)</f>
        <v>2679.26</v>
      </c>
      <c r="J1280" s="5">
        <f>IFERROR(__xludf.DUMMYFUNCTION("""COMPUTED_VALUE"""),7489.33)</f>
        <v>7489.33</v>
      </c>
      <c r="K1280" s="5">
        <f>IFERROR(__xludf.DUMMYFUNCTION("""COMPUTED_VALUE"""),3798.28)</f>
        <v>3798.28</v>
      </c>
      <c r="L1280" s="4">
        <f>IFERROR(__xludf.DUMMYFUNCTION("""COMPUTED_VALUE"""),6.0)</f>
        <v>6</v>
      </c>
      <c r="M1280" s="4">
        <f>IFERROR(__xludf.DUMMYFUNCTION("""COMPUTED_VALUE"""),35.0)</f>
        <v>35</v>
      </c>
      <c r="N1280" s="2" t="str">
        <f>IFERROR(__xludf.DUMMYFUNCTION("""COMPUTED_VALUE"""),"VERDADERO")</f>
        <v>VERDADERO</v>
      </c>
    </row>
    <row r="1281">
      <c r="A1281" s="2">
        <f>IFERROR(__xludf.DUMMYFUNCTION("""COMPUTED_VALUE"""),1280.0)</f>
        <v>1280</v>
      </c>
      <c r="B1281" s="2" t="str">
        <f>IFERROR(__xludf.DUMMYFUNCTION("""COMPUTED_VALUE"""),"Albertine Lambswood")</f>
        <v>Albertine Lambswood</v>
      </c>
      <c r="C1281" s="2" t="str">
        <f>IFERROR(__xludf.DUMMYFUNCTION("""COMPUTED_VALUE"""),"alambswood7s@usgs.gov")</f>
        <v>alambswood7s@usgs.gov</v>
      </c>
      <c r="D1281" s="4">
        <f>IFERROR(__xludf.DUMMYFUNCTION("""COMPUTED_VALUE"""),137.0)</f>
        <v>137</v>
      </c>
      <c r="E1281" s="4">
        <f>IFERROR(__xludf.DUMMYFUNCTION("""COMPUTED_VALUE"""),6.0)</f>
        <v>6</v>
      </c>
      <c r="F1281" s="4">
        <f>IFERROR(__xludf.DUMMYFUNCTION("""COMPUTED_VALUE"""),13.0)</f>
        <v>13</v>
      </c>
      <c r="G1281" s="4">
        <f>IFERROR(__xludf.DUMMYFUNCTION("""COMPUTED_VALUE"""),1464.0)</f>
        <v>1464</v>
      </c>
      <c r="H1281" s="5">
        <f>IFERROR(__xludf.DUMMYFUNCTION("""COMPUTED_VALUE"""),4686.11)</f>
        <v>4686.11</v>
      </c>
      <c r="I1281" s="5">
        <f>IFERROR(__xludf.DUMMYFUNCTION("""COMPUTED_VALUE"""),7295.18)</f>
        <v>7295.18</v>
      </c>
      <c r="J1281" s="5">
        <f>IFERROR(__xludf.DUMMYFUNCTION("""COMPUTED_VALUE"""),7401.78)</f>
        <v>7401.78</v>
      </c>
      <c r="K1281" s="5">
        <f>IFERROR(__xludf.DUMMYFUNCTION("""COMPUTED_VALUE"""),5956.47)</f>
        <v>5956.47</v>
      </c>
      <c r="L1281" s="4">
        <f>IFERROR(__xludf.DUMMYFUNCTION("""COMPUTED_VALUE"""),12.0)</f>
        <v>12</v>
      </c>
      <c r="M1281" s="4">
        <f>IFERROR(__xludf.DUMMYFUNCTION("""COMPUTED_VALUE"""),82.0)</f>
        <v>82</v>
      </c>
      <c r="N1281" s="2" t="str">
        <f>IFERROR(__xludf.DUMMYFUNCTION("""COMPUTED_VALUE"""),"FALSO")</f>
        <v>FALSO</v>
      </c>
    </row>
    <row r="1282">
      <c r="A1282" s="2">
        <f>IFERROR(__xludf.DUMMYFUNCTION("""COMPUTED_VALUE"""),1281.0)</f>
        <v>1281</v>
      </c>
      <c r="B1282" s="2" t="str">
        <f>IFERROR(__xludf.DUMMYFUNCTION("""COMPUTED_VALUE"""),"Alan Aisthorpe")</f>
        <v>Alan Aisthorpe</v>
      </c>
      <c r="C1282" s="2" t="str">
        <f>IFERROR(__xludf.DUMMYFUNCTION("""COMPUTED_VALUE"""),"aaisthorpe7t@cyberchimps.com")</f>
        <v>aaisthorpe7t@cyberchimps.com</v>
      </c>
      <c r="D1282" s="4">
        <f>IFERROR(__xludf.DUMMYFUNCTION("""COMPUTED_VALUE"""),29.0)</f>
        <v>29</v>
      </c>
      <c r="E1282" s="4">
        <f>IFERROR(__xludf.DUMMYFUNCTION("""COMPUTED_VALUE"""),41.0)</f>
        <v>41</v>
      </c>
      <c r="F1282" s="4">
        <f>IFERROR(__xludf.DUMMYFUNCTION("""COMPUTED_VALUE"""),11.0)</f>
        <v>11</v>
      </c>
      <c r="G1282" s="4">
        <f>IFERROR(__xludf.DUMMYFUNCTION("""COMPUTED_VALUE"""),1318.0)</f>
        <v>1318</v>
      </c>
      <c r="H1282" s="5">
        <f>IFERROR(__xludf.DUMMYFUNCTION("""COMPUTED_VALUE"""),4735.09)</f>
        <v>4735.09</v>
      </c>
      <c r="I1282" s="5">
        <f>IFERROR(__xludf.DUMMYFUNCTION("""COMPUTED_VALUE"""),1146.6)</f>
        <v>1146.6</v>
      </c>
      <c r="J1282" s="5">
        <f>IFERROR(__xludf.DUMMYFUNCTION("""COMPUTED_VALUE"""),2254.19)</f>
        <v>2254.19</v>
      </c>
      <c r="K1282" s="5">
        <f>IFERROR(__xludf.DUMMYFUNCTION("""COMPUTED_VALUE"""),5794.73)</f>
        <v>5794.73</v>
      </c>
      <c r="L1282" s="4">
        <f>IFERROR(__xludf.DUMMYFUNCTION("""COMPUTED_VALUE"""),9.0)</f>
        <v>9</v>
      </c>
      <c r="M1282" s="4">
        <f>IFERROR(__xludf.DUMMYFUNCTION("""COMPUTED_VALUE"""),22.0)</f>
        <v>22</v>
      </c>
      <c r="N1282" s="2" t="str">
        <f>IFERROR(__xludf.DUMMYFUNCTION("""COMPUTED_VALUE"""),"VERDADERO")</f>
        <v>VERDADERO</v>
      </c>
    </row>
    <row r="1283">
      <c r="A1283" s="2">
        <f>IFERROR(__xludf.DUMMYFUNCTION("""COMPUTED_VALUE"""),1282.0)</f>
        <v>1282</v>
      </c>
      <c r="B1283" s="2" t="str">
        <f>IFERROR(__xludf.DUMMYFUNCTION("""COMPUTED_VALUE"""),"Jedidiah Carren")</f>
        <v>Jedidiah Carren</v>
      </c>
      <c r="C1283" s="2" t="str">
        <f>IFERROR(__xludf.DUMMYFUNCTION("""COMPUTED_VALUE"""),"jcarren7u@free.fr")</f>
        <v>jcarren7u@free.fr</v>
      </c>
      <c r="D1283" s="4">
        <f>IFERROR(__xludf.DUMMYFUNCTION("""COMPUTED_VALUE"""),29.0)</f>
        <v>29</v>
      </c>
      <c r="E1283" s="4">
        <f>IFERROR(__xludf.DUMMYFUNCTION("""COMPUTED_VALUE"""),11.0)</f>
        <v>11</v>
      </c>
      <c r="F1283" s="4">
        <f>IFERROR(__xludf.DUMMYFUNCTION("""COMPUTED_VALUE"""),13.0)</f>
        <v>13</v>
      </c>
      <c r="G1283" s="4">
        <f>IFERROR(__xludf.DUMMYFUNCTION("""COMPUTED_VALUE"""),1569.0)</f>
        <v>1569</v>
      </c>
      <c r="H1283" s="5">
        <f>IFERROR(__xludf.DUMMYFUNCTION("""COMPUTED_VALUE"""),2832.36)</f>
        <v>2832.36</v>
      </c>
      <c r="I1283" s="5">
        <f>IFERROR(__xludf.DUMMYFUNCTION("""COMPUTED_VALUE"""),4279.42)</f>
        <v>4279.42</v>
      </c>
      <c r="J1283" s="5">
        <f>IFERROR(__xludf.DUMMYFUNCTION("""COMPUTED_VALUE"""),2168.8)</f>
        <v>2168.8</v>
      </c>
      <c r="K1283" s="5">
        <f>IFERROR(__xludf.DUMMYFUNCTION("""COMPUTED_VALUE"""),6939.57)</f>
        <v>6939.57</v>
      </c>
      <c r="L1283" s="4">
        <f>IFERROR(__xludf.DUMMYFUNCTION("""COMPUTED_VALUE"""),5.0)</f>
        <v>5</v>
      </c>
      <c r="M1283" s="4">
        <f>IFERROR(__xludf.DUMMYFUNCTION("""COMPUTED_VALUE"""),24.0)</f>
        <v>24</v>
      </c>
      <c r="N1283" s="2" t="str">
        <f>IFERROR(__xludf.DUMMYFUNCTION("""COMPUTED_VALUE"""),"VERDADERO")</f>
        <v>VERDADERO</v>
      </c>
    </row>
    <row r="1284">
      <c r="A1284" s="2">
        <f>IFERROR(__xludf.DUMMYFUNCTION("""COMPUTED_VALUE"""),1283.0)</f>
        <v>1283</v>
      </c>
      <c r="B1284" s="2" t="str">
        <f>IFERROR(__xludf.DUMMYFUNCTION("""COMPUTED_VALUE"""),"Werner Pauncefoot")</f>
        <v>Werner Pauncefoot</v>
      </c>
      <c r="C1284" s="2" t="str">
        <f>IFERROR(__xludf.DUMMYFUNCTION("""COMPUTED_VALUE"""),"wpauncefoot7v@e-recht24.de")</f>
        <v>wpauncefoot7v@e-recht24.de</v>
      </c>
      <c r="D1284" s="4">
        <f>IFERROR(__xludf.DUMMYFUNCTION("""COMPUTED_VALUE"""),29.0)</f>
        <v>29</v>
      </c>
      <c r="E1284" s="4">
        <f>IFERROR(__xludf.DUMMYFUNCTION("""COMPUTED_VALUE"""),81.0)</f>
        <v>81</v>
      </c>
      <c r="F1284" s="4">
        <f>IFERROR(__xludf.DUMMYFUNCTION("""COMPUTED_VALUE"""),2.0)</f>
        <v>2</v>
      </c>
      <c r="G1284" s="4">
        <f>IFERROR(__xludf.DUMMYFUNCTION("""COMPUTED_VALUE"""),95.0)</f>
        <v>95</v>
      </c>
      <c r="H1284" s="5">
        <f>IFERROR(__xludf.DUMMYFUNCTION("""COMPUTED_VALUE"""),2493.0)</f>
        <v>2493</v>
      </c>
      <c r="I1284" s="5">
        <f>IFERROR(__xludf.DUMMYFUNCTION("""COMPUTED_VALUE"""),7339.87)</f>
        <v>7339.87</v>
      </c>
      <c r="J1284" s="5">
        <f>IFERROR(__xludf.DUMMYFUNCTION("""COMPUTED_VALUE"""),3155.32)</f>
        <v>3155.32</v>
      </c>
      <c r="K1284" s="5">
        <f>IFERROR(__xludf.DUMMYFUNCTION("""COMPUTED_VALUE"""),9480.73)</f>
        <v>9480.73</v>
      </c>
      <c r="L1284" s="4">
        <f>IFERROR(__xludf.DUMMYFUNCTION("""COMPUTED_VALUE"""),7.0)</f>
        <v>7</v>
      </c>
      <c r="M1284" s="4">
        <f>IFERROR(__xludf.DUMMYFUNCTION("""COMPUTED_VALUE"""),4.0)</f>
        <v>4</v>
      </c>
      <c r="N1284" s="2" t="str">
        <f>IFERROR(__xludf.DUMMYFUNCTION("""COMPUTED_VALUE"""),"VERDADERO")</f>
        <v>VERDADERO</v>
      </c>
    </row>
    <row r="1285">
      <c r="A1285" s="2">
        <f>IFERROR(__xludf.DUMMYFUNCTION("""COMPUTED_VALUE"""),1284.0)</f>
        <v>1284</v>
      </c>
      <c r="B1285" s="2" t="str">
        <f>IFERROR(__xludf.DUMMYFUNCTION("""COMPUTED_VALUE"""),"Humfried Lalevee")</f>
        <v>Humfried Lalevee</v>
      </c>
      <c r="C1285" s="2" t="str">
        <f>IFERROR(__xludf.DUMMYFUNCTION("""COMPUTED_VALUE"""),"hlalevee7w@delicious.com")</f>
        <v>hlalevee7w@delicious.com</v>
      </c>
      <c r="D1285" s="4">
        <f>IFERROR(__xludf.DUMMYFUNCTION("""COMPUTED_VALUE"""),55.0)</f>
        <v>55</v>
      </c>
      <c r="E1285" s="4">
        <f>IFERROR(__xludf.DUMMYFUNCTION("""COMPUTED_VALUE"""),42.0)</f>
        <v>42</v>
      </c>
      <c r="F1285" s="4">
        <f>IFERROR(__xludf.DUMMYFUNCTION("""COMPUTED_VALUE"""),13.0)</f>
        <v>13</v>
      </c>
      <c r="G1285" s="4">
        <f>IFERROR(__xludf.DUMMYFUNCTION("""COMPUTED_VALUE"""),124.0)</f>
        <v>124</v>
      </c>
      <c r="H1285" s="5">
        <f>IFERROR(__xludf.DUMMYFUNCTION("""COMPUTED_VALUE"""),788.55)</f>
        <v>788.55</v>
      </c>
      <c r="I1285" s="5">
        <f>IFERROR(__xludf.DUMMYFUNCTION("""COMPUTED_VALUE"""),2394.67)</f>
        <v>2394.67</v>
      </c>
      <c r="J1285" s="5">
        <f>IFERROR(__xludf.DUMMYFUNCTION("""COMPUTED_VALUE"""),54.73)</f>
        <v>54.73</v>
      </c>
      <c r="K1285" s="5">
        <f>IFERROR(__xludf.DUMMYFUNCTION("""COMPUTED_VALUE"""),3451.04)</f>
        <v>3451.04</v>
      </c>
      <c r="L1285" s="4">
        <f>IFERROR(__xludf.DUMMYFUNCTION("""COMPUTED_VALUE"""),6.0)</f>
        <v>6</v>
      </c>
      <c r="M1285" s="4">
        <f>IFERROR(__xludf.DUMMYFUNCTION("""COMPUTED_VALUE"""),100.0)</f>
        <v>100</v>
      </c>
      <c r="N1285" s="2" t="str">
        <f>IFERROR(__xludf.DUMMYFUNCTION("""COMPUTED_VALUE"""),"VERDADERO")</f>
        <v>VERDADERO</v>
      </c>
    </row>
    <row r="1286">
      <c r="A1286" s="2">
        <f>IFERROR(__xludf.DUMMYFUNCTION("""COMPUTED_VALUE"""),1285.0)</f>
        <v>1285</v>
      </c>
      <c r="B1286" s="2" t="str">
        <f>IFERROR(__xludf.DUMMYFUNCTION("""COMPUTED_VALUE"""),"Son Hulland")</f>
        <v>Son Hulland</v>
      </c>
      <c r="C1286" s="2" t="str">
        <f>IFERROR(__xludf.DUMMYFUNCTION("""COMPUTED_VALUE"""),"shulland7x@pcworld.com")</f>
        <v>shulland7x@pcworld.com</v>
      </c>
      <c r="D1286" s="4">
        <f>IFERROR(__xludf.DUMMYFUNCTION("""COMPUTED_VALUE"""),29.0)</f>
        <v>29</v>
      </c>
      <c r="E1286" s="4">
        <f>IFERROR(__xludf.DUMMYFUNCTION("""COMPUTED_VALUE"""),39.0)</f>
        <v>39</v>
      </c>
      <c r="F1286" s="4">
        <f>IFERROR(__xludf.DUMMYFUNCTION("""COMPUTED_VALUE"""),11.0)</f>
        <v>11</v>
      </c>
      <c r="G1286" s="4">
        <f>IFERROR(__xludf.DUMMYFUNCTION("""COMPUTED_VALUE"""),305.0)</f>
        <v>305</v>
      </c>
      <c r="H1286" s="5">
        <f>IFERROR(__xludf.DUMMYFUNCTION("""COMPUTED_VALUE"""),9040.79)</f>
        <v>9040.79</v>
      </c>
      <c r="I1286" s="5">
        <f>IFERROR(__xludf.DUMMYFUNCTION("""COMPUTED_VALUE"""),6957.54)</f>
        <v>6957.54</v>
      </c>
      <c r="J1286" s="5">
        <f>IFERROR(__xludf.DUMMYFUNCTION("""COMPUTED_VALUE"""),3742.35)</f>
        <v>3742.35</v>
      </c>
      <c r="K1286" s="5">
        <f>IFERROR(__xludf.DUMMYFUNCTION("""COMPUTED_VALUE"""),637.75)</f>
        <v>637.75</v>
      </c>
      <c r="L1286" s="4">
        <f>IFERROR(__xludf.DUMMYFUNCTION("""COMPUTED_VALUE"""),10.0)</f>
        <v>10</v>
      </c>
      <c r="M1286" s="4">
        <f>IFERROR(__xludf.DUMMYFUNCTION("""COMPUTED_VALUE"""),56.0)</f>
        <v>56</v>
      </c>
      <c r="N1286" s="2" t="str">
        <f>IFERROR(__xludf.DUMMYFUNCTION("""COMPUTED_VALUE"""),"FALSO")</f>
        <v>FALSO</v>
      </c>
    </row>
    <row r="1287">
      <c r="A1287" s="2">
        <f>IFERROR(__xludf.DUMMYFUNCTION("""COMPUTED_VALUE"""),1286.0)</f>
        <v>1286</v>
      </c>
      <c r="B1287" s="2" t="str">
        <f>IFERROR(__xludf.DUMMYFUNCTION("""COMPUTED_VALUE"""),"Tootsie Murrie")</f>
        <v>Tootsie Murrie</v>
      </c>
      <c r="C1287" s="2" t="str">
        <f>IFERROR(__xludf.DUMMYFUNCTION("""COMPUTED_VALUE"""),"tmurrie7y@xinhuanet.com")</f>
        <v>tmurrie7y@xinhuanet.com</v>
      </c>
      <c r="D1287" s="4">
        <f>IFERROR(__xludf.DUMMYFUNCTION("""COMPUTED_VALUE"""),88.0)</f>
        <v>88</v>
      </c>
      <c r="E1287" s="4">
        <f>IFERROR(__xludf.DUMMYFUNCTION("""COMPUTED_VALUE"""),109.0)</f>
        <v>109</v>
      </c>
      <c r="F1287" s="4">
        <f>IFERROR(__xludf.DUMMYFUNCTION("""COMPUTED_VALUE"""),5.0)</f>
        <v>5</v>
      </c>
      <c r="G1287" s="4">
        <f>IFERROR(__xludf.DUMMYFUNCTION("""COMPUTED_VALUE"""),1205.0)</f>
        <v>1205</v>
      </c>
      <c r="H1287" s="5">
        <f>IFERROR(__xludf.DUMMYFUNCTION("""COMPUTED_VALUE"""),4821.21)</f>
        <v>4821.21</v>
      </c>
      <c r="I1287" s="5">
        <f>IFERROR(__xludf.DUMMYFUNCTION("""COMPUTED_VALUE"""),2923.32)</f>
        <v>2923.32</v>
      </c>
      <c r="J1287" s="5">
        <f>IFERROR(__xludf.DUMMYFUNCTION("""COMPUTED_VALUE"""),2852.38)</f>
        <v>2852.38</v>
      </c>
      <c r="K1287" s="5">
        <f>IFERROR(__xludf.DUMMYFUNCTION("""COMPUTED_VALUE"""),6832.82)</f>
        <v>6832.82</v>
      </c>
      <c r="L1287" s="4">
        <f>IFERROR(__xludf.DUMMYFUNCTION("""COMPUTED_VALUE"""),10.0)</f>
        <v>10</v>
      </c>
      <c r="M1287" s="4">
        <f>IFERROR(__xludf.DUMMYFUNCTION("""COMPUTED_VALUE"""),70.0)</f>
        <v>70</v>
      </c>
      <c r="N1287" s="2" t="str">
        <f>IFERROR(__xludf.DUMMYFUNCTION("""COMPUTED_VALUE"""),"FALSO")</f>
        <v>FALSO</v>
      </c>
    </row>
    <row r="1288">
      <c r="A1288" s="2">
        <f>IFERROR(__xludf.DUMMYFUNCTION("""COMPUTED_VALUE"""),1287.0)</f>
        <v>1287</v>
      </c>
      <c r="B1288" s="2" t="str">
        <f>IFERROR(__xludf.DUMMYFUNCTION("""COMPUTED_VALUE"""),"Steffen Richold")</f>
        <v>Steffen Richold</v>
      </c>
      <c r="C1288" s="2" t="str">
        <f>IFERROR(__xludf.DUMMYFUNCTION("""COMPUTED_VALUE"""),"srichold7z@wsj.com")</f>
        <v>srichold7z@wsj.com</v>
      </c>
      <c r="D1288" s="4">
        <f>IFERROR(__xludf.DUMMYFUNCTION("""COMPUTED_VALUE"""),29.0)</f>
        <v>29</v>
      </c>
      <c r="E1288" s="4">
        <f>IFERROR(__xludf.DUMMYFUNCTION("""COMPUTED_VALUE"""),112.0)</f>
        <v>112</v>
      </c>
      <c r="F1288" s="4">
        <f>IFERROR(__xludf.DUMMYFUNCTION("""COMPUTED_VALUE"""),11.0)</f>
        <v>11</v>
      </c>
      <c r="G1288" s="4">
        <f>IFERROR(__xludf.DUMMYFUNCTION("""COMPUTED_VALUE"""),754.0)</f>
        <v>754</v>
      </c>
      <c r="H1288" s="5">
        <f>IFERROR(__xludf.DUMMYFUNCTION("""COMPUTED_VALUE"""),9645.09)</f>
        <v>9645.09</v>
      </c>
      <c r="I1288" s="5">
        <f>IFERROR(__xludf.DUMMYFUNCTION("""COMPUTED_VALUE"""),3028.64)</f>
        <v>3028.64</v>
      </c>
      <c r="J1288" s="5">
        <f>IFERROR(__xludf.DUMMYFUNCTION("""COMPUTED_VALUE"""),2353.1)</f>
        <v>2353.1</v>
      </c>
      <c r="K1288" s="5">
        <f>IFERROR(__xludf.DUMMYFUNCTION("""COMPUTED_VALUE"""),2549.23)</f>
        <v>2549.23</v>
      </c>
      <c r="L1288" s="4">
        <f>IFERROR(__xludf.DUMMYFUNCTION("""COMPUTED_VALUE"""),8.0)</f>
        <v>8</v>
      </c>
      <c r="M1288" s="4">
        <f>IFERROR(__xludf.DUMMYFUNCTION("""COMPUTED_VALUE"""),42.0)</f>
        <v>42</v>
      </c>
      <c r="N1288" s="2" t="str">
        <f>IFERROR(__xludf.DUMMYFUNCTION("""COMPUTED_VALUE"""),"FALSO")</f>
        <v>FALSO</v>
      </c>
    </row>
    <row r="1289">
      <c r="A1289" s="2">
        <f>IFERROR(__xludf.DUMMYFUNCTION("""COMPUTED_VALUE"""),1288.0)</f>
        <v>1288</v>
      </c>
      <c r="B1289" s="2" t="str">
        <f>IFERROR(__xludf.DUMMYFUNCTION("""COMPUTED_VALUE"""),"Tome Christmas")</f>
        <v>Tome Christmas</v>
      </c>
      <c r="C1289" s="2" t="str">
        <f>IFERROR(__xludf.DUMMYFUNCTION("""COMPUTED_VALUE"""),"tchristmas80@usgs.gov")</f>
        <v>tchristmas80@usgs.gov</v>
      </c>
      <c r="D1289" s="4">
        <f>IFERROR(__xludf.DUMMYFUNCTION("""COMPUTED_VALUE"""),73.0)</f>
        <v>73</v>
      </c>
      <c r="E1289" s="4">
        <f>IFERROR(__xludf.DUMMYFUNCTION("""COMPUTED_VALUE"""),39.0)</f>
        <v>39</v>
      </c>
      <c r="F1289" s="4">
        <f>IFERROR(__xludf.DUMMYFUNCTION("""COMPUTED_VALUE"""),11.0)</f>
        <v>11</v>
      </c>
      <c r="G1289" s="4">
        <f>IFERROR(__xludf.DUMMYFUNCTION("""COMPUTED_VALUE"""),61.0)</f>
        <v>61</v>
      </c>
      <c r="H1289" s="5">
        <f>IFERROR(__xludf.DUMMYFUNCTION("""COMPUTED_VALUE"""),7623.39)</f>
        <v>7623.39</v>
      </c>
      <c r="I1289" s="5">
        <f>IFERROR(__xludf.DUMMYFUNCTION("""COMPUTED_VALUE"""),9294.69)</f>
        <v>9294.69</v>
      </c>
      <c r="J1289" s="5">
        <f>IFERROR(__xludf.DUMMYFUNCTION("""COMPUTED_VALUE"""),1332.64)</f>
        <v>1332.64</v>
      </c>
      <c r="K1289" s="5">
        <f>IFERROR(__xludf.DUMMYFUNCTION("""COMPUTED_VALUE"""),1994.61)</f>
        <v>1994.61</v>
      </c>
      <c r="L1289" s="4">
        <f>IFERROR(__xludf.DUMMYFUNCTION("""COMPUTED_VALUE"""),20.0)</f>
        <v>20</v>
      </c>
      <c r="M1289" s="4">
        <f>IFERROR(__xludf.DUMMYFUNCTION("""COMPUTED_VALUE"""),34.0)</f>
        <v>34</v>
      </c>
      <c r="N1289" s="2" t="str">
        <f>IFERROR(__xludf.DUMMYFUNCTION("""COMPUTED_VALUE"""),"VERDADERO")</f>
        <v>VERDADERO</v>
      </c>
    </row>
    <row r="1290">
      <c r="A1290" s="2">
        <f>IFERROR(__xludf.DUMMYFUNCTION("""COMPUTED_VALUE"""),1289.0)</f>
        <v>1289</v>
      </c>
      <c r="B1290" s="2" t="str">
        <f>IFERROR(__xludf.DUMMYFUNCTION("""COMPUTED_VALUE"""),"Dennison Ligerton")</f>
        <v>Dennison Ligerton</v>
      </c>
      <c r="C1290" s="2" t="str">
        <f>IFERROR(__xludf.DUMMYFUNCTION("""COMPUTED_VALUE"""),"dligerton81@utexas.edu")</f>
        <v>dligerton81@utexas.edu</v>
      </c>
      <c r="D1290" s="4">
        <f>IFERROR(__xludf.DUMMYFUNCTION("""COMPUTED_VALUE"""),73.0)</f>
        <v>73</v>
      </c>
      <c r="E1290" s="4">
        <f>IFERROR(__xludf.DUMMYFUNCTION("""COMPUTED_VALUE"""),81.0)</f>
        <v>81</v>
      </c>
      <c r="F1290" s="4">
        <f>IFERROR(__xludf.DUMMYFUNCTION("""COMPUTED_VALUE"""),2.0)</f>
        <v>2</v>
      </c>
      <c r="G1290" s="4">
        <f>IFERROR(__xludf.DUMMYFUNCTION("""COMPUTED_VALUE"""),483.0)</f>
        <v>483</v>
      </c>
      <c r="H1290" s="5">
        <f>IFERROR(__xludf.DUMMYFUNCTION("""COMPUTED_VALUE"""),5532.35)</f>
        <v>5532.35</v>
      </c>
      <c r="I1290" s="5">
        <f>IFERROR(__xludf.DUMMYFUNCTION("""COMPUTED_VALUE"""),1953.37)</f>
        <v>1953.37</v>
      </c>
      <c r="J1290" s="5">
        <f>IFERROR(__xludf.DUMMYFUNCTION("""COMPUTED_VALUE"""),7064.9)</f>
        <v>7064.9</v>
      </c>
      <c r="K1290" s="5">
        <f>IFERROR(__xludf.DUMMYFUNCTION("""COMPUTED_VALUE"""),3057.76)</f>
        <v>3057.76</v>
      </c>
      <c r="L1290" s="4">
        <f>IFERROR(__xludf.DUMMYFUNCTION("""COMPUTED_VALUE"""),14.0)</f>
        <v>14</v>
      </c>
      <c r="M1290" s="4">
        <f>IFERROR(__xludf.DUMMYFUNCTION("""COMPUTED_VALUE"""),66.0)</f>
        <v>66</v>
      </c>
      <c r="N1290" s="2" t="str">
        <f>IFERROR(__xludf.DUMMYFUNCTION("""COMPUTED_VALUE"""),"FALSO")</f>
        <v>FALSO</v>
      </c>
    </row>
    <row r="1291">
      <c r="A1291" s="2">
        <f>IFERROR(__xludf.DUMMYFUNCTION("""COMPUTED_VALUE"""),1290.0)</f>
        <v>1290</v>
      </c>
      <c r="B1291" s="2" t="str">
        <f>IFERROR(__xludf.DUMMYFUNCTION("""COMPUTED_VALUE"""),"Rosalind Pasmore")</f>
        <v>Rosalind Pasmore</v>
      </c>
      <c r="C1291" s="2" t="str">
        <f>IFERROR(__xludf.DUMMYFUNCTION("""COMPUTED_VALUE"""),"rpasmore82@marketwatch.com")</f>
        <v>rpasmore82@marketwatch.com</v>
      </c>
      <c r="D1291" s="4">
        <f>IFERROR(__xludf.DUMMYFUNCTION("""COMPUTED_VALUE"""),65.0)</f>
        <v>65</v>
      </c>
      <c r="E1291" s="4">
        <f>IFERROR(__xludf.DUMMYFUNCTION("""COMPUTED_VALUE"""),81.0)</f>
        <v>81</v>
      </c>
      <c r="F1291" s="4">
        <f>IFERROR(__xludf.DUMMYFUNCTION("""COMPUTED_VALUE"""),2.0)</f>
        <v>2</v>
      </c>
      <c r="G1291" s="4">
        <f>IFERROR(__xludf.DUMMYFUNCTION("""COMPUTED_VALUE"""),74.0)</f>
        <v>74</v>
      </c>
      <c r="H1291" s="5">
        <f>IFERROR(__xludf.DUMMYFUNCTION("""COMPUTED_VALUE"""),8366.65)</f>
        <v>8366.65</v>
      </c>
      <c r="I1291" s="5">
        <f>IFERROR(__xludf.DUMMYFUNCTION("""COMPUTED_VALUE"""),9344.29)</f>
        <v>9344.29</v>
      </c>
      <c r="J1291" s="5">
        <f>IFERROR(__xludf.DUMMYFUNCTION("""COMPUTED_VALUE"""),6904.25)</f>
        <v>6904.25</v>
      </c>
      <c r="K1291" s="5">
        <f>IFERROR(__xludf.DUMMYFUNCTION("""COMPUTED_VALUE"""),1934.2)</f>
        <v>1934.2</v>
      </c>
      <c r="L1291" s="4">
        <f>IFERROR(__xludf.DUMMYFUNCTION("""COMPUTED_VALUE"""),18.0)</f>
        <v>18</v>
      </c>
      <c r="M1291" s="4">
        <f>IFERROR(__xludf.DUMMYFUNCTION("""COMPUTED_VALUE"""),6.0)</f>
        <v>6</v>
      </c>
      <c r="N1291" s="2" t="str">
        <f>IFERROR(__xludf.DUMMYFUNCTION("""COMPUTED_VALUE"""),"VERDADERO")</f>
        <v>VERDADERO</v>
      </c>
    </row>
    <row r="1292">
      <c r="A1292" s="2">
        <f>IFERROR(__xludf.DUMMYFUNCTION("""COMPUTED_VALUE"""),1291.0)</f>
        <v>1291</v>
      </c>
      <c r="B1292" s="2" t="str">
        <f>IFERROR(__xludf.DUMMYFUNCTION("""COMPUTED_VALUE"""),"Jimmie Gurwood")</f>
        <v>Jimmie Gurwood</v>
      </c>
      <c r="C1292" s="2" t="str">
        <f>IFERROR(__xludf.DUMMYFUNCTION("""COMPUTED_VALUE"""),"jgurwood83@geocities.jp")</f>
        <v>jgurwood83@geocities.jp</v>
      </c>
      <c r="D1292" s="4">
        <f>IFERROR(__xludf.DUMMYFUNCTION("""COMPUTED_VALUE"""),60.0)</f>
        <v>60</v>
      </c>
      <c r="E1292" s="4">
        <f>IFERROR(__xludf.DUMMYFUNCTION("""COMPUTED_VALUE"""),81.0)</f>
        <v>81</v>
      </c>
      <c r="F1292" s="4">
        <f>IFERROR(__xludf.DUMMYFUNCTION("""COMPUTED_VALUE"""),2.0)</f>
        <v>2</v>
      </c>
      <c r="G1292" s="4">
        <f>IFERROR(__xludf.DUMMYFUNCTION("""COMPUTED_VALUE"""),1045.0)</f>
        <v>1045</v>
      </c>
      <c r="H1292" s="5">
        <f>IFERROR(__xludf.DUMMYFUNCTION("""COMPUTED_VALUE"""),6398.3)</f>
        <v>6398.3</v>
      </c>
      <c r="I1292" s="5">
        <f>IFERROR(__xludf.DUMMYFUNCTION("""COMPUTED_VALUE"""),686.07)</f>
        <v>686.07</v>
      </c>
      <c r="J1292" s="5">
        <f>IFERROR(__xludf.DUMMYFUNCTION("""COMPUTED_VALUE"""),2775.83)</f>
        <v>2775.83</v>
      </c>
      <c r="K1292" s="5">
        <f>IFERROR(__xludf.DUMMYFUNCTION("""COMPUTED_VALUE"""),91.89)</f>
        <v>91.89</v>
      </c>
      <c r="L1292" s="4">
        <f>IFERROR(__xludf.DUMMYFUNCTION("""COMPUTED_VALUE"""),8.0)</f>
        <v>8</v>
      </c>
      <c r="M1292" s="4">
        <f>IFERROR(__xludf.DUMMYFUNCTION("""COMPUTED_VALUE"""),18.0)</f>
        <v>18</v>
      </c>
      <c r="N1292" s="2" t="str">
        <f>IFERROR(__xludf.DUMMYFUNCTION("""COMPUTED_VALUE"""),"VERDADERO")</f>
        <v>VERDADERO</v>
      </c>
    </row>
    <row r="1293">
      <c r="A1293" s="2">
        <f>IFERROR(__xludf.DUMMYFUNCTION("""COMPUTED_VALUE"""),1292.0)</f>
        <v>1292</v>
      </c>
      <c r="B1293" s="2" t="str">
        <f>IFERROR(__xludf.DUMMYFUNCTION("""COMPUTED_VALUE"""),"Gail Plaid")</f>
        <v>Gail Plaid</v>
      </c>
      <c r="C1293" s="2" t="str">
        <f>IFERROR(__xludf.DUMMYFUNCTION("""COMPUTED_VALUE"""),"gplaid84@freewebs.com")</f>
        <v>gplaid84@freewebs.com</v>
      </c>
      <c r="D1293" s="4">
        <f>IFERROR(__xludf.DUMMYFUNCTION("""COMPUTED_VALUE"""),65.0)</f>
        <v>65</v>
      </c>
      <c r="E1293" s="4">
        <f>IFERROR(__xludf.DUMMYFUNCTION("""COMPUTED_VALUE"""),81.0)</f>
        <v>81</v>
      </c>
      <c r="F1293" s="4">
        <f>IFERROR(__xludf.DUMMYFUNCTION("""COMPUTED_VALUE"""),2.0)</f>
        <v>2</v>
      </c>
      <c r="G1293" s="4">
        <f>IFERROR(__xludf.DUMMYFUNCTION("""COMPUTED_VALUE"""),772.0)</f>
        <v>772</v>
      </c>
      <c r="H1293" s="5">
        <f>IFERROR(__xludf.DUMMYFUNCTION("""COMPUTED_VALUE"""),3887.02)</f>
        <v>3887.02</v>
      </c>
      <c r="I1293" s="5">
        <f>IFERROR(__xludf.DUMMYFUNCTION("""COMPUTED_VALUE"""),4361.34)</f>
        <v>4361.34</v>
      </c>
      <c r="J1293" s="5">
        <f>IFERROR(__xludf.DUMMYFUNCTION("""COMPUTED_VALUE"""),4637.05)</f>
        <v>4637.05</v>
      </c>
      <c r="K1293" s="5">
        <f>IFERROR(__xludf.DUMMYFUNCTION("""COMPUTED_VALUE"""),6381.6)</f>
        <v>6381.6</v>
      </c>
      <c r="L1293" s="4">
        <f>IFERROR(__xludf.DUMMYFUNCTION("""COMPUTED_VALUE"""),20.0)</f>
        <v>20</v>
      </c>
      <c r="M1293" s="4">
        <f>IFERROR(__xludf.DUMMYFUNCTION("""COMPUTED_VALUE"""),17.0)</f>
        <v>17</v>
      </c>
      <c r="N1293" s="2" t="str">
        <f>IFERROR(__xludf.DUMMYFUNCTION("""COMPUTED_VALUE"""),"VERDADERO")</f>
        <v>VERDADERO</v>
      </c>
    </row>
    <row r="1294">
      <c r="A1294" s="2">
        <f>IFERROR(__xludf.DUMMYFUNCTION("""COMPUTED_VALUE"""),1293.0)</f>
        <v>1293</v>
      </c>
      <c r="B1294" s="2" t="str">
        <f>IFERROR(__xludf.DUMMYFUNCTION("""COMPUTED_VALUE"""),"Margaret Noweak")</f>
        <v>Margaret Noweak</v>
      </c>
      <c r="C1294" s="2" t="str">
        <f>IFERROR(__xludf.DUMMYFUNCTION("""COMPUTED_VALUE"""),"mnoweak85@vinaora.com")</f>
        <v>mnoweak85@vinaora.com</v>
      </c>
      <c r="D1294" s="4">
        <f>IFERROR(__xludf.DUMMYFUNCTION("""COMPUTED_VALUE"""),29.0)</f>
        <v>29</v>
      </c>
      <c r="E1294" s="4">
        <f>IFERROR(__xludf.DUMMYFUNCTION("""COMPUTED_VALUE"""),52.0)</f>
        <v>52</v>
      </c>
      <c r="F1294" s="4">
        <f>IFERROR(__xludf.DUMMYFUNCTION("""COMPUTED_VALUE"""),13.0)</f>
        <v>13</v>
      </c>
      <c r="G1294" s="4">
        <f>IFERROR(__xludf.DUMMYFUNCTION("""COMPUTED_VALUE"""),1347.0)</f>
        <v>1347</v>
      </c>
      <c r="H1294" s="5">
        <f>IFERROR(__xludf.DUMMYFUNCTION("""COMPUTED_VALUE"""),48.71)</f>
        <v>48.71</v>
      </c>
      <c r="I1294" s="5">
        <f>IFERROR(__xludf.DUMMYFUNCTION("""COMPUTED_VALUE"""),5724.51)</f>
        <v>5724.51</v>
      </c>
      <c r="J1294" s="5">
        <f>IFERROR(__xludf.DUMMYFUNCTION("""COMPUTED_VALUE"""),3474.55)</f>
        <v>3474.55</v>
      </c>
      <c r="K1294" s="5">
        <f>IFERROR(__xludf.DUMMYFUNCTION("""COMPUTED_VALUE"""),9426.61)</f>
        <v>9426.61</v>
      </c>
      <c r="L1294" s="4">
        <f>IFERROR(__xludf.DUMMYFUNCTION("""COMPUTED_VALUE"""),19.0)</f>
        <v>19</v>
      </c>
      <c r="M1294" s="4">
        <f>IFERROR(__xludf.DUMMYFUNCTION("""COMPUTED_VALUE"""),31.0)</f>
        <v>31</v>
      </c>
      <c r="N1294" s="2" t="str">
        <f>IFERROR(__xludf.DUMMYFUNCTION("""COMPUTED_VALUE"""),"VERDADERO")</f>
        <v>VERDADERO</v>
      </c>
    </row>
    <row r="1295">
      <c r="A1295" s="2">
        <f>IFERROR(__xludf.DUMMYFUNCTION("""COMPUTED_VALUE"""),1294.0)</f>
        <v>1294</v>
      </c>
      <c r="B1295" s="2" t="str">
        <f>IFERROR(__xludf.DUMMYFUNCTION("""COMPUTED_VALUE"""),"Gale Nannini")</f>
        <v>Gale Nannini</v>
      </c>
      <c r="C1295" s="2" t="str">
        <f>IFERROR(__xludf.DUMMYFUNCTION("""COMPUTED_VALUE"""),"gnannini86@mayoclinic.com")</f>
        <v>gnannini86@mayoclinic.com</v>
      </c>
      <c r="D1295" s="4">
        <f>IFERROR(__xludf.DUMMYFUNCTION("""COMPUTED_VALUE"""),30.0)</f>
        <v>30</v>
      </c>
      <c r="E1295" s="4">
        <f>IFERROR(__xludf.DUMMYFUNCTION("""COMPUTED_VALUE"""),102.0)</f>
        <v>102</v>
      </c>
      <c r="F1295" s="4">
        <f>IFERROR(__xludf.DUMMYFUNCTION("""COMPUTED_VALUE"""),4.0)</f>
        <v>4</v>
      </c>
      <c r="G1295" s="4">
        <f>IFERROR(__xludf.DUMMYFUNCTION("""COMPUTED_VALUE"""),1405.0)</f>
        <v>1405</v>
      </c>
      <c r="H1295" s="5">
        <f>IFERROR(__xludf.DUMMYFUNCTION("""COMPUTED_VALUE"""),3989.36)</f>
        <v>3989.36</v>
      </c>
      <c r="I1295" s="5">
        <f>IFERROR(__xludf.DUMMYFUNCTION("""COMPUTED_VALUE"""),2566.99)</f>
        <v>2566.99</v>
      </c>
      <c r="J1295" s="5">
        <f>IFERROR(__xludf.DUMMYFUNCTION("""COMPUTED_VALUE"""),7209.6)</f>
        <v>7209.6</v>
      </c>
      <c r="K1295" s="5">
        <f>IFERROR(__xludf.DUMMYFUNCTION("""COMPUTED_VALUE"""),2676.83)</f>
        <v>2676.83</v>
      </c>
      <c r="L1295" s="4">
        <f>IFERROR(__xludf.DUMMYFUNCTION("""COMPUTED_VALUE"""),5.0)</f>
        <v>5</v>
      </c>
      <c r="M1295" s="4">
        <f>IFERROR(__xludf.DUMMYFUNCTION("""COMPUTED_VALUE"""),65.0)</f>
        <v>65</v>
      </c>
      <c r="N1295" s="2" t="str">
        <f>IFERROR(__xludf.DUMMYFUNCTION("""COMPUTED_VALUE"""),"VERDADERO")</f>
        <v>VERDADERO</v>
      </c>
    </row>
    <row r="1296">
      <c r="A1296" s="2">
        <f>IFERROR(__xludf.DUMMYFUNCTION("""COMPUTED_VALUE"""),1295.0)</f>
        <v>1295</v>
      </c>
      <c r="B1296" s="2" t="str">
        <f>IFERROR(__xludf.DUMMYFUNCTION("""COMPUTED_VALUE"""),"Fawne Beneze")</f>
        <v>Fawne Beneze</v>
      </c>
      <c r="C1296" s="2" t="str">
        <f>IFERROR(__xludf.DUMMYFUNCTION("""COMPUTED_VALUE"""),"fbeneze87@cargocollective.com")</f>
        <v>fbeneze87@cargocollective.com</v>
      </c>
      <c r="D1296" s="4">
        <f>IFERROR(__xludf.DUMMYFUNCTION("""COMPUTED_VALUE"""),65.0)</f>
        <v>65</v>
      </c>
      <c r="E1296" s="4">
        <f>IFERROR(__xludf.DUMMYFUNCTION("""COMPUTED_VALUE"""),81.0)</f>
        <v>81</v>
      </c>
      <c r="F1296" s="4">
        <f>IFERROR(__xludf.DUMMYFUNCTION("""COMPUTED_VALUE"""),2.0)</f>
        <v>2</v>
      </c>
      <c r="G1296" s="4">
        <f>IFERROR(__xludf.DUMMYFUNCTION("""COMPUTED_VALUE"""),1328.0)</f>
        <v>1328</v>
      </c>
      <c r="H1296" s="5">
        <f>IFERROR(__xludf.DUMMYFUNCTION("""COMPUTED_VALUE"""),240.92)</f>
        <v>240.92</v>
      </c>
      <c r="I1296" s="5">
        <f>IFERROR(__xludf.DUMMYFUNCTION("""COMPUTED_VALUE"""),8318.11)</f>
        <v>8318.11</v>
      </c>
      <c r="J1296" s="5">
        <f>IFERROR(__xludf.DUMMYFUNCTION("""COMPUTED_VALUE"""),5952.61)</f>
        <v>5952.61</v>
      </c>
      <c r="K1296" s="5">
        <f>IFERROR(__xludf.DUMMYFUNCTION("""COMPUTED_VALUE"""),565.32)</f>
        <v>565.32</v>
      </c>
      <c r="L1296" s="4">
        <f>IFERROR(__xludf.DUMMYFUNCTION("""COMPUTED_VALUE"""),7.0)</f>
        <v>7</v>
      </c>
      <c r="M1296" s="4">
        <f>IFERROR(__xludf.DUMMYFUNCTION("""COMPUTED_VALUE"""),67.0)</f>
        <v>67</v>
      </c>
      <c r="N1296" s="2" t="str">
        <f>IFERROR(__xludf.DUMMYFUNCTION("""COMPUTED_VALUE"""),"VERDADERO")</f>
        <v>VERDADERO</v>
      </c>
    </row>
    <row r="1297">
      <c r="A1297" s="2">
        <f>IFERROR(__xludf.DUMMYFUNCTION("""COMPUTED_VALUE"""),1296.0)</f>
        <v>1296</v>
      </c>
      <c r="B1297" s="2" t="str">
        <f>IFERROR(__xludf.DUMMYFUNCTION("""COMPUTED_VALUE"""),"Chelsae Silwood")</f>
        <v>Chelsae Silwood</v>
      </c>
      <c r="C1297" s="2" t="str">
        <f>IFERROR(__xludf.DUMMYFUNCTION("""COMPUTED_VALUE"""),"csilwood88@wikimedia.org")</f>
        <v>csilwood88@wikimedia.org</v>
      </c>
      <c r="D1297" s="4">
        <f>IFERROR(__xludf.DUMMYFUNCTION("""COMPUTED_VALUE"""),122.0)</f>
        <v>122</v>
      </c>
      <c r="E1297" s="4">
        <f>IFERROR(__xludf.DUMMYFUNCTION("""COMPUTED_VALUE"""),81.0)</f>
        <v>81</v>
      </c>
      <c r="F1297" s="4">
        <f>IFERROR(__xludf.DUMMYFUNCTION("""COMPUTED_VALUE"""),2.0)</f>
        <v>2</v>
      </c>
      <c r="G1297" s="4">
        <f>IFERROR(__xludf.DUMMYFUNCTION("""COMPUTED_VALUE"""),590.0)</f>
        <v>590</v>
      </c>
      <c r="H1297" s="5">
        <f>IFERROR(__xludf.DUMMYFUNCTION("""COMPUTED_VALUE"""),8240.79)</f>
        <v>8240.79</v>
      </c>
      <c r="I1297" s="5">
        <f>IFERROR(__xludf.DUMMYFUNCTION("""COMPUTED_VALUE"""),1149.72)</f>
        <v>1149.72</v>
      </c>
      <c r="J1297" s="5">
        <f>IFERROR(__xludf.DUMMYFUNCTION("""COMPUTED_VALUE"""),6427.41)</f>
        <v>6427.41</v>
      </c>
      <c r="K1297" s="5">
        <f>IFERROR(__xludf.DUMMYFUNCTION("""COMPUTED_VALUE"""),7482.54)</f>
        <v>7482.54</v>
      </c>
      <c r="L1297" s="4">
        <f>IFERROR(__xludf.DUMMYFUNCTION("""COMPUTED_VALUE"""),19.0)</f>
        <v>19</v>
      </c>
      <c r="M1297" s="4">
        <f>IFERROR(__xludf.DUMMYFUNCTION("""COMPUTED_VALUE"""),53.0)</f>
        <v>53</v>
      </c>
      <c r="N1297" s="2" t="str">
        <f>IFERROR(__xludf.DUMMYFUNCTION("""COMPUTED_VALUE"""),"VERDADERO")</f>
        <v>VERDADERO</v>
      </c>
    </row>
    <row r="1298">
      <c r="A1298" s="2">
        <f>IFERROR(__xludf.DUMMYFUNCTION("""COMPUTED_VALUE"""),1297.0)</f>
        <v>1297</v>
      </c>
      <c r="B1298" s="2" t="str">
        <f>IFERROR(__xludf.DUMMYFUNCTION("""COMPUTED_VALUE"""),"Meade Abdee")</f>
        <v>Meade Abdee</v>
      </c>
      <c r="C1298" s="2" t="str">
        <f>IFERROR(__xludf.DUMMYFUNCTION("""COMPUTED_VALUE"""),"mabdee89@hostgator.com")</f>
        <v>mabdee89@hostgator.com</v>
      </c>
      <c r="D1298" s="4">
        <f>IFERROR(__xludf.DUMMYFUNCTION("""COMPUTED_VALUE"""),65.0)</f>
        <v>65</v>
      </c>
      <c r="E1298" s="4">
        <f>IFERROR(__xludf.DUMMYFUNCTION("""COMPUTED_VALUE"""),64.0)</f>
        <v>64</v>
      </c>
      <c r="F1298" s="4">
        <f>IFERROR(__xludf.DUMMYFUNCTION("""COMPUTED_VALUE"""),4.0)</f>
        <v>4</v>
      </c>
      <c r="G1298" s="4">
        <f>IFERROR(__xludf.DUMMYFUNCTION("""COMPUTED_VALUE"""),557.0)</f>
        <v>557</v>
      </c>
      <c r="H1298" s="5">
        <f>IFERROR(__xludf.DUMMYFUNCTION("""COMPUTED_VALUE"""),208.85)</f>
        <v>208.85</v>
      </c>
      <c r="I1298" s="5">
        <f>IFERROR(__xludf.DUMMYFUNCTION("""COMPUTED_VALUE"""),901.88)</f>
        <v>901.88</v>
      </c>
      <c r="J1298" s="5">
        <f>IFERROR(__xludf.DUMMYFUNCTION("""COMPUTED_VALUE"""),5001.23)</f>
        <v>5001.23</v>
      </c>
      <c r="K1298" s="5">
        <f>IFERROR(__xludf.DUMMYFUNCTION("""COMPUTED_VALUE"""),8692.1)</f>
        <v>8692.1</v>
      </c>
      <c r="L1298" s="4">
        <f>IFERROR(__xludf.DUMMYFUNCTION("""COMPUTED_VALUE"""),4.0)</f>
        <v>4</v>
      </c>
      <c r="M1298" s="4">
        <f>IFERROR(__xludf.DUMMYFUNCTION("""COMPUTED_VALUE"""),89.0)</f>
        <v>89</v>
      </c>
      <c r="N1298" s="2" t="str">
        <f>IFERROR(__xludf.DUMMYFUNCTION("""COMPUTED_VALUE"""),"FALSO")</f>
        <v>FALSO</v>
      </c>
    </row>
    <row r="1299">
      <c r="A1299" s="2">
        <f>IFERROR(__xludf.DUMMYFUNCTION("""COMPUTED_VALUE"""),1298.0)</f>
        <v>1298</v>
      </c>
      <c r="B1299" s="2" t="str">
        <f>IFERROR(__xludf.DUMMYFUNCTION("""COMPUTED_VALUE"""),"Byran Beatty")</f>
        <v>Byran Beatty</v>
      </c>
      <c r="C1299" s="2" t="str">
        <f>IFERROR(__xludf.DUMMYFUNCTION("""COMPUTED_VALUE"""),"bbeatty8a@goo.ne.jp")</f>
        <v>bbeatty8a@goo.ne.jp</v>
      </c>
      <c r="D1299" s="4">
        <f>IFERROR(__xludf.DUMMYFUNCTION("""COMPUTED_VALUE"""),74.0)</f>
        <v>74</v>
      </c>
      <c r="E1299" s="4">
        <f>IFERROR(__xludf.DUMMYFUNCTION("""COMPUTED_VALUE"""),81.0)</f>
        <v>81</v>
      </c>
      <c r="F1299" s="4">
        <f>IFERROR(__xludf.DUMMYFUNCTION("""COMPUTED_VALUE"""),2.0)</f>
        <v>2</v>
      </c>
      <c r="G1299" s="4">
        <f>IFERROR(__xludf.DUMMYFUNCTION("""COMPUTED_VALUE"""),353.0)</f>
        <v>353</v>
      </c>
      <c r="H1299" s="5">
        <f>IFERROR(__xludf.DUMMYFUNCTION("""COMPUTED_VALUE"""),779.55)</f>
        <v>779.55</v>
      </c>
      <c r="I1299" s="5">
        <f>IFERROR(__xludf.DUMMYFUNCTION("""COMPUTED_VALUE"""),6846.51)</f>
        <v>6846.51</v>
      </c>
      <c r="J1299" s="5">
        <f>IFERROR(__xludf.DUMMYFUNCTION("""COMPUTED_VALUE"""),3723.07)</f>
        <v>3723.07</v>
      </c>
      <c r="K1299" s="5">
        <f>IFERROR(__xludf.DUMMYFUNCTION("""COMPUTED_VALUE"""),6973.51)</f>
        <v>6973.51</v>
      </c>
      <c r="L1299" s="4">
        <f>IFERROR(__xludf.DUMMYFUNCTION("""COMPUTED_VALUE"""),16.0)</f>
        <v>16</v>
      </c>
      <c r="M1299" s="4">
        <f>IFERROR(__xludf.DUMMYFUNCTION("""COMPUTED_VALUE"""),17.0)</f>
        <v>17</v>
      </c>
      <c r="N1299" s="2" t="str">
        <f>IFERROR(__xludf.DUMMYFUNCTION("""COMPUTED_VALUE"""),"FALSO")</f>
        <v>FALSO</v>
      </c>
    </row>
    <row r="1300">
      <c r="A1300" s="2">
        <f>IFERROR(__xludf.DUMMYFUNCTION("""COMPUTED_VALUE"""),1299.0)</f>
        <v>1299</v>
      </c>
      <c r="B1300" s="2" t="str">
        <f>IFERROR(__xludf.DUMMYFUNCTION("""COMPUTED_VALUE"""),"Vitia Beaze")</f>
        <v>Vitia Beaze</v>
      </c>
      <c r="C1300" s="2" t="str">
        <f>IFERROR(__xludf.DUMMYFUNCTION("""COMPUTED_VALUE"""),"vbeaze8b@springer.com")</f>
        <v>vbeaze8b@springer.com</v>
      </c>
      <c r="D1300" s="4">
        <f>IFERROR(__xludf.DUMMYFUNCTION("""COMPUTED_VALUE"""),13.0)</f>
        <v>13</v>
      </c>
      <c r="E1300" s="4">
        <f>IFERROR(__xludf.DUMMYFUNCTION("""COMPUTED_VALUE"""),21.0)</f>
        <v>21</v>
      </c>
      <c r="F1300" s="4">
        <f>IFERROR(__xludf.DUMMYFUNCTION("""COMPUTED_VALUE"""),4.0)</f>
        <v>4</v>
      </c>
      <c r="G1300" s="4">
        <f>IFERROR(__xludf.DUMMYFUNCTION("""COMPUTED_VALUE"""),1072.0)</f>
        <v>1072</v>
      </c>
      <c r="H1300" s="5">
        <f>IFERROR(__xludf.DUMMYFUNCTION("""COMPUTED_VALUE"""),7965.28)</f>
        <v>7965.28</v>
      </c>
      <c r="I1300" s="5">
        <f>IFERROR(__xludf.DUMMYFUNCTION("""COMPUTED_VALUE"""),5520.71)</f>
        <v>5520.71</v>
      </c>
      <c r="J1300" s="5">
        <f>IFERROR(__xludf.DUMMYFUNCTION("""COMPUTED_VALUE"""),9564.72)</f>
        <v>9564.72</v>
      </c>
      <c r="K1300" s="5">
        <f>IFERROR(__xludf.DUMMYFUNCTION("""COMPUTED_VALUE"""),2765.93)</f>
        <v>2765.93</v>
      </c>
      <c r="L1300" s="4">
        <f>IFERROR(__xludf.DUMMYFUNCTION("""COMPUTED_VALUE"""),12.0)</f>
        <v>12</v>
      </c>
      <c r="M1300" s="4">
        <f>IFERROR(__xludf.DUMMYFUNCTION("""COMPUTED_VALUE"""),39.0)</f>
        <v>39</v>
      </c>
      <c r="N1300" s="2" t="str">
        <f>IFERROR(__xludf.DUMMYFUNCTION("""COMPUTED_VALUE"""),"VERDADERO")</f>
        <v>VERDADERO</v>
      </c>
    </row>
    <row r="1301">
      <c r="A1301" s="2">
        <f>IFERROR(__xludf.DUMMYFUNCTION("""COMPUTED_VALUE"""),1300.0)</f>
        <v>1300</v>
      </c>
      <c r="B1301" s="2" t="str">
        <f>IFERROR(__xludf.DUMMYFUNCTION("""COMPUTED_VALUE"""),"Carlene Wylie")</f>
        <v>Carlene Wylie</v>
      </c>
      <c r="C1301" s="2" t="str">
        <f>IFERROR(__xludf.DUMMYFUNCTION("""COMPUTED_VALUE"""),"cwylie8c@people.com.cn")</f>
        <v>cwylie8c@people.com.cn</v>
      </c>
      <c r="D1301" s="4">
        <f>IFERROR(__xludf.DUMMYFUNCTION("""COMPUTED_VALUE"""),68.0)</f>
        <v>68</v>
      </c>
      <c r="E1301" s="4">
        <f>IFERROR(__xludf.DUMMYFUNCTION("""COMPUTED_VALUE"""),85.0)</f>
        <v>85</v>
      </c>
      <c r="F1301" s="4">
        <f>IFERROR(__xludf.DUMMYFUNCTION("""COMPUTED_VALUE"""),3.0)</f>
        <v>3</v>
      </c>
      <c r="G1301" s="4">
        <f>IFERROR(__xludf.DUMMYFUNCTION("""COMPUTED_VALUE"""),852.0)</f>
        <v>852</v>
      </c>
      <c r="H1301" s="5">
        <f>IFERROR(__xludf.DUMMYFUNCTION("""COMPUTED_VALUE"""),1363.5)</f>
        <v>1363.5</v>
      </c>
      <c r="I1301" s="5">
        <f>IFERROR(__xludf.DUMMYFUNCTION("""COMPUTED_VALUE"""),1825.94)</f>
        <v>1825.94</v>
      </c>
      <c r="J1301" s="5">
        <f>IFERROR(__xludf.DUMMYFUNCTION("""COMPUTED_VALUE"""),5592.91)</f>
        <v>5592.91</v>
      </c>
      <c r="K1301" s="5">
        <f>IFERROR(__xludf.DUMMYFUNCTION("""COMPUTED_VALUE"""),5629.17)</f>
        <v>5629.17</v>
      </c>
      <c r="L1301" s="4">
        <f>IFERROR(__xludf.DUMMYFUNCTION("""COMPUTED_VALUE"""),16.0)</f>
        <v>16</v>
      </c>
      <c r="M1301" s="4">
        <f>IFERROR(__xludf.DUMMYFUNCTION("""COMPUTED_VALUE"""),63.0)</f>
        <v>63</v>
      </c>
      <c r="N1301" s="2" t="str">
        <f>IFERROR(__xludf.DUMMYFUNCTION("""COMPUTED_VALUE"""),"FALSO")</f>
        <v>FALSO</v>
      </c>
    </row>
    <row r="1302">
      <c r="A1302" s="2">
        <f>IFERROR(__xludf.DUMMYFUNCTION("""COMPUTED_VALUE"""),1301.0)</f>
        <v>1301</v>
      </c>
      <c r="B1302" s="2" t="str">
        <f>IFERROR(__xludf.DUMMYFUNCTION("""COMPUTED_VALUE"""),"Aymer Cunniffe")</f>
        <v>Aymer Cunniffe</v>
      </c>
      <c r="C1302" s="2" t="str">
        <f>IFERROR(__xludf.DUMMYFUNCTION("""COMPUTED_VALUE"""),"acunniffe8d@adobe.com")</f>
        <v>acunniffe8d@adobe.com</v>
      </c>
      <c r="D1302" s="4">
        <f>IFERROR(__xludf.DUMMYFUNCTION("""COMPUTED_VALUE"""),65.0)</f>
        <v>65</v>
      </c>
      <c r="E1302" s="4">
        <f>IFERROR(__xludf.DUMMYFUNCTION("""COMPUTED_VALUE"""),39.0)</f>
        <v>39</v>
      </c>
      <c r="F1302" s="4">
        <f>IFERROR(__xludf.DUMMYFUNCTION("""COMPUTED_VALUE"""),11.0)</f>
        <v>11</v>
      </c>
      <c r="G1302" s="4">
        <f>IFERROR(__xludf.DUMMYFUNCTION("""COMPUTED_VALUE"""),61.0)</f>
        <v>61</v>
      </c>
      <c r="H1302" s="5">
        <f>IFERROR(__xludf.DUMMYFUNCTION("""COMPUTED_VALUE"""),2256.13)</f>
        <v>2256.13</v>
      </c>
      <c r="I1302" s="5">
        <f>IFERROR(__xludf.DUMMYFUNCTION("""COMPUTED_VALUE"""),9712.69)</f>
        <v>9712.69</v>
      </c>
      <c r="J1302" s="5">
        <f>IFERROR(__xludf.DUMMYFUNCTION("""COMPUTED_VALUE"""),9965.39)</f>
        <v>9965.39</v>
      </c>
      <c r="K1302" s="5">
        <f>IFERROR(__xludf.DUMMYFUNCTION("""COMPUTED_VALUE"""),4575.72)</f>
        <v>4575.72</v>
      </c>
      <c r="L1302" s="4">
        <f>IFERROR(__xludf.DUMMYFUNCTION("""COMPUTED_VALUE"""),15.0)</f>
        <v>15</v>
      </c>
      <c r="M1302" s="4">
        <f>IFERROR(__xludf.DUMMYFUNCTION("""COMPUTED_VALUE"""),54.0)</f>
        <v>54</v>
      </c>
      <c r="N1302" s="2" t="str">
        <f>IFERROR(__xludf.DUMMYFUNCTION("""COMPUTED_VALUE"""),"VERDADERO")</f>
        <v>VERDADERO</v>
      </c>
    </row>
    <row r="1303">
      <c r="A1303" s="2">
        <f>IFERROR(__xludf.DUMMYFUNCTION("""COMPUTED_VALUE"""),1302.0)</f>
        <v>1302</v>
      </c>
      <c r="B1303" s="2" t="str">
        <f>IFERROR(__xludf.DUMMYFUNCTION("""COMPUTED_VALUE"""),"Anabel Scough")</f>
        <v>Anabel Scough</v>
      </c>
      <c r="C1303" s="2" t="str">
        <f>IFERROR(__xludf.DUMMYFUNCTION("""COMPUTED_VALUE"""),"ascough8e@meetup.com")</f>
        <v>ascough8e@meetup.com</v>
      </c>
      <c r="D1303" s="4">
        <f>IFERROR(__xludf.DUMMYFUNCTION("""COMPUTED_VALUE"""),137.0)</f>
        <v>137</v>
      </c>
      <c r="E1303" s="4">
        <f>IFERROR(__xludf.DUMMYFUNCTION("""COMPUTED_VALUE"""),66.0)</f>
        <v>66</v>
      </c>
      <c r="F1303" s="4">
        <f>IFERROR(__xludf.DUMMYFUNCTION("""COMPUTED_VALUE"""),6.0)</f>
        <v>6</v>
      </c>
      <c r="G1303" s="4">
        <f>IFERROR(__xludf.DUMMYFUNCTION("""COMPUTED_VALUE"""),104.0)</f>
        <v>104</v>
      </c>
      <c r="H1303" s="5">
        <f>IFERROR(__xludf.DUMMYFUNCTION("""COMPUTED_VALUE"""),7541.26)</f>
        <v>7541.26</v>
      </c>
      <c r="I1303" s="5">
        <f>IFERROR(__xludf.DUMMYFUNCTION("""COMPUTED_VALUE"""),2170.78)</f>
        <v>2170.78</v>
      </c>
      <c r="J1303" s="5">
        <f>IFERROR(__xludf.DUMMYFUNCTION("""COMPUTED_VALUE"""),8752.58)</f>
        <v>8752.58</v>
      </c>
      <c r="K1303" s="5">
        <f>IFERROR(__xludf.DUMMYFUNCTION("""COMPUTED_VALUE"""),7901.06)</f>
        <v>7901.06</v>
      </c>
      <c r="L1303" s="4">
        <f>IFERROR(__xludf.DUMMYFUNCTION("""COMPUTED_VALUE"""),9.0)</f>
        <v>9</v>
      </c>
      <c r="M1303" s="4">
        <f>IFERROR(__xludf.DUMMYFUNCTION("""COMPUTED_VALUE"""),69.0)</f>
        <v>69</v>
      </c>
      <c r="N1303" s="2" t="str">
        <f>IFERROR(__xludf.DUMMYFUNCTION("""COMPUTED_VALUE"""),"VERDADERO")</f>
        <v>VERDADERO</v>
      </c>
    </row>
    <row r="1304">
      <c r="A1304" s="2">
        <f>IFERROR(__xludf.DUMMYFUNCTION("""COMPUTED_VALUE"""),1303.0)</f>
        <v>1303</v>
      </c>
      <c r="B1304" s="2" t="str">
        <f>IFERROR(__xludf.DUMMYFUNCTION("""COMPUTED_VALUE"""),"Gillian Keohane")</f>
        <v>Gillian Keohane</v>
      </c>
      <c r="C1304" s="2" t="str">
        <f>IFERROR(__xludf.DUMMYFUNCTION("""COMPUTED_VALUE"""),"gkeohane8f@gravatar.com")</f>
        <v>gkeohane8f@gravatar.com</v>
      </c>
      <c r="D1304" s="4">
        <f>IFERROR(__xludf.DUMMYFUNCTION("""COMPUTED_VALUE"""),76.0)</f>
        <v>76</v>
      </c>
      <c r="E1304" s="4">
        <f>IFERROR(__xludf.DUMMYFUNCTION("""COMPUTED_VALUE"""),123.0)</f>
        <v>123</v>
      </c>
      <c r="F1304" s="4">
        <f>IFERROR(__xludf.DUMMYFUNCTION("""COMPUTED_VALUE"""),7.0)</f>
        <v>7</v>
      </c>
      <c r="G1304" s="4">
        <f>IFERROR(__xludf.DUMMYFUNCTION("""COMPUTED_VALUE"""),1246.0)</f>
        <v>1246</v>
      </c>
      <c r="H1304" s="5">
        <f>IFERROR(__xludf.DUMMYFUNCTION("""COMPUTED_VALUE"""),8870.48)</f>
        <v>8870.48</v>
      </c>
      <c r="I1304" s="5">
        <f>IFERROR(__xludf.DUMMYFUNCTION("""COMPUTED_VALUE"""),4976.45)</f>
        <v>4976.45</v>
      </c>
      <c r="J1304" s="5">
        <f>IFERROR(__xludf.DUMMYFUNCTION("""COMPUTED_VALUE"""),3809.5)</f>
        <v>3809.5</v>
      </c>
      <c r="K1304" s="5">
        <f>IFERROR(__xludf.DUMMYFUNCTION("""COMPUTED_VALUE"""),9927.47)</f>
        <v>9927.47</v>
      </c>
      <c r="L1304" s="4">
        <f>IFERROR(__xludf.DUMMYFUNCTION("""COMPUTED_VALUE"""),20.0)</f>
        <v>20</v>
      </c>
      <c r="M1304" s="4">
        <f>IFERROR(__xludf.DUMMYFUNCTION("""COMPUTED_VALUE"""),76.0)</f>
        <v>76</v>
      </c>
      <c r="N1304" s="2" t="str">
        <f>IFERROR(__xludf.DUMMYFUNCTION("""COMPUTED_VALUE"""),"VERDADERO")</f>
        <v>VERDADERO</v>
      </c>
    </row>
    <row r="1305">
      <c r="A1305" s="2">
        <f>IFERROR(__xludf.DUMMYFUNCTION("""COMPUTED_VALUE"""),1304.0)</f>
        <v>1304</v>
      </c>
      <c r="B1305" s="2" t="str">
        <f>IFERROR(__xludf.DUMMYFUNCTION("""COMPUTED_VALUE"""),"Allyce Camplin")</f>
        <v>Allyce Camplin</v>
      </c>
      <c r="C1305" s="2" t="str">
        <f>IFERROR(__xludf.DUMMYFUNCTION("""COMPUTED_VALUE"""),"acamplin8g@nsw.gov.au")</f>
        <v>acamplin8g@nsw.gov.au</v>
      </c>
      <c r="D1305" s="4">
        <f>IFERROR(__xludf.DUMMYFUNCTION("""COMPUTED_VALUE"""),28.0)</f>
        <v>28</v>
      </c>
      <c r="E1305" s="4">
        <f>IFERROR(__xludf.DUMMYFUNCTION("""COMPUTED_VALUE"""),107.0)</f>
        <v>107</v>
      </c>
      <c r="F1305" s="4">
        <f>IFERROR(__xludf.DUMMYFUNCTION("""COMPUTED_VALUE"""),5.0)</f>
        <v>5</v>
      </c>
      <c r="G1305" s="4">
        <f>IFERROR(__xludf.DUMMYFUNCTION("""COMPUTED_VALUE"""),847.0)</f>
        <v>847</v>
      </c>
      <c r="H1305" s="5">
        <f>IFERROR(__xludf.DUMMYFUNCTION("""COMPUTED_VALUE"""),1956.74)</f>
        <v>1956.74</v>
      </c>
      <c r="I1305" s="5">
        <f>IFERROR(__xludf.DUMMYFUNCTION("""COMPUTED_VALUE"""),7364.36)</f>
        <v>7364.36</v>
      </c>
      <c r="J1305" s="5">
        <f>IFERROR(__xludf.DUMMYFUNCTION("""COMPUTED_VALUE"""),3427.88)</f>
        <v>3427.88</v>
      </c>
      <c r="K1305" s="5">
        <f>IFERROR(__xludf.DUMMYFUNCTION("""COMPUTED_VALUE"""),1023.7)</f>
        <v>1023.7</v>
      </c>
      <c r="L1305" s="4">
        <f>IFERROR(__xludf.DUMMYFUNCTION("""COMPUTED_VALUE"""),16.0)</f>
        <v>16</v>
      </c>
      <c r="M1305" s="4">
        <f>IFERROR(__xludf.DUMMYFUNCTION("""COMPUTED_VALUE"""),61.0)</f>
        <v>61</v>
      </c>
      <c r="N1305" s="2" t="str">
        <f>IFERROR(__xludf.DUMMYFUNCTION("""COMPUTED_VALUE"""),"FALSO")</f>
        <v>FALSO</v>
      </c>
    </row>
    <row r="1306">
      <c r="A1306" s="2">
        <f>IFERROR(__xludf.DUMMYFUNCTION("""COMPUTED_VALUE"""),1305.0)</f>
        <v>1305</v>
      </c>
      <c r="B1306" s="2" t="str">
        <f>IFERROR(__xludf.DUMMYFUNCTION("""COMPUTED_VALUE"""),"Enrica Iskowicz")</f>
        <v>Enrica Iskowicz</v>
      </c>
      <c r="C1306" s="2" t="str">
        <f>IFERROR(__xludf.DUMMYFUNCTION("""COMPUTED_VALUE"""),"eiskowicz8h@ibm.com")</f>
        <v>eiskowicz8h@ibm.com</v>
      </c>
      <c r="D1306" s="4">
        <f>IFERROR(__xludf.DUMMYFUNCTION("""COMPUTED_VALUE"""),29.0)</f>
        <v>29</v>
      </c>
      <c r="E1306" s="4">
        <f>IFERROR(__xludf.DUMMYFUNCTION("""COMPUTED_VALUE"""),85.0)</f>
        <v>85</v>
      </c>
      <c r="F1306" s="4">
        <f>IFERROR(__xludf.DUMMYFUNCTION("""COMPUTED_VALUE"""),3.0)</f>
        <v>3</v>
      </c>
      <c r="G1306" s="4">
        <f>IFERROR(__xludf.DUMMYFUNCTION("""COMPUTED_VALUE"""),515.0)</f>
        <v>515</v>
      </c>
      <c r="H1306" s="5">
        <f>IFERROR(__xludf.DUMMYFUNCTION("""COMPUTED_VALUE"""),1810.77)</f>
        <v>1810.77</v>
      </c>
      <c r="I1306" s="5">
        <f>IFERROR(__xludf.DUMMYFUNCTION("""COMPUTED_VALUE"""),674.15)</f>
        <v>674.15</v>
      </c>
      <c r="J1306" s="5">
        <f>IFERROR(__xludf.DUMMYFUNCTION("""COMPUTED_VALUE"""),4908.94)</f>
        <v>4908.94</v>
      </c>
      <c r="K1306" s="5">
        <f>IFERROR(__xludf.DUMMYFUNCTION("""COMPUTED_VALUE"""),2363.6)</f>
        <v>2363.6</v>
      </c>
      <c r="L1306" s="4">
        <f>IFERROR(__xludf.DUMMYFUNCTION("""COMPUTED_VALUE"""),13.0)</f>
        <v>13</v>
      </c>
      <c r="M1306" s="4">
        <f>IFERROR(__xludf.DUMMYFUNCTION("""COMPUTED_VALUE"""),50.0)</f>
        <v>50</v>
      </c>
      <c r="N1306" s="2" t="str">
        <f>IFERROR(__xludf.DUMMYFUNCTION("""COMPUTED_VALUE"""),"VERDADERO")</f>
        <v>VERDADERO</v>
      </c>
    </row>
    <row r="1307">
      <c r="A1307" s="2">
        <f>IFERROR(__xludf.DUMMYFUNCTION("""COMPUTED_VALUE"""),1306.0)</f>
        <v>1306</v>
      </c>
      <c r="B1307" s="2" t="str">
        <f>IFERROR(__xludf.DUMMYFUNCTION("""COMPUTED_VALUE"""),"Storm McCoid")</f>
        <v>Storm McCoid</v>
      </c>
      <c r="C1307" s="2" t="str">
        <f>IFERROR(__xludf.DUMMYFUNCTION("""COMPUTED_VALUE"""),"smccoid8i@ed.gov")</f>
        <v>smccoid8i@ed.gov</v>
      </c>
      <c r="D1307" s="4">
        <f>IFERROR(__xludf.DUMMYFUNCTION("""COMPUTED_VALUE"""),65.0)</f>
        <v>65</v>
      </c>
      <c r="E1307" s="4">
        <f>IFERROR(__xludf.DUMMYFUNCTION("""COMPUTED_VALUE"""),78.0)</f>
        <v>78</v>
      </c>
      <c r="F1307" s="4">
        <f>IFERROR(__xludf.DUMMYFUNCTION("""COMPUTED_VALUE"""),5.0)</f>
        <v>5</v>
      </c>
      <c r="G1307" s="4">
        <f>IFERROR(__xludf.DUMMYFUNCTION("""COMPUTED_VALUE"""),314.0)</f>
        <v>314</v>
      </c>
      <c r="H1307" s="5">
        <f>IFERROR(__xludf.DUMMYFUNCTION("""COMPUTED_VALUE"""),2799.36)</f>
        <v>2799.36</v>
      </c>
      <c r="I1307" s="5">
        <f>IFERROR(__xludf.DUMMYFUNCTION("""COMPUTED_VALUE"""),8490.08)</f>
        <v>8490.08</v>
      </c>
      <c r="J1307" s="5">
        <f>IFERROR(__xludf.DUMMYFUNCTION("""COMPUTED_VALUE"""),7597.76)</f>
        <v>7597.76</v>
      </c>
      <c r="K1307" s="5">
        <f>IFERROR(__xludf.DUMMYFUNCTION("""COMPUTED_VALUE"""),759.57)</f>
        <v>759.57</v>
      </c>
      <c r="L1307" s="4">
        <f>IFERROR(__xludf.DUMMYFUNCTION("""COMPUTED_VALUE"""),18.0)</f>
        <v>18</v>
      </c>
      <c r="M1307" s="4">
        <f>IFERROR(__xludf.DUMMYFUNCTION("""COMPUTED_VALUE"""),49.0)</f>
        <v>49</v>
      </c>
      <c r="N1307" s="2" t="str">
        <f>IFERROR(__xludf.DUMMYFUNCTION("""COMPUTED_VALUE"""),"FALSO")</f>
        <v>FALSO</v>
      </c>
    </row>
    <row r="1308">
      <c r="A1308" s="2">
        <f>IFERROR(__xludf.DUMMYFUNCTION("""COMPUTED_VALUE"""),1307.0)</f>
        <v>1307</v>
      </c>
      <c r="B1308" s="2" t="str">
        <f>IFERROR(__xludf.DUMMYFUNCTION("""COMPUTED_VALUE"""),"Melinde Emlen")</f>
        <v>Melinde Emlen</v>
      </c>
      <c r="C1308" s="2" t="str">
        <f>IFERROR(__xludf.DUMMYFUNCTION("""COMPUTED_VALUE"""),"memlen8j@live.com")</f>
        <v>memlen8j@live.com</v>
      </c>
      <c r="D1308" s="4">
        <f>IFERROR(__xludf.DUMMYFUNCTION("""COMPUTED_VALUE"""),11.0)</f>
        <v>11</v>
      </c>
      <c r="E1308" s="4">
        <f>IFERROR(__xludf.DUMMYFUNCTION("""COMPUTED_VALUE"""),111.0)</f>
        <v>111</v>
      </c>
      <c r="F1308" s="4">
        <f>IFERROR(__xludf.DUMMYFUNCTION("""COMPUTED_VALUE"""),4.0)</f>
        <v>4</v>
      </c>
      <c r="G1308" s="4">
        <f>IFERROR(__xludf.DUMMYFUNCTION("""COMPUTED_VALUE"""),711.0)</f>
        <v>711</v>
      </c>
      <c r="H1308" s="5">
        <f>IFERROR(__xludf.DUMMYFUNCTION("""COMPUTED_VALUE"""),7318.99)</f>
        <v>7318.99</v>
      </c>
      <c r="I1308" s="5">
        <f>IFERROR(__xludf.DUMMYFUNCTION("""COMPUTED_VALUE"""),7652.15)</f>
        <v>7652.15</v>
      </c>
      <c r="J1308" s="5">
        <f>IFERROR(__xludf.DUMMYFUNCTION("""COMPUTED_VALUE"""),328.77)</f>
        <v>328.77</v>
      </c>
      <c r="K1308" s="5">
        <f>IFERROR(__xludf.DUMMYFUNCTION("""COMPUTED_VALUE"""),586.16)</f>
        <v>586.16</v>
      </c>
      <c r="L1308" s="4">
        <f>IFERROR(__xludf.DUMMYFUNCTION("""COMPUTED_VALUE"""),2.0)</f>
        <v>2</v>
      </c>
      <c r="M1308" s="4">
        <f>IFERROR(__xludf.DUMMYFUNCTION("""COMPUTED_VALUE"""),76.0)</f>
        <v>76</v>
      </c>
      <c r="N1308" s="2" t="str">
        <f>IFERROR(__xludf.DUMMYFUNCTION("""COMPUTED_VALUE"""),"FALSO")</f>
        <v>FALSO</v>
      </c>
    </row>
    <row r="1309">
      <c r="A1309" s="2">
        <f>IFERROR(__xludf.DUMMYFUNCTION("""COMPUTED_VALUE"""),1308.0)</f>
        <v>1308</v>
      </c>
      <c r="B1309" s="2" t="str">
        <f>IFERROR(__xludf.DUMMYFUNCTION("""COMPUTED_VALUE"""),"Esta Ibanez")</f>
        <v>Esta Ibanez</v>
      </c>
      <c r="C1309" s="2" t="str">
        <f>IFERROR(__xludf.DUMMYFUNCTION("""COMPUTED_VALUE"""),"eibanez8k@liveinternet.ru")</f>
        <v>eibanez8k@liveinternet.ru</v>
      </c>
      <c r="D1309" s="4">
        <f>IFERROR(__xludf.DUMMYFUNCTION("""COMPUTED_VALUE"""),122.0)</f>
        <v>122</v>
      </c>
      <c r="E1309" s="4">
        <f>IFERROR(__xludf.DUMMYFUNCTION("""COMPUTED_VALUE"""),25.0)</f>
        <v>25</v>
      </c>
      <c r="F1309" s="4">
        <f>IFERROR(__xludf.DUMMYFUNCTION("""COMPUTED_VALUE"""),4.0)</f>
        <v>4</v>
      </c>
      <c r="G1309" s="4">
        <f>IFERROR(__xludf.DUMMYFUNCTION("""COMPUTED_VALUE"""),166.0)</f>
        <v>166</v>
      </c>
      <c r="H1309" s="5">
        <f>IFERROR(__xludf.DUMMYFUNCTION("""COMPUTED_VALUE"""),5487.78)</f>
        <v>5487.78</v>
      </c>
      <c r="I1309" s="5">
        <f>IFERROR(__xludf.DUMMYFUNCTION("""COMPUTED_VALUE"""),1986.26)</f>
        <v>1986.26</v>
      </c>
      <c r="J1309" s="5">
        <f>IFERROR(__xludf.DUMMYFUNCTION("""COMPUTED_VALUE"""),640.56)</f>
        <v>640.56</v>
      </c>
      <c r="K1309" s="5">
        <f>IFERROR(__xludf.DUMMYFUNCTION("""COMPUTED_VALUE"""),5929.98)</f>
        <v>5929.98</v>
      </c>
      <c r="L1309" s="4">
        <f>IFERROR(__xludf.DUMMYFUNCTION("""COMPUTED_VALUE"""),9.0)</f>
        <v>9</v>
      </c>
      <c r="M1309" s="4">
        <f>IFERROR(__xludf.DUMMYFUNCTION("""COMPUTED_VALUE"""),47.0)</f>
        <v>47</v>
      </c>
      <c r="N1309" s="2" t="str">
        <f>IFERROR(__xludf.DUMMYFUNCTION("""COMPUTED_VALUE"""),"VERDADERO")</f>
        <v>VERDADERO</v>
      </c>
    </row>
    <row r="1310">
      <c r="A1310" s="2">
        <f>IFERROR(__xludf.DUMMYFUNCTION("""COMPUTED_VALUE"""),1309.0)</f>
        <v>1309</v>
      </c>
      <c r="B1310" s="2" t="str">
        <f>IFERROR(__xludf.DUMMYFUNCTION("""COMPUTED_VALUE"""),"Lani Face")</f>
        <v>Lani Face</v>
      </c>
      <c r="C1310" s="2" t="str">
        <f>IFERROR(__xludf.DUMMYFUNCTION("""COMPUTED_VALUE"""),"lface8l@ucoz.com")</f>
        <v>lface8l@ucoz.com</v>
      </c>
      <c r="D1310" s="4">
        <f>IFERROR(__xludf.DUMMYFUNCTION("""COMPUTED_VALUE"""),55.0)</f>
        <v>55</v>
      </c>
      <c r="E1310" s="4">
        <f>IFERROR(__xludf.DUMMYFUNCTION("""COMPUTED_VALUE"""),5.0)</f>
        <v>5</v>
      </c>
      <c r="F1310" s="4">
        <f>IFERROR(__xludf.DUMMYFUNCTION("""COMPUTED_VALUE"""),7.0)</f>
        <v>7</v>
      </c>
      <c r="G1310" s="4">
        <f>IFERROR(__xludf.DUMMYFUNCTION("""COMPUTED_VALUE"""),51.0)</f>
        <v>51</v>
      </c>
      <c r="H1310" s="5">
        <f>IFERROR(__xludf.DUMMYFUNCTION("""COMPUTED_VALUE"""),1650.31)</f>
        <v>1650.31</v>
      </c>
      <c r="I1310" s="5">
        <f>IFERROR(__xludf.DUMMYFUNCTION("""COMPUTED_VALUE"""),4201.16)</f>
        <v>4201.16</v>
      </c>
      <c r="J1310" s="5">
        <f>IFERROR(__xludf.DUMMYFUNCTION("""COMPUTED_VALUE"""),6855.16)</f>
        <v>6855.16</v>
      </c>
      <c r="K1310" s="5">
        <f>IFERROR(__xludf.DUMMYFUNCTION("""COMPUTED_VALUE"""),7054.97)</f>
        <v>7054.97</v>
      </c>
      <c r="L1310" s="4">
        <f>IFERROR(__xludf.DUMMYFUNCTION("""COMPUTED_VALUE"""),2.0)</f>
        <v>2</v>
      </c>
      <c r="M1310" s="4">
        <f>IFERROR(__xludf.DUMMYFUNCTION("""COMPUTED_VALUE"""),80.0)</f>
        <v>80</v>
      </c>
      <c r="N1310" s="2" t="str">
        <f>IFERROR(__xludf.DUMMYFUNCTION("""COMPUTED_VALUE"""),"VERDADERO")</f>
        <v>VERDADERO</v>
      </c>
    </row>
    <row r="1311">
      <c r="A1311" s="2">
        <f>IFERROR(__xludf.DUMMYFUNCTION("""COMPUTED_VALUE"""),1310.0)</f>
        <v>1310</v>
      </c>
      <c r="B1311" s="2" t="str">
        <f>IFERROR(__xludf.DUMMYFUNCTION("""COMPUTED_VALUE"""),"Fernando Stelljes")</f>
        <v>Fernando Stelljes</v>
      </c>
      <c r="C1311" s="2" t="str">
        <f>IFERROR(__xludf.DUMMYFUNCTION("""COMPUTED_VALUE"""),"fstelljes8m@trellian.com")</f>
        <v>fstelljes8m@trellian.com</v>
      </c>
      <c r="D1311" s="4">
        <f>IFERROR(__xludf.DUMMYFUNCTION("""COMPUTED_VALUE"""),122.0)</f>
        <v>122</v>
      </c>
      <c r="E1311" s="4">
        <f>IFERROR(__xludf.DUMMYFUNCTION("""COMPUTED_VALUE"""),39.0)</f>
        <v>39</v>
      </c>
      <c r="F1311" s="4">
        <f>IFERROR(__xludf.DUMMYFUNCTION("""COMPUTED_VALUE"""),11.0)</f>
        <v>11</v>
      </c>
      <c r="G1311" s="4">
        <f>IFERROR(__xludf.DUMMYFUNCTION("""COMPUTED_VALUE"""),325.0)</f>
        <v>325</v>
      </c>
      <c r="H1311" s="5">
        <f>IFERROR(__xludf.DUMMYFUNCTION("""COMPUTED_VALUE"""),2354.78)</f>
        <v>2354.78</v>
      </c>
      <c r="I1311" s="5">
        <f>IFERROR(__xludf.DUMMYFUNCTION("""COMPUTED_VALUE"""),5773.39)</f>
        <v>5773.39</v>
      </c>
      <c r="J1311" s="5">
        <f>IFERROR(__xludf.DUMMYFUNCTION("""COMPUTED_VALUE"""),3586.93)</f>
        <v>3586.93</v>
      </c>
      <c r="K1311" s="5">
        <f>IFERROR(__xludf.DUMMYFUNCTION("""COMPUTED_VALUE"""),4403.59)</f>
        <v>4403.59</v>
      </c>
      <c r="L1311" s="4">
        <f>IFERROR(__xludf.DUMMYFUNCTION("""COMPUTED_VALUE"""),5.0)</f>
        <v>5</v>
      </c>
      <c r="M1311" s="4">
        <f>IFERROR(__xludf.DUMMYFUNCTION("""COMPUTED_VALUE"""),43.0)</f>
        <v>43</v>
      </c>
      <c r="N1311" s="2" t="str">
        <f>IFERROR(__xludf.DUMMYFUNCTION("""COMPUTED_VALUE"""),"VERDADERO")</f>
        <v>VERDADERO</v>
      </c>
    </row>
    <row r="1312">
      <c r="A1312" s="2">
        <f>IFERROR(__xludf.DUMMYFUNCTION("""COMPUTED_VALUE"""),1311.0)</f>
        <v>1311</v>
      </c>
      <c r="B1312" s="2" t="str">
        <f>IFERROR(__xludf.DUMMYFUNCTION("""COMPUTED_VALUE"""),"Sim Dufaire")</f>
        <v>Sim Dufaire</v>
      </c>
      <c r="C1312" s="2" t="str">
        <f>IFERROR(__xludf.DUMMYFUNCTION("""COMPUTED_VALUE"""),"sdufaire8n@bizjournals.com")</f>
        <v>sdufaire8n@bizjournals.com</v>
      </c>
      <c r="D1312" s="4">
        <f>IFERROR(__xludf.DUMMYFUNCTION("""COMPUTED_VALUE"""),37.0)</f>
        <v>37</v>
      </c>
      <c r="E1312" s="4">
        <f>IFERROR(__xludf.DUMMYFUNCTION("""COMPUTED_VALUE"""),100.0)</f>
        <v>100</v>
      </c>
      <c r="F1312" s="4">
        <f>IFERROR(__xludf.DUMMYFUNCTION("""COMPUTED_VALUE"""),9.0)</f>
        <v>9</v>
      </c>
      <c r="G1312" s="4">
        <f>IFERROR(__xludf.DUMMYFUNCTION("""COMPUTED_VALUE"""),958.0)</f>
        <v>958</v>
      </c>
      <c r="H1312" s="5">
        <f>IFERROR(__xludf.DUMMYFUNCTION("""COMPUTED_VALUE"""),5062.62)</f>
        <v>5062.62</v>
      </c>
      <c r="I1312" s="5">
        <f>IFERROR(__xludf.DUMMYFUNCTION("""COMPUTED_VALUE"""),5866.66)</f>
        <v>5866.66</v>
      </c>
      <c r="J1312" s="5">
        <f>IFERROR(__xludf.DUMMYFUNCTION("""COMPUTED_VALUE"""),8323.29)</f>
        <v>8323.29</v>
      </c>
      <c r="K1312" s="5">
        <f>IFERROR(__xludf.DUMMYFUNCTION("""COMPUTED_VALUE"""),1779.1)</f>
        <v>1779.1</v>
      </c>
      <c r="L1312" s="4">
        <f>IFERROR(__xludf.DUMMYFUNCTION("""COMPUTED_VALUE"""),4.0)</f>
        <v>4</v>
      </c>
      <c r="M1312" s="4">
        <f>IFERROR(__xludf.DUMMYFUNCTION("""COMPUTED_VALUE"""),41.0)</f>
        <v>41</v>
      </c>
      <c r="N1312" s="2" t="str">
        <f>IFERROR(__xludf.DUMMYFUNCTION("""COMPUTED_VALUE"""),"FALSO")</f>
        <v>FALSO</v>
      </c>
    </row>
    <row r="1313">
      <c r="A1313" s="2">
        <f>IFERROR(__xludf.DUMMYFUNCTION("""COMPUTED_VALUE"""),1312.0)</f>
        <v>1312</v>
      </c>
      <c r="B1313" s="2" t="str">
        <f>IFERROR(__xludf.DUMMYFUNCTION("""COMPUTED_VALUE"""),"West Pinckstone")</f>
        <v>West Pinckstone</v>
      </c>
      <c r="C1313" s="2" t="str">
        <f>IFERROR(__xludf.DUMMYFUNCTION("""COMPUTED_VALUE"""),"wpinckstone8o@intel.com")</f>
        <v>wpinckstone8o@intel.com</v>
      </c>
      <c r="D1313" s="4">
        <f>IFERROR(__xludf.DUMMYFUNCTION("""COMPUTED_VALUE"""),124.0)</f>
        <v>124</v>
      </c>
      <c r="E1313" s="4">
        <f>IFERROR(__xludf.DUMMYFUNCTION("""COMPUTED_VALUE"""),81.0)</f>
        <v>81</v>
      </c>
      <c r="F1313" s="4">
        <f>IFERROR(__xludf.DUMMYFUNCTION("""COMPUTED_VALUE"""),2.0)</f>
        <v>2</v>
      </c>
      <c r="G1313" s="4">
        <f>IFERROR(__xludf.DUMMYFUNCTION("""COMPUTED_VALUE"""),1532.0)</f>
        <v>1532</v>
      </c>
      <c r="H1313" s="5">
        <f>IFERROR(__xludf.DUMMYFUNCTION("""COMPUTED_VALUE"""),3335.4)</f>
        <v>3335.4</v>
      </c>
      <c r="I1313" s="5">
        <f>IFERROR(__xludf.DUMMYFUNCTION("""COMPUTED_VALUE"""),8251.78)</f>
        <v>8251.78</v>
      </c>
      <c r="J1313" s="5">
        <f>IFERROR(__xludf.DUMMYFUNCTION("""COMPUTED_VALUE"""),7558.49)</f>
        <v>7558.49</v>
      </c>
      <c r="K1313" s="5">
        <f>IFERROR(__xludf.DUMMYFUNCTION("""COMPUTED_VALUE"""),9924.39)</f>
        <v>9924.39</v>
      </c>
      <c r="L1313" s="4">
        <f>IFERROR(__xludf.DUMMYFUNCTION("""COMPUTED_VALUE"""),11.0)</f>
        <v>11</v>
      </c>
      <c r="M1313" s="4">
        <f>IFERROR(__xludf.DUMMYFUNCTION("""COMPUTED_VALUE"""),39.0)</f>
        <v>39</v>
      </c>
      <c r="N1313" s="2" t="str">
        <f>IFERROR(__xludf.DUMMYFUNCTION("""COMPUTED_VALUE"""),"FALSO")</f>
        <v>FALSO</v>
      </c>
    </row>
    <row r="1314">
      <c r="A1314" s="2">
        <f>IFERROR(__xludf.DUMMYFUNCTION("""COMPUTED_VALUE"""),1313.0)</f>
        <v>1313</v>
      </c>
      <c r="B1314" s="2" t="str">
        <f>IFERROR(__xludf.DUMMYFUNCTION("""COMPUTED_VALUE"""),"Trisha Scay")</f>
        <v>Trisha Scay</v>
      </c>
      <c r="C1314" s="2" t="str">
        <f>IFERROR(__xludf.DUMMYFUNCTION("""COMPUTED_VALUE"""),"tscay8p@icio.us")</f>
        <v>tscay8p@icio.us</v>
      </c>
      <c r="D1314" s="4">
        <f>IFERROR(__xludf.DUMMYFUNCTION("""COMPUTED_VALUE"""),120.0)</f>
        <v>120</v>
      </c>
      <c r="E1314" s="4">
        <f>IFERROR(__xludf.DUMMYFUNCTION("""COMPUTED_VALUE"""),58.0)</f>
        <v>58</v>
      </c>
      <c r="F1314" s="4">
        <f>IFERROR(__xludf.DUMMYFUNCTION("""COMPUTED_VALUE"""),8.0)</f>
        <v>8</v>
      </c>
      <c r="G1314" s="4">
        <f>IFERROR(__xludf.DUMMYFUNCTION("""COMPUTED_VALUE"""),230.0)</f>
        <v>230</v>
      </c>
      <c r="H1314" s="5">
        <f>IFERROR(__xludf.DUMMYFUNCTION("""COMPUTED_VALUE"""),5617.52)</f>
        <v>5617.52</v>
      </c>
      <c r="I1314" s="5">
        <f>IFERROR(__xludf.DUMMYFUNCTION("""COMPUTED_VALUE"""),8886.56)</f>
        <v>8886.56</v>
      </c>
      <c r="J1314" s="5">
        <f>IFERROR(__xludf.DUMMYFUNCTION("""COMPUTED_VALUE"""),2858.03)</f>
        <v>2858.03</v>
      </c>
      <c r="K1314" s="5">
        <f>IFERROR(__xludf.DUMMYFUNCTION("""COMPUTED_VALUE"""),3609.54)</f>
        <v>3609.54</v>
      </c>
      <c r="L1314" s="4">
        <f>IFERROR(__xludf.DUMMYFUNCTION("""COMPUTED_VALUE"""),9.0)</f>
        <v>9</v>
      </c>
      <c r="M1314" s="4">
        <f>IFERROR(__xludf.DUMMYFUNCTION("""COMPUTED_VALUE"""),47.0)</f>
        <v>47</v>
      </c>
      <c r="N1314" s="2" t="str">
        <f>IFERROR(__xludf.DUMMYFUNCTION("""COMPUTED_VALUE"""),"VERDADERO")</f>
        <v>VERDADERO</v>
      </c>
    </row>
    <row r="1315">
      <c r="A1315" s="2">
        <f>IFERROR(__xludf.DUMMYFUNCTION("""COMPUTED_VALUE"""),1314.0)</f>
        <v>1314</v>
      </c>
      <c r="B1315" s="2" t="str">
        <f>IFERROR(__xludf.DUMMYFUNCTION("""COMPUTED_VALUE"""),"Netta Ferryn")</f>
        <v>Netta Ferryn</v>
      </c>
      <c r="C1315" s="2" t="str">
        <f>IFERROR(__xludf.DUMMYFUNCTION("""COMPUTED_VALUE"""),"nferryn8q@virginia.edu")</f>
        <v>nferryn8q@virginia.edu</v>
      </c>
      <c r="D1315" s="4">
        <f>IFERROR(__xludf.DUMMYFUNCTION("""COMPUTED_VALUE"""),122.0)</f>
        <v>122</v>
      </c>
      <c r="E1315" s="4">
        <f>IFERROR(__xludf.DUMMYFUNCTION("""COMPUTED_VALUE"""),78.0)</f>
        <v>78</v>
      </c>
      <c r="F1315" s="4">
        <f>IFERROR(__xludf.DUMMYFUNCTION("""COMPUTED_VALUE"""),13.0)</f>
        <v>13</v>
      </c>
      <c r="G1315" s="4">
        <f>IFERROR(__xludf.DUMMYFUNCTION("""COMPUTED_VALUE"""),606.0)</f>
        <v>606</v>
      </c>
      <c r="H1315" s="5">
        <f>IFERROR(__xludf.DUMMYFUNCTION("""COMPUTED_VALUE"""),3328.1)</f>
        <v>3328.1</v>
      </c>
      <c r="I1315" s="5">
        <f>IFERROR(__xludf.DUMMYFUNCTION("""COMPUTED_VALUE"""),5378.31)</f>
        <v>5378.31</v>
      </c>
      <c r="J1315" s="5">
        <f>IFERROR(__xludf.DUMMYFUNCTION("""COMPUTED_VALUE"""),5862.43)</f>
        <v>5862.43</v>
      </c>
      <c r="K1315" s="5">
        <f>IFERROR(__xludf.DUMMYFUNCTION("""COMPUTED_VALUE"""),3299.97)</f>
        <v>3299.97</v>
      </c>
      <c r="L1315" s="4">
        <f>IFERROR(__xludf.DUMMYFUNCTION("""COMPUTED_VALUE"""),19.0)</f>
        <v>19</v>
      </c>
      <c r="M1315" s="4">
        <f>IFERROR(__xludf.DUMMYFUNCTION("""COMPUTED_VALUE"""),29.0)</f>
        <v>29</v>
      </c>
      <c r="N1315" s="2" t="str">
        <f>IFERROR(__xludf.DUMMYFUNCTION("""COMPUTED_VALUE"""),"FALSO")</f>
        <v>FALSO</v>
      </c>
    </row>
    <row r="1316">
      <c r="A1316" s="2">
        <f>IFERROR(__xludf.DUMMYFUNCTION("""COMPUTED_VALUE"""),1315.0)</f>
        <v>1315</v>
      </c>
      <c r="B1316" s="2" t="str">
        <f>IFERROR(__xludf.DUMMYFUNCTION("""COMPUTED_VALUE"""),"Claudio Ousley")</f>
        <v>Claudio Ousley</v>
      </c>
      <c r="C1316" s="2" t="str">
        <f>IFERROR(__xludf.DUMMYFUNCTION("""COMPUTED_VALUE"""),"cousley8r@prlog.org")</f>
        <v>cousley8r@prlog.org</v>
      </c>
      <c r="D1316" s="4">
        <f>IFERROR(__xludf.DUMMYFUNCTION("""COMPUTED_VALUE"""),137.0)</f>
        <v>137</v>
      </c>
      <c r="E1316" s="4">
        <f>IFERROR(__xludf.DUMMYFUNCTION("""COMPUTED_VALUE"""),96.0)</f>
        <v>96</v>
      </c>
      <c r="F1316" s="4">
        <f>IFERROR(__xludf.DUMMYFUNCTION("""COMPUTED_VALUE"""),9.0)</f>
        <v>9</v>
      </c>
      <c r="G1316" s="4">
        <f>IFERROR(__xludf.DUMMYFUNCTION("""COMPUTED_VALUE"""),1238.0)</f>
        <v>1238</v>
      </c>
      <c r="H1316" s="5">
        <f>IFERROR(__xludf.DUMMYFUNCTION("""COMPUTED_VALUE"""),7854.59)</f>
        <v>7854.59</v>
      </c>
      <c r="I1316" s="5">
        <f>IFERROR(__xludf.DUMMYFUNCTION("""COMPUTED_VALUE"""),2228.94)</f>
        <v>2228.94</v>
      </c>
      <c r="J1316" s="5">
        <f>IFERROR(__xludf.DUMMYFUNCTION("""COMPUTED_VALUE"""),1887.49)</f>
        <v>1887.49</v>
      </c>
      <c r="K1316" s="5">
        <f>IFERROR(__xludf.DUMMYFUNCTION("""COMPUTED_VALUE"""),3275.31)</f>
        <v>3275.31</v>
      </c>
      <c r="L1316" s="4">
        <f>IFERROR(__xludf.DUMMYFUNCTION("""COMPUTED_VALUE"""),14.0)</f>
        <v>14</v>
      </c>
      <c r="M1316" s="4">
        <f>IFERROR(__xludf.DUMMYFUNCTION("""COMPUTED_VALUE"""),10.0)</f>
        <v>10</v>
      </c>
      <c r="N1316" s="2" t="str">
        <f>IFERROR(__xludf.DUMMYFUNCTION("""COMPUTED_VALUE"""),"VERDADERO")</f>
        <v>VERDADERO</v>
      </c>
    </row>
    <row r="1317">
      <c r="A1317" s="2">
        <f>IFERROR(__xludf.DUMMYFUNCTION("""COMPUTED_VALUE"""),1316.0)</f>
        <v>1316</v>
      </c>
      <c r="B1317" s="2" t="str">
        <f>IFERROR(__xludf.DUMMYFUNCTION("""COMPUTED_VALUE"""),"Hilliary McCroft")</f>
        <v>Hilliary McCroft</v>
      </c>
      <c r="C1317" s="2" t="str">
        <f>IFERROR(__xludf.DUMMYFUNCTION("""COMPUTED_VALUE"""),"hmccroft8s@icio.us")</f>
        <v>hmccroft8s@icio.us</v>
      </c>
      <c r="D1317" s="4">
        <f>IFERROR(__xludf.DUMMYFUNCTION("""COMPUTED_VALUE"""),9.0)</f>
        <v>9</v>
      </c>
      <c r="E1317" s="4">
        <f>IFERROR(__xludf.DUMMYFUNCTION("""COMPUTED_VALUE"""),40.0)</f>
        <v>40</v>
      </c>
      <c r="F1317" s="4">
        <f>IFERROR(__xludf.DUMMYFUNCTION("""COMPUTED_VALUE"""),1.0)</f>
        <v>1</v>
      </c>
      <c r="G1317" s="4">
        <f>IFERROR(__xludf.DUMMYFUNCTION("""COMPUTED_VALUE"""),601.0)</f>
        <v>601</v>
      </c>
      <c r="H1317" s="5">
        <f>IFERROR(__xludf.DUMMYFUNCTION("""COMPUTED_VALUE"""),8390.42)</f>
        <v>8390.42</v>
      </c>
      <c r="I1317" s="5">
        <f>IFERROR(__xludf.DUMMYFUNCTION("""COMPUTED_VALUE"""),6864.84)</f>
        <v>6864.84</v>
      </c>
      <c r="J1317" s="5">
        <f>IFERROR(__xludf.DUMMYFUNCTION("""COMPUTED_VALUE"""),4565.79)</f>
        <v>4565.79</v>
      </c>
      <c r="K1317" s="5">
        <f>IFERROR(__xludf.DUMMYFUNCTION("""COMPUTED_VALUE"""),6619.24)</f>
        <v>6619.24</v>
      </c>
      <c r="L1317" s="4">
        <f>IFERROR(__xludf.DUMMYFUNCTION("""COMPUTED_VALUE"""),13.0)</f>
        <v>13</v>
      </c>
      <c r="M1317" s="4">
        <f>IFERROR(__xludf.DUMMYFUNCTION("""COMPUTED_VALUE"""),38.0)</f>
        <v>38</v>
      </c>
      <c r="N1317" s="2" t="str">
        <f>IFERROR(__xludf.DUMMYFUNCTION("""COMPUTED_VALUE"""),"VERDADERO")</f>
        <v>VERDADERO</v>
      </c>
    </row>
    <row r="1318">
      <c r="A1318" s="2">
        <f>IFERROR(__xludf.DUMMYFUNCTION("""COMPUTED_VALUE"""),1317.0)</f>
        <v>1317</v>
      </c>
      <c r="B1318" s="2" t="str">
        <f>IFERROR(__xludf.DUMMYFUNCTION("""COMPUTED_VALUE"""),"Hugibert Tooze")</f>
        <v>Hugibert Tooze</v>
      </c>
      <c r="C1318" s="2" t="str">
        <f>IFERROR(__xludf.DUMMYFUNCTION("""COMPUTED_VALUE"""),"htooze8t@fema.gov")</f>
        <v>htooze8t@fema.gov</v>
      </c>
      <c r="D1318" s="4">
        <f>IFERROR(__xludf.DUMMYFUNCTION("""COMPUTED_VALUE"""),124.0)</f>
        <v>124</v>
      </c>
      <c r="E1318" s="4">
        <f>IFERROR(__xludf.DUMMYFUNCTION("""COMPUTED_VALUE"""),81.0)</f>
        <v>81</v>
      </c>
      <c r="F1318" s="4">
        <f>IFERROR(__xludf.DUMMYFUNCTION("""COMPUTED_VALUE"""),2.0)</f>
        <v>2</v>
      </c>
      <c r="G1318" s="4">
        <f>IFERROR(__xludf.DUMMYFUNCTION("""COMPUTED_VALUE"""),130.0)</f>
        <v>130</v>
      </c>
      <c r="H1318" s="5">
        <f>IFERROR(__xludf.DUMMYFUNCTION("""COMPUTED_VALUE"""),9121.79)</f>
        <v>9121.79</v>
      </c>
      <c r="I1318" s="5">
        <f>IFERROR(__xludf.DUMMYFUNCTION("""COMPUTED_VALUE"""),3926.14)</f>
        <v>3926.14</v>
      </c>
      <c r="J1318" s="5">
        <f>IFERROR(__xludf.DUMMYFUNCTION("""COMPUTED_VALUE"""),5889.58)</f>
        <v>5889.58</v>
      </c>
      <c r="K1318" s="5">
        <f>IFERROR(__xludf.DUMMYFUNCTION("""COMPUTED_VALUE"""),6688.85)</f>
        <v>6688.85</v>
      </c>
      <c r="L1318" s="4">
        <f>IFERROR(__xludf.DUMMYFUNCTION("""COMPUTED_VALUE"""),14.0)</f>
        <v>14</v>
      </c>
      <c r="M1318" s="4">
        <f>IFERROR(__xludf.DUMMYFUNCTION("""COMPUTED_VALUE"""),87.0)</f>
        <v>87</v>
      </c>
      <c r="N1318" s="2" t="str">
        <f>IFERROR(__xludf.DUMMYFUNCTION("""COMPUTED_VALUE"""),"FALSO")</f>
        <v>FALSO</v>
      </c>
    </row>
    <row r="1319">
      <c r="A1319" s="2">
        <f>IFERROR(__xludf.DUMMYFUNCTION("""COMPUTED_VALUE"""),1318.0)</f>
        <v>1318</v>
      </c>
      <c r="B1319" s="2" t="str">
        <f>IFERROR(__xludf.DUMMYFUNCTION("""COMPUTED_VALUE"""),"Hetty Lean")</f>
        <v>Hetty Lean</v>
      </c>
      <c r="C1319" s="2" t="str">
        <f>IFERROR(__xludf.DUMMYFUNCTION("""COMPUTED_VALUE"""),"hlean8u@cbslocal.com")</f>
        <v>hlean8u@cbslocal.com</v>
      </c>
      <c r="D1319" s="4">
        <f>IFERROR(__xludf.DUMMYFUNCTION("""COMPUTED_VALUE"""),124.0)</f>
        <v>124</v>
      </c>
      <c r="E1319" s="4">
        <f>IFERROR(__xludf.DUMMYFUNCTION("""COMPUTED_VALUE"""),64.0)</f>
        <v>64</v>
      </c>
      <c r="F1319" s="4">
        <f>IFERROR(__xludf.DUMMYFUNCTION("""COMPUTED_VALUE"""),4.0)</f>
        <v>4</v>
      </c>
      <c r="G1319" s="4">
        <f>IFERROR(__xludf.DUMMYFUNCTION("""COMPUTED_VALUE"""),1323.0)</f>
        <v>1323</v>
      </c>
      <c r="H1319" s="5">
        <f>IFERROR(__xludf.DUMMYFUNCTION("""COMPUTED_VALUE"""),2854.99)</f>
        <v>2854.99</v>
      </c>
      <c r="I1319" s="5">
        <f>IFERROR(__xludf.DUMMYFUNCTION("""COMPUTED_VALUE"""),937.15)</f>
        <v>937.15</v>
      </c>
      <c r="J1319" s="5">
        <f>IFERROR(__xludf.DUMMYFUNCTION("""COMPUTED_VALUE"""),5647.88)</f>
        <v>5647.88</v>
      </c>
      <c r="K1319" s="5">
        <f>IFERROR(__xludf.DUMMYFUNCTION("""COMPUTED_VALUE"""),7450.17)</f>
        <v>7450.17</v>
      </c>
      <c r="L1319" s="4">
        <f>IFERROR(__xludf.DUMMYFUNCTION("""COMPUTED_VALUE"""),18.0)</f>
        <v>18</v>
      </c>
      <c r="M1319" s="4">
        <f>IFERROR(__xludf.DUMMYFUNCTION("""COMPUTED_VALUE"""),74.0)</f>
        <v>74</v>
      </c>
      <c r="N1319" s="2" t="str">
        <f>IFERROR(__xludf.DUMMYFUNCTION("""COMPUTED_VALUE"""),"VERDADERO")</f>
        <v>VERDADERO</v>
      </c>
    </row>
    <row r="1320">
      <c r="A1320" s="2">
        <f>IFERROR(__xludf.DUMMYFUNCTION("""COMPUTED_VALUE"""),1319.0)</f>
        <v>1319</v>
      </c>
      <c r="B1320" s="2" t="str">
        <f>IFERROR(__xludf.DUMMYFUNCTION("""COMPUTED_VALUE"""),"Branden Siaskowski")</f>
        <v>Branden Siaskowski</v>
      </c>
      <c r="C1320" s="2" t="str">
        <f>IFERROR(__xludf.DUMMYFUNCTION("""COMPUTED_VALUE"""),"bsiaskowski8v@theatlantic.com")</f>
        <v>bsiaskowski8v@theatlantic.com</v>
      </c>
      <c r="D1320" s="4">
        <f>IFERROR(__xludf.DUMMYFUNCTION("""COMPUTED_VALUE"""),72.0)</f>
        <v>72</v>
      </c>
      <c r="E1320" s="4">
        <f>IFERROR(__xludf.DUMMYFUNCTION("""COMPUTED_VALUE"""),124.0)</f>
        <v>124</v>
      </c>
      <c r="F1320" s="4">
        <f>IFERROR(__xludf.DUMMYFUNCTION("""COMPUTED_VALUE"""),1.0)</f>
        <v>1</v>
      </c>
      <c r="G1320" s="4">
        <f>IFERROR(__xludf.DUMMYFUNCTION("""COMPUTED_VALUE"""),933.0)</f>
        <v>933</v>
      </c>
      <c r="H1320" s="5">
        <f>IFERROR(__xludf.DUMMYFUNCTION("""COMPUTED_VALUE"""),8378.43)</f>
        <v>8378.43</v>
      </c>
      <c r="I1320" s="5">
        <f>IFERROR(__xludf.DUMMYFUNCTION("""COMPUTED_VALUE"""),7739.35)</f>
        <v>7739.35</v>
      </c>
      <c r="J1320" s="5">
        <f>IFERROR(__xludf.DUMMYFUNCTION("""COMPUTED_VALUE"""),8741.64)</f>
        <v>8741.64</v>
      </c>
      <c r="K1320" s="5">
        <f>IFERROR(__xludf.DUMMYFUNCTION("""COMPUTED_VALUE"""),9049.98)</f>
        <v>9049.98</v>
      </c>
      <c r="L1320" s="4">
        <f>IFERROR(__xludf.DUMMYFUNCTION("""COMPUTED_VALUE"""),20.0)</f>
        <v>20</v>
      </c>
      <c r="M1320" s="4">
        <f>IFERROR(__xludf.DUMMYFUNCTION("""COMPUTED_VALUE"""),88.0)</f>
        <v>88</v>
      </c>
      <c r="N1320" s="2" t="str">
        <f>IFERROR(__xludf.DUMMYFUNCTION("""COMPUTED_VALUE"""),"FALSO")</f>
        <v>FALSO</v>
      </c>
    </row>
    <row r="1321">
      <c r="A1321" s="2">
        <f>IFERROR(__xludf.DUMMYFUNCTION("""COMPUTED_VALUE"""),1320.0)</f>
        <v>1320</v>
      </c>
      <c r="B1321" s="2" t="str">
        <f>IFERROR(__xludf.DUMMYFUNCTION("""COMPUTED_VALUE"""),"Nissy Elsy")</f>
        <v>Nissy Elsy</v>
      </c>
      <c r="C1321" s="2" t="str">
        <f>IFERROR(__xludf.DUMMYFUNCTION("""COMPUTED_VALUE"""),"nelsy8w@aboutads.info")</f>
        <v>nelsy8w@aboutads.info</v>
      </c>
      <c r="D1321" s="4">
        <f>IFERROR(__xludf.DUMMYFUNCTION("""COMPUTED_VALUE"""),91.0)</f>
        <v>91</v>
      </c>
      <c r="E1321" s="4">
        <f>IFERROR(__xludf.DUMMYFUNCTION("""COMPUTED_VALUE"""),56.0)</f>
        <v>56</v>
      </c>
      <c r="F1321" s="4">
        <f>IFERROR(__xludf.DUMMYFUNCTION("""COMPUTED_VALUE"""),6.0)</f>
        <v>6</v>
      </c>
      <c r="G1321" s="4">
        <f>IFERROR(__xludf.DUMMYFUNCTION("""COMPUTED_VALUE"""),697.0)</f>
        <v>697</v>
      </c>
      <c r="H1321" s="5">
        <f>IFERROR(__xludf.DUMMYFUNCTION("""COMPUTED_VALUE"""),4114.03)</f>
        <v>4114.03</v>
      </c>
      <c r="I1321" s="5">
        <f>IFERROR(__xludf.DUMMYFUNCTION("""COMPUTED_VALUE"""),9323.58)</f>
        <v>9323.58</v>
      </c>
      <c r="J1321" s="5">
        <f>IFERROR(__xludf.DUMMYFUNCTION("""COMPUTED_VALUE"""),6200.51)</f>
        <v>6200.51</v>
      </c>
      <c r="K1321" s="5">
        <f>IFERROR(__xludf.DUMMYFUNCTION("""COMPUTED_VALUE"""),3077.0)</f>
        <v>3077</v>
      </c>
      <c r="L1321" s="4">
        <f>IFERROR(__xludf.DUMMYFUNCTION("""COMPUTED_VALUE"""),16.0)</f>
        <v>16</v>
      </c>
      <c r="M1321" s="4">
        <f>IFERROR(__xludf.DUMMYFUNCTION("""COMPUTED_VALUE"""),3.0)</f>
        <v>3</v>
      </c>
      <c r="N1321" s="2" t="str">
        <f>IFERROR(__xludf.DUMMYFUNCTION("""COMPUTED_VALUE"""),"VERDADERO")</f>
        <v>VERDADERO</v>
      </c>
    </row>
    <row r="1322">
      <c r="A1322" s="2">
        <f>IFERROR(__xludf.DUMMYFUNCTION("""COMPUTED_VALUE"""),1321.0)</f>
        <v>1321</v>
      </c>
      <c r="B1322" s="2" t="str">
        <f>IFERROR(__xludf.DUMMYFUNCTION("""COMPUTED_VALUE"""),"Lauraine Litchfield")</f>
        <v>Lauraine Litchfield</v>
      </c>
      <c r="C1322" s="2" t="str">
        <f>IFERROR(__xludf.DUMMYFUNCTION("""COMPUTED_VALUE"""),"llitchfield8x@census.gov")</f>
        <v>llitchfield8x@census.gov</v>
      </c>
      <c r="D1322" s="4">
        <f>IFERROR(__xludf.DUMMYFUNCTION("""COMPUTED_VALUE"""),29.0)</f>
        <v>29</v>
      </c>
      <c r="E1322" s="4">
        <f>IFERROR(__xludf.DUMMYFUNCTION("""COMPUTED_VALUE"""),66.0)</f>
        <v>66</v>
      </c>
      <c r="F1322" s="4">
        <f>IFERROR(__xludf.DUMMYFUNCTION("""COMPUTED_VALUE"""),6.0)</f>
        <v>6</v>
      </c>
      <c r="G1322" s="4">
        <f>IFERROR(__xludf.DUMMYFUNCTION("""COMPUTED_VALUE"""),941.0)</f>
        <v>941</v>
      </c>
      <c r="H1322" s="5">
        <f>IFERROR(__xludf.DUMMYFUNCTION("""COMPUTED_VALUE"""),3819.86)</f>
        <v>3819.86</v>
      </c>
      <c r="I1322" s="5">
        <f>IFERROR(__xludf.DUMMYFUNCTION("""COMPUTED_VALUE"""),5726.01)</f>
        <v>5726.01</v>
      </c>
      <c r="J1322" s="5">
        <f>IFERROR(__xludf.DUMMYFUNCTION("""COMPUTED_VALUE"""),2204.28)</f>
        <v>2204.28</v>
      </c>
      <c r="K1322" s="5">
        <f>IFERROR(__xludf.DUMMYFUNCTION("""COMPUTED_VALUE"""),1758.5)</f>
        <v>1758.5</v>
      </c>
      <c r="L1322" s="4">
        <f>IFERROR(__xludf.DUMMYFUNCTION("""COMPUTED_VALUE"""),20.0)</f>
        <v>20</v>
      </c>
      <c r="M1322" s="4">
        <f>IFERROR(__xludf.DUMMYFUNCTION("""COMPUTED_VALUE"""),54.0)</f>
        <v>54</v>
      </c>
      <c r="N1322" s="2" t="str">
        <f>IFERROR(__xludf.DUMMYFUNCTION("""COMPUTED_VALUE"""),"FALSO")</f>
        <v>FALSO</v>
      </c>
    </row>
    <row r="1323">
      <c r="A1323" s="2">
        <f>IFERROR(__xludf.DUMMYFUNCTION("""COMPUTED_VALUE"""),1322.0)</f>
        <v>1322</v>
      </c>
      <c r="B1323" s="2" t="str">
        <f>IFERROR(__xludf.DUMMYFUNCTION("""COMPUTED_VALUE"""),"Burk Road")</f>
        <v>Burk Road</v>
      </c>
      <c r="C1323" s="2" t="str">
        <f>IFERROR(__xludf.DUMMYFUNCTION("""COMPUTED_VALUE"""),"broad8y@tripadvisor.com")</f>
        <v>broad8y@tripadvisor.com</v>
      </c>
      <c r="D1323" s="4">
        <f>IFERROR(__xludf.DUMMYFUNCTION("""COMPUTED_VALUE"""),65.0)</f>
        <v>65</v>
      </c>
      <c r="E1323" s="4">
        <f>IFERROR(__xludf.DUMMYFUNCTION("""COMPUTED_VALUE"""),85.0)</f>
        <v>85</v>
      </c>
      <c r="F1323" s="4">
        <f>IFERROR(__xludf.DUMMYFUNCTION("""COMPUTED_VALUE"""),3.0)</f>
        <v>3</v>
      </c>
      <c r="G1323" s="4">
        <f>IFERROR(__xludf.DUMMYFUNCTION("""COMPUTED_VALUE"""),431.0)</f>
        <v>431</v>
      </c>
      <c r="H1323" s="5">
        <f>IFERROR(__xludf.DUMMYFUNCTION("""COMPUTED_VALUE"""),7371.72)</f>
        <v>7371.72</v>
      </c>
      <c r="I1323" s="5">
        <f>IFERROR(__xludf.DUMMYFUNCTION("""COMPUTED_VALUE"""),3211.27)</f>
        <v>3211.27</v>
      </c>
      <c r="J1323" s="5">
        <f>IFERROR(__xludf.DUMMYFUNCTION("""COMPUTED_VALUE"""),7273.57)</f>
        <v>7273.57</v>
      </c>
      <c r="K1323" s="5">
        <f>IFERROR(__xludf.DUMMYFUNCTION("""COMPUTED_VALUE"""),7117.94)</f>
        <v>7117.94</v>
      </c>
      <c r="L1323" s="4">
        <f>IFERROR(__xludf.DUMMYFUNCTION("""COMPUTED_VALUE"""),14.0)</f>
        <v>14</v>
      </c>
      <c r="M1323" s="4">
        <f>IFERROR(__xludf.DUMMYFUNCTION("""COMPUTED_VALUE"""),89.0)</f>
        <v>89</v>
      </c>
      <c r="N1323" s="2" t="str">
        <f>IFERROR(__xludf.DUMMYFUNCTION("""COMPUTED_VALUE"""),"FALSO")</f>
        <v>FALSO</v>
      </c>
    </row>
    <row r="1324">
      <c r="A1324" s="2">
        <f>IFERROR(__xludf.DUMMYFUNCTION("""COMPUTED_VALUE"""),1323.0)</f>
        <v>1323</v>
      </c>
      <c r="B1324" s="2" t="str">
        <f>IFERROR(__xludf.DUMMYFUNCTION("""COMPUTED_VALUE"""),"Ange Yegorkov")</f>
        <v>Ange Yegorkov</v>
      </c>
      <c r="C1324" s="2" t="str">
        <f>IFERROR(__xludf.DUMMYFUNCTION("""COMPUTED_VALUE"""),"ayegorkov8z@pen.io")</f>
        <v>ayegorkov8z@pen.io</v>
      </c>
      <c r="D1324" s="4">
        <f>IFERROR(__xludf.DUMMYFUNCTION("""COMPUTED_VALUE"""),109.0)</f>
        <v>109</v>
      </c>
      <c r="E1324" s="4">
        <f>IFERROR(__xludf.DUMMYFUNCTION("""COMPUTED_VALUE"""),23.0)</f>
        <v>23</v>
      </c>
      <c r="F1324" s="4">
        <f>IFERROR(__xludf.DUMMYFUNCTION("""COMPUTED_VALUE"""),5.0)</f>
        <v>5</v>
      </c>
      <c r="G1324" s="4">
        <f>IFERROR(__xludf.DUMMYFUNCTION("""COMPUTED_VALUE"""),1604.0)</f>
        <v>1604</v>
      </c>
      <c r="H1324" s="5">
        <f>IFERROR(__xludf.DUMMYFUNCTION("""COMPUTED_VALUE"""),454.19)</f>
        <v>454.19</v>
      </c>
      <c r="I1324" s="5">
        <f>IFERROR(__xludf.DUMMYFUNCTION("""COMPUTED_VALUE"""),5562.59)</f>
        <v>5562.59</v>
      </c>
      <c r="J1324" s="5">
        <f>IFERROR(__xludf.DUMMYFUNCTION("""COMPUTED_VALUE"""),6700.07)</f>
        <v>6700.07</v>
      </c>
      <c r="K1324" s="5">
        <f>IFERROR(__xludf.DUMMYFUNCTION("""COMPUTED_VALUE"""),5017.71)</f>
        <v>5017.71</v>
      </c>
      <c r="L1324" s="4">
        <f>IFERROR(__xludf.DUMMYFUNCTION("""COMPUTED_VALUE"""),16.0)</f>
        <v>16</v>
      </c>
      <c r="M1324" s="4">
        <f>IFERROR(__xludf.DUMMYFUNCTION("""COMPUTED_VALUE"""),66.0)</f>
        <v>66</v>
      </c>
      <c r="N1324" s="2" t="str">
        <f>IFERROR(__xludf.DUMMYFUNCTION("""COMPUTED_VALUE"""),"FALSO")</f>
        <v>FALSO</v>
      </c>
    </row>
    <row r="1325">
      <c r="A1325" s="2">
        <f>IFERROR(__xludf.DUMMYFUNCTION("""COMPUTED_VALUE"""),1324.0)</f>
        <v>1324</v>
      </c>
      <c r="B1325" s="2" t="str">
        <f>IFERROR(__xludf.DUMMYFUNCTION("""COMPUTED_VALUE"""),"Valentine Gilcrist")</f>
        <v>Valentine Gilcrist</v>
      </c>
      <c r="C1325" s="2" t="str">
        <f>IFERROR(__xludf.DUMMYFUNCTION("""COMPUTED_VALUE"""),"vgilcrist90@blogspot.com")</f>
        <v>vgilcrist90@blogspot.com</v>
      </c>
      <c r="D1325" s="4">
        <f>IFERROR(__xludf.DUMMYFUNCTION("""COMPUTED_VALUE"""),17.0)</f>
        <v>17</v>
      </c>
      <c r="E1325" s="4">
        <f>IFERROR(__xludf.DUMMYFUNCTION("""COMPUTED_VALUE"""),21.0)</f>
        <v>21</v>
      </c>
      <c r="F1325" s="4">
        <f>IFERROR(__xludf.DUMMYFUNCTION("""COMPUTED_VALUE"""),12.0)</f>
        <v>12</v>
      </c>
      <c r="G1325" s="4">
        <f>IFERROR(__xludf.DUMMYFUNCTION("""COMPUTED_VALUE"""),909.0)</f>
        <v>909</v>
      </c>
      <c r="H1325" s="5">
        <f>IFERROR(__xludf.DUMMYFUNCTION("""COMPUTED_VALUE"""),2730.17)</f>
        <v>2730.17</v>
      </c>
      <c r="I1325" s="5">
        <f>IFERROR(__xludf.DUMMYFUNCTION("""COMPUTED_VALUE"""),2823.56)</f>
        <v>2823.56</v>
      </c>
      <c r="J1325" s="5">
        <f>IFERROR(__xludf.DUMMYFUNCTION("""COMPUTED_VALUE"""),9849.85)</f>
        <v>9849.85</v>
      </c>
      <c r="K1325" s="5">
        <f>IFERROR(__xludf.DUMMYFUNCTION("""COMPUTED_VALUE"""),2135.41)</f>
        <v>2135.41</v>
      </c>
      <c r="L1325" s="4">
        <f>IFERROR(__xludf.DUMMYFUNCTION("""COMPUTED_VALUE"""),1.0)</f>
        <v>1</v>
      </c>
      <c r="M1325" s="4">
        <f>IFERROR(__xludf.DUMMYFUNCTION("""COMPUTED_VALUE"""),33.0)</f>
        <v>33</v>
      </c>
      <c r="N1325" s="2" t="str">
        <f>IFERROR(__xludf.DUMMYFUNCTION("""COMPUTED_VALUE"""),"FALSO")</f>
        <v>FALSO</v>
      </c>
    </row>
    <row r="1326">
      <c r="A1326" s="2">
        <f>IFERROR(__xludf.DUMMYFUNCTION("""COMPUTED_VALUE"""),1325.0)</f>
        <v>1325</v>
      </c>
      <c r="B1326" s="2" t="str">
        <f>IFERROR(__xludf.DUMMYFUNCTION("""COMPUTED_VALUE"""),"Marcel Hatcher")</f>
        <v>Marcel Hatcher</v>
      </c>
      <c r="C1326" s="2" t="str">
        <f>IFERROR(__xludf.DUMMYFUNCTION("""COMPUTED_VALUE"""),"mhatcher91@domainmarket.com")</f>
        <v>mhatcher91@domainmarket.com</v>
      </c>
      <c r="D1326" s="4">
        <f>IFERROR(__xludf.DUMMYFUNCTION("""COMPUTED_VALUE"""),37.0)</f>
        <v>37</v>
      </c>
      <c r="E1326" s="4">
        <f>IFERROR(__xludf.DUMMYFUNCTION("""COMPUTED_VALUE"""),29.0)</f>
        <v>29</v>
      </c>
      <c r="F1326" s="4">
        <f>IFERROR(__xludf.DUMMYFUNCTION("""COMPUTED_VALUE"""),11.0)</f>
        <v>11</v>
      </c>
      <c r="G1326" s="4">
        <f>IFERROR(__xludf.DUMMYFUNCTION("""COMPUTED_VALUE"""),897.0)</f>
        <v>897</v>
      </c>
      <c r="H1326" s="5">
        <f>IFERROR(__xludf.DUMMYFUNCTION("""COMPUTED_VALUE"""),8139.86)</f>
        <v>8139.86</v>
      </c>
      <c r="I1326" s="5">
        <f>IFERROR(__xludf.DUMMYFUNCTION("""COMPUTED_VALUE"""),3210.94)</f>
        <v>3210.94</v>
      </c>
      <c r="J1326" s="5">
        <f>IFERROR(__xludf.DUMMYFUNCTION("""COMPUTED_VALUE"""),2145.25)</f>
        <v>2145.25</v>
      </c>
      <c r="K1326" s="5">
        <f>IFERROR(__xludf.DUMMYFUNCTION("""COMPUTED_VALUE"""),1520.47)</f>
        <v>1520.47</v>
      </c>
      <c r="L1326" s="4">
        <f>IFERROR(__xludf.DUMMYFUNCTION("""COMPUTED_VALUE"""),16.0)</f>
        <v>16</v>
      </c>
      <c r="M1326" s="4">
        <f>IFERROR(__xludf.DUMMYFUNCTION("""COMPUTED_VALUE"""),73.0)</f>
        <v>73</v>
      </c>
      <c r="N1326" s="2" t="str">
        <f>IFERROR(__xludf.DUMMYFUNCTION("""COMPUTED_VALUE"""),"VERDADERO")</f>
        <v>VERDADERO</v>
      </c>
    </row>
    <row r="1327">
      <c r="A1327" s="2">
        <f>IFERROR(__xludf.DUMMYFUNCTION("""COMPUTED_VALUE"""),1326.0)</f>
        <v>1326</v>
      </c>
      <c r="B1327" s="2" t="str">
        <f>IFERROR(__xludf.DUMMYFUNCTION("""COMPUTED_VALUE"""),"Ameline Tchir")</f>
        <v>Ameline Tchir</v>
      </c>
      <c r="C1327" s="2" t="str">
        <f>IFERROR(__xludf.DUMMYFUNCTION("""COMPUTED_VALUE"""),"atchir92@unesco.org")</f>
        <v>atchir92@unesco.org</v>
      </c>
      <c r="D1327" s="4">
        <f>IFERROR(__xludf.DUMMYFUNCTION("""COMPUTED_VALUE"""),26.0)</f>
        <v>26</v>
      </c>
      <c r="E1327" s="4">
        <f>IFERROR(__xludf.DUMMYFUNCTION("""COMPUTED_VALUE"""),55.0)</f>
        <v>55</v>
      </c>
      <c r="F1327" s="4">
        <f>IFERROR(__xludf.DUMMYFUNCTION("""COMPUTED_VALUE"""),5.0)</f>
        <v>5</v>
      </c>
      <c r="G1327" s="4">
        <f>IFERROR(__xludf.DUMMYFUNCTION("""COMPUTED_VALUE"""),784.0)</f>
        <v>784</v>
      </c>
      <c r="H1327" s="5">
        <f>IFERROR(__xludf.DUMMYFUNCTION("""COMPUTED_VALUE"""),6871.65)</f>
        <v>6871.65</v>
      </c>
      <c r="I1327" s="5">
        <f>IFERROR(__xludf.DUMMYFUNCTION("""COMPUTED_VALUE"""),3896.51)</f>
        <v>3896.51</v>
      </c>
      <c r="J1327" s="5">
        <f>IFERROR(__xludf.DUMMYFUNCTION("""COMPUTED_VALUE"""),200.57)</f>
        <v>200.57</v>
      </c>
      <c r="K1327" s="5">
        <f>IFERROR(__xludf.DUMMYFUNCTION("""COMPUTED_VALUE"""),6344.54)</f>
        <v>6344.54</v>
      </c>
      <c r="L1327" s="4">
        <f>IFERROR(__xludf.DUMMYFUNCTION("""COMPUTED_VALUE"""),18.0)</f>
        <v>18</v>
      </c>
      <c r="M1327" s="4">
        <f>IFERROR(__xludf.DUMMYFUNCTION("""COMPUTED_VALUE"""),2.0)</f>
        <v>2</v>
      </c>
      <c r="N1327" s="2" t="str">
        <f>IFERROR(__xludf.DUMMYFUNCTION("""COMPUTED_VALUE"""),"FALSO")</f>
        <v>FALSO</v>
      </c>
    </row>
    <row r="1328">
      <c r="A1328" s="2">
        <f>IFERROR(__xludf.DUMMYFUNCTION("""COMPUTED_VALUE"""),1327.0)</f>
        <v>1327</v>
      </c>
      <c r="B1328" s="2" t="str">
        <f>IFERROR(__xludf.DUMMYFUNCTION("""COMPUTED_VALUE"""),"Taite Satterly")</f>
        <v>Taite Satterly</v>
      </c>
      <c r="C1328" s="2" t="str">
        <f>IFERROR(__xludf.DUMMYFUNCTION("""COMPUTED_VALUE"""),"tsatterly93@purevolume.com")</f>
        <v>tsatterly93@purevolume.com</v>
      </c>
      <c r="D1328" s="4">
        <f>IFERROR(__xludf.DUMMYFUNCTION("""COMPUTED_VALUE"""),122.0)</f>
        <v>122</v>
      </c>
      <c r="E1328" s="4">
        <f>IFERROR(__xludf.DUMMYFUNCTION("""COMPUTED_VALUE"""),109.0)</f>
        <v>109</v>
      </c>
      <c r="F1328" s="4">
        <f>IFERROR(__xludf.DUMMYFUNCTION("""COMPUTED_VALUE"""),5.0)</f>
        <v>5</v>
      </c>
      <c r="G1328" s="4">
        <f>IFERROR(__xludf.DUMMYFUNCTION("""COMPUTED_VALUE"""),1382.0)</f>
        <v>1382</v>
      </c>
      <c r="H1328" s="5">
        <f>IFERROR(__xludf.DUMMYFUNCTION("""COMPUTED_VALUE"""),7289.08)</f>
        <v>7289.08</v>
      </c>
      <c r="I1328" s="5">
        <f>IFERROR(__xludf.DUMMYFUNCTION("""COMPUTED_VALUE"""),7210.98)</f>
        <v>7210.98</v>
      </c>
      <c r="J1328" s="5">
        <f>IFERROR(__xludf.DUMMYFUNCTION("""COMPUTED_VALUE"""),6555.4)</f>
        <v>6555.4</v>
      </c>
      <c r="K1328" s="5">
        <f>IFERROR(__xludf.DUMMYFUNCTION("""COMPUTED_VALUE"""),5246.59)</f>
        <v>5246.59</v>
      </c>
      <c r="L1328" s="4">
        <f>IFERROR(__xludf.DUMMYFUNCTION("""COMPUTED_VALUE"""),3.0)</f>
        <v>3</v>
      </c>
      <c r="M1328" s="4">
        <f>IFERROR(__xludf.DUMMYFUNCTION("""COMPUTED_VALUE"""),53.0)</f>
        <v>53</v>
      </c>
      <c r="N1328" s="2" t="str">
        <f>IFERROR(__xludf.DUMMYFUNCTION("""COMPUTED_VALUE"""),"VERDADERO")</f>
        <v>VERDADERO</v>
      </c>
    </row>
    <row r="1329">
      <c r="A1329" s="2">
        <f>IFERROR(__xludf.DUMMYFUNCTION("""COMPUTED_VALUE"""),1328.0)</f>
        <v>1328</v>
      </c>
      <c r="B1329" s="2" t="str">
        <f>IFERROR(__xludf.DUMMYFUNCTION("""COMPUTED_VALUE"""),"Jamima Ricketts")</f>
        <v>Jamima Ricketts</v>
      </c>
      <c r="C1329" s="2" t="str">
        <f>IFERROR(__xludf.DUMMYFUNCTION("""COMPUTED_VALUE"""),"jricketts94@tripod.com")</f>
        <v>jricketts94@tripod.com</v>
      </c>
      <c r="D1329" s="4">
        <f>IFERROR(__xludf.DUMMYFUNCTION("""COMPUTED_VALUE"""),65.0)</f>
        <v>65</v>
      </c>
      <c r="E1329" s="4">
        <f>IFERROR(__xludf.DUMMYFUNCTION("""COMPUTED_VALUE"""),48.0)</f>
        <v>48</v>
      </c>
      <c r="F1329" s="4">
        <f>IFERROR(__xludf.DUMMYFUNCTION("""COMPUTED_VALUE"""),4.0)</f>
        <v>4</v>
      </c>
      <c r="G1329" s="4">
        <f>IFERROR(__xludf.DUMMYFUNCTION("""COMPUTED_VALUE"""),1103.0)</f>
        <v>1103</v>
      </c>
      <c r="H1329" s="5">
        <f>IFERROR(__xludf.DUMMYFUNCTION("""COMPUTED_VALUE"""),4776.4)</f>
        <v>4776.4</v>
      </c>
      <c r="I1329" s="5">
        <f>IFERROR(__xludf.DUMMYFUNCTION("""COMPUTED_VALUE"""),8856.23)</f>
        <v>8856.23</v>
      </c>
      <c r="J1329" s="5">
        <f>IFERROR(__xludf.DUMMYFUNCTION("""COMPUTED_VALUE"""),8455.98)</f>
        <v>8455.98</v>
      </c>
      <c r="K1329" s="5">
        <f>IFERROR(__xludf.DUMMYFUNCTION("""COMPUTED_VALUE"""),1795.84)</f>
        <v>1795.84</v>
      </c>
      <c r="L1329" s="4">
        <f>IFERROR(__xludf.DUMMYFUNCTION("""COMPUTED_VALUE"""),11.0)</f>
        <v>11</v>
      </c>
      <c r="M1329" s="4">
        <f>IFERROR(__xludf.DUMMYFUNCTION("""COMPUTED_VALUE"""),46.0)</f>
        <v>46</v>
      </c>
      <c r="N1329" s="2" t="str">
        <f>IFERROR(__xludf.DUMMYFUNCTION("""COMPUTED_VALUE"""),"FALSO")</f>
        <v>FALSO</v>
      </c>
    </row>
    <row r="1330">
      <c r="A1330" s="2">
        <f>IFERROR(__xludf.DUMMYFUNCTION("""COMPUTED_VALUE"""),1329.0)</f>
        <v>1329</v>
      </c>
      <c r="B1330" s="2" t="str">
        <f>IFERROR(__xludf.DUMMYFUNCTION("""COMPUTED_VALUE"""),"Silvana Holton")</f>
        <v>Silvana Holton</v>
      </c>
      <c r="C1330" s="2" t="str">
        <f>IFERROR(__xludf.DUMMYFUNCTION("""COMPUTED_VALUE"""),"sholton95@histats.com")</f>
        <v>sholton95@histats.com</v>
      </c>
      <c r="D1330" s="4">
        <f>IFERROR(__xludf.DUMMYFUNCTION("""COMPUTED_VALUE"""),98.0)</f>
        <v>98</v>
      </c>
      <c r="E1330" s="4">
        <f>IFERROR(__xludf.DUMMYFUNCTION("""COMPUTED_VALUE"""),54.0)</f>
        <v>54</v>
      </c>
      <c r="F1330" s="4">
        <f>IFERROR(__xludf.DUMMYFUNCTION("""COMPUTED_VALUE"""),10.0)</f>
        <v>10</v>
      </c>
      <c r="G1330" s="4">
        <f>IFERROR(__xludf.DUMMYFUNCTION("""COMPUTED_VALUE"""),701.0)</f>
        <v>701</v>
      </c>
      <c r="H1330" s="5">
        <f>IFERROR(__xludf.DUMMYFUNCTION("""COMPUTED_VALUE"""),8395.52)</f>
        <v>8395.52</v>
      </c>
      <c r="I1330" s="5">
        <f>IFERROR(__xludf.DUMMYFUNCTION("""COMPUTED_VALUE"""),6015.62)</f>
        <v>6015.62</v>
      </c>
      <c r="J1330" s="5">
        <f>IFERROR(__xludf.DUMMYFUNCTION("""COMPUTED_VALUE"""),5468.66)</f>
        <v>5468.66</v>
      </c>
      <c r="K1330" s="5">
        <f>IFERROR(__xludf.DUMMYFUNCTION("""COMPUTED_VALUE"""),353.9)</f>
        <v>353.9</v>
      </c>
      <c r="L1330" s="4">
        <f>IFERROR(__xludf.DUMMYFUNCTION("""COMPUTED_VALUE"""),14.0)</f>
        <v>14</v>
      </c>
      <c r="M1330" s="4">
        <f>IFERROR(__xludf.DUMMYFUNCTION("""COMPUTED_VALUE"""),34.0)</f>
        <v>34</v>
      </c>
      <c r="N1330" s="2" t="str">
        <f>IFERROR(__xludf.DUMMYFUNCTION("""COMPUTED_VALUE"""),"FALSO")</f>
        <v>FALSO</v>
      </c>
    </row>
    <row r="1331">
      <c r="A1331" s="2">
        <f>IFERROR(__xludf.DUMMYFUNCTION("""COMPUTED_VALUE"""),1330.0)</f>
        <v>1330</v>
      </c>
      <c r="B1331" s="2" t="str">
        <f>IFERROR(__xludf.DUMMYFUNCTION("""COMPUTED_VALUE"""),"Aarika Zollner")</f>
        <v>Aarika Zollner</v>
      </c>
      <c r="C1331" s="2" t="str">
        <f>IFERROR(__xludf.DUMMYFUNCTION("""COMPUTED_VALUE"""),"azollner96@alibaba.com")</f>
        <v>azollner96@alibaba.com</v>
      </c>
      <c r="D1331" s="4">
        <f>IFERROR(__xludf.DUMMYFUNCTION("""COMPUTED_VALUE"""),124.0)</f>
        <v>124</v>
      </c>
      <c r="E1331" s="4">
        <f>IFERROR(__xludf.DUMMYFUNCTION("""COMPUTED_VALUE"""),66.0)</f>
        <v>66</v>
      </c>
      <c r="F1331" s="4">
        <f>IFERROR(__xludf.DUMMYFUNCTION("""COMPUTED_VALUE"""),6.0)</f>
        <v>6</v>
      </c>
      <c r="G1331" s="4">
        <f>IFERROR(__xludf.DUMMYFUNCTION("""COMPUTED_VALUE"""),823.0)</f>
        <v>823</v>
      </c>
      <c r="H1331" s="5">
        <f>IFERROR(__xludf.DUMMYFUNCTION("""COMPUTED_VALUE"""),2760.38)</f>
        <v>2760.38</v>
      </c>
      <c r="I1331" s="5">
        <f>IFERROR(__xludf.DUMMYFUNCTION("""COMPUTED_VALUE"""),2925.58)</f>
        <v>2925.58</v>
      </c>
      <c r="J1331" s="5">
        <f>IFERROR(__xludf.DUMMYFUNCTION("""COMPUTED_VALUE"""),9001.55)</f>
        <v>9001.55</v>
      </c>
      <c r="K1331" s="5">
        <f>IFERROR(__xludf.DUMMYFUNCTION("""COMPUTED_VALUE"""),7724.59)</f>
        <v>7724.59</v>
      </c>
      <c r="L1331" s="4">
        <f>IFERROR(__xludf.DUMMYFUNCTION("""COMPUTED_VALUE"""),17.0)</f>
        <v>17</v>
      </c>
      <c r="M1331" s="4">
        <f>IFERROR(__xludf.DUMMYFUNCTION("""COMPUTED_VALUE"""),46.0)</f>
        <v>46</v>
      </c>
      <c r="N1331" s="2" t="str">
        <f>IFERROR(__xludf.DUMMYFUNCTION("""COMPUTED_VALUE"""),"FALSO")</f>
        <v>FALSO</v>
      </c>
    </row>
    <row r="1332">
      <c r="A1332" s="2">
        <f>IFERROR(__xludf.DUMMYFUNCTION("""COMPUTED_VALUE"""),1331.0)</f>
        <v>1331</v>
      </c>
      <c r="B1332" s="2" t="str">
        <f>IFERROR(__xludf.DUMMYFUNCTION("""COMPUTED_VALUE"""),"Leif Okell")</f>
        <v>Leif Okell</v>
      </c>
      <c r="C1332" s="2" t="str">
        <f>IFERROR(__xludf.DUMMYFUNCTION("""COMPUTED_VALUE"""),"lokell97@people.com.cn")</f>
        <v>lokell97@people.com.cn</v>
      </c>
      <c r="D1332" s="4">
        <f>IFERROR(__xludf.DUMMYFUNCTION("""COMPUTED_VALUE"""),29.0)</f>
        <v>29</v>
      </c>
      <c r="E1332" s="4">
        <f>IFERROR(__xludf.DUMMYFUNCTION("""COMPUTED_VALUE"""),119.0)</f>
        <v>119</v>
      </c>
      <c r="F1332" s="4">
        <f>IFERROR(__xludf.DUMMYFUNCTION("""COMPUTED_VALUE"""),1.0)</f>
        <v>1</v>
      </c>
      <c r="G1332" s="4">
        <f>IFERROR(__xludf.DUMMYFUNCTION("""COMPUTED_VALUE"""),1366.0)</f>
        <v>1366</v>
      </c>
      <c r="H1332" s="5">
        <f>IFERROR(__xludf.DUMMYFUNCTION("""COMPUTED_VALUE"""),5424.77)</f>
        <v>5424.77</v>
      </c>
      <c r="I1332" s="5">
        <f>IFERROR(__xludf.DUMMYFUNCTION("""COMPUTED_VALUE"""),6095.94)</f>
        <v>6095.94</v>
      </c>
      <c r="J1332" s="5">
        <f>IFERROR(__xludf.DUMMYFUNCTION("""COMPUTED_VALUE"""),469.64)</f>
        <v>469.64</v>
      </c>
      <c r="K1332" s="5">
        <f>IFERROR(__xludf.DUMMYFUNCTION("""COMPUTED_VALUE"""),7421.29)</f>
        <v>7421.29</v>
      </c>
      <c r="L1332" s="4">
        <f>IFERROR(__xludf.DUMMYFUNCTION("""COMPUTED_VALUE"""),12.0)</f>
        <v>12</v>
      </c>
      <c r="M1332" s="4">
        <f>IFERROR(__xludf.DUMMYFUNCTION("""COMPUTED_VALUE"""),93.0)</f>
        <v>93</v>
      </c>
      <c r="N1332" s="2" t="str">
        <f>IFERROR(__xludf.DUMMYFUNCTION("""COMPUTED_VALUE"""),"FALSO")</f>
        <v>FALSO</v>
      </c>
    </row>
    <row r="1333">
      <c r="A1333" s="2">
        <f>IFERROR(__xludf.DUMMYFUNCTION("""COMPUTED_VALUE"""),1332.0)</f>
        <v>1332</v>
      </c>
      <c r="B1333" s="2" t="str">
        <f>IFERROR(__xludf.DUMMYFUNCTION("""COMPUTED_VALUE"""),"Clemmie Mainstone")</f>
        <v>Clemmie Mainstone</v>
      </c>
      <c r="C1333" s="2" t="str">
        <f>IFERROR(__xludf.DUMMYFUNCTION("""COMPUTED_VALUE"""),"cmainstone98@is.gd")</f>
        <v>cmainstone98@is.gd</v>
      </c>
      <c r="D1333" s="4">
        <f>IFERROR(__xludf.DUMMYFUNCTION("""COMPUTED_VALUE"""),122.0)</f>
        <v>122</v>
      </c>
      <c r="E1333" s="4">
        <f>IFERROR(__xludf.DUMMYFUNCTION("""COMPUTED_VALUE"""),8.0)</f>
        <v>8</v>
      </c>
      <c r="F1333" s="4">
        <f>IFERROR(__xludf.DUMMYFUNCTION("""COMPUTED_VALUE"""),8.0)</f>
        <v>8</v>
      </c>
      <c r="G1333" s="4">
        <f>IFERROR(__xludf.DUMMYFUNCTION("""COMPUTED_VALUE"""),633.0)</f>
        <v>633</v>
      </c>
      <c r="H1333" s="5">
        <f>IFERROR(__xludf.DUMMYFUNCTION("""COMPUTED_VALUE"""),1553.04)</f>
        <v>1553.04</v>
      </c>
      <c r="I1333" s="5">
        <f>IFERROR(__xludf.DUMMYFUNCTION("""COMPUTED_VALUE"""),728.83)</f>
        <v>728.83</v>
      </c>
      <c r="J1333" s="5">
        <f>IFERROR(__xludf.DUMMYFUNCTION("""COMPUTED_VALUE"""),1459.13)</f>
        <v>1459.13</v>
      </c>
      <c r="K1333" s="5">
        <f>IFERROR(__xludf.DUMMYFUNCTION("""COMPUTED_VALUE"""),3308.74)</f>
        <v>3308.74</v>
      </c>
      <c r="L1333" s="4">
        <f>IFERROR(__xludf.DUMMYFUNCTION("""COMPUTED_VALUE"""),5.0)</f>
        <v>5</v>
      </c>
      <c r="M1333" s="4">
        <f>IFERROR(__xludf.DUMMYFUNCTION("""COMPUTED_VALUE"""),55.0)</f>
        <v>55</v>
      </c>
      <c r="N1333" s="2" t="str">
        <f>IFERROR(__xludf.DUMMYFUNCTION("""COMPUTED_VALUE"""),"VERDADERO")</f>
        <v>VERDADERO</v>
      </c>
    </row>
    <row r="1334">
      <c r="A1334" s="2">
        <f>IFERROR(__xludf.DUMMYFUNCTION("""COMPUTED_VALUE"""),1333.0)</f>
        <v>1333</v>
      </c>
      <c r="B1334" s="2" t="str">
        <f>IFERROR(__xludf.DUMMYFUNCTION("""COMPUTED_VALUE"""),"Hortensia Heathfield")</f>
        <v>Hortensia Heathfield</v>
      </c>
      <c r="C1334" s="2" t="str">
        <f>IFERROR(__xludf.DUMMYFUNCTION("""COMPUTED_VALUE"""),"hheathfield99@e-recht24.de")</f>
        <v>hheathfield99@e-recht24.de</v>
      </c>
      <c r="D1334" s="4">
        <f>IFERROR(__xludf.DUMMYFUNCTION("""COMPUTED_VALUE"""),29.0)</f>
        <v>29</v>
      </c>
      <c r="E1334" s="4">
        <f>IFERROR(__xludf.DUMMYFUNCTION("""COMPUTED_VALUE"""),58.0)</f>
        <v>58</v>
      </c>
      <c r="F1334" s="4">
        <f>IFERROR(__xludf.DUMMYFUNCTION("""COMPUTED_VALUE"""),11.0)</f>
        <v>11</v>
      </c>
      <c r="G1334" s="4">
        <f>IFERROR(__xludf.DUMMYFUNCTION("""COMPUTED_VALUE"""),13.0)</f>
        <v>13</v>
      </c>
      <c r="H1334" s="5">
        <f>IFERROR(__xludf.DUMMYFUNCTION("""COMPUTED_VALUE"""),7458.56)</f>
        <v>7458.56</v>
      </c>
      <c r="I1334" s="5">
        <f>IFERROR(__xludf.DUMMYFUNCTION("""COMPUTED_VALUE"""),3936.42)</f>
        <v>3936.42</v>
      </c>
      <c r="J1334" s="5">
        <f>IFERROR(__xludf.DUMMYFUNCTION("""COMPUTED_VALUE"""),5834.02)</f>
        <v>5834.02</v>
      </c>
      <c r="K1334" s="5">
        <f>IFERROR(__xludf.DUMMYFUNCTION("""COMPUTED_VALUE"""),7940.23)</f>
        <v>7940.23</v>
      </c>
      <c r="L1334" s="4">
        <f>IFERROR(__xludf.DUMMYFUNCTION("""COMPUTED_VALUE"""),19.0)</f>
        <v>19</v>
      </c>
      <c r="M1334" s="4">
        <f>IFERROR(__xludf.DUMMYFUNCTION("""COMPUTED_VALUE"""),37.0)</f>
        <v>37</v>
      </c>
      <c r="N1334" s="2" t="str">
        <f>IFERROR(__xludf.DUMMYFUNCTION("""COMPUTED_VALUE"""),"VERDADERO")</f>
        <v>VERDADERO</v>
      </c>
    </row>
    <row r="1335">
      <c r="A1335" s="2">
        <f>IFERROR(__xludf.DUMMYFUNCTION("""COMPUTED_VALUE"""),1334.0)</f>
        <v>1334</v>
      </c>
      <c r="B1335" s="2" t="str">
        <f>IFERROR(__xludf.DUMMYFUNCTION("""COMPUTED_VALUE"""),"Gigi Goodlad")</f>
        <v>Gigi Goodlad</v>
      </c>
      <c r="C1335" s="2" t="str">
        <f>IFERROR(__xludf.DUMMYFUNCTION("""COMPUTED_VALUE"""),"ggoodlad9a@theguardian.com")</f>
        <v>ggoodlad9a@theguardian.com</v>
      </c>
      <c r="D1335" s="4">
        <f>IFERROR(__xludf.DUMMYFUNCTION("""COMPUTED_VALUE"""),94.0)</f>
        <v>94</v>
      </c>
      <c r="E1335" s="4">
        <f>IFERROR(__xludf.DUMMYFUNCTION("""COMPUTED_VALUE"""),97.0)</f>
        <v>97</v>
      </c>
      <c r="F1335" s="4">
        <f>IFERROR(__xludf.DUMMYFUNCTION("""COMPUTED_VALUE"""),9.0)</f>
        <v>9</v>
      </c>
      <c r="G1335" s="4">
        <f>IFERROR(__xludf.DUMMYFUNCTION("""COMPUTED_VALUE"""),1258.0)</f>
        <v>1258</v>
      </c>
      <c r="H1335" s="5">
        <f>IFERROR(__xludf.DUMMYFUNCTION("""COMPUTED_VALUE"""),616.66)</f>
        <v>616.66</v>
      </c>
      <c r="I1335" s="5">
        <f>IFERROR(__xludf.DUMMYFUNCTION("""COMPUTED_VALUE"""),7525.63)</f>
        <v>7525.63</v>
      </c>
      <c r="J1335" s="5">
        <f>IFERROR(__xludf.DUMMYFUNCTION("""COMPUTED_VALUE"""),9679.1)</f>
        <v>9679.1</v>
      </c>
      <c r="K1335" s="5">
        <f>IFERROR(__xludf.DUMMYFUNCTION("""COMPUTED_VALUE"""),9257.93)</f>
        <v>9257.93</v>
      </c>
      <c r="L1335" s="4">
        <f>IFERROR(__xludf.DUMMYFUNCTION("""COMPUTED_VALUE"""),13.0)</f>
        <v>13</v>
      </c>
      <c r="M1335" s="4">
        <f>IFERROR(__xludf.DUMMYFUNCTION("""COMPUTED_VALUE"""),96.0)</f>
        <v>96</v>
      </c>
      <c r="N1335" s="2" t="str">
        <f>IFERROR(__xludf.DUMMYFUNCTION("""COMPUTED_VALUE"""),"FALSO")</f>
        <v>FALSO</v>
      </c>
    </row>
    <row r="1336">
      <c r="A1336" s="2">
        <f>IFERROR(__xludf.DUMMYFUNCTION("""COMPUTED_VALUE"""),1335.0)</f>
        <v>1335</v>
      </c>
      <c r="B1336" s="2" t="str">
        <f>IFERROR(__xludf.DUMMYFUNCTION("""COMPUTED_VALUE"""),"Sammy Finey")</f>
        <v>Sammy Finey</v>
      </c>
      <c r="C1336" s="2" t="str">
        <f>IFERROR(__xludf.DUMMYFUNCTION("""COMPUTED_VALUE"""),"sfiney9b@noaa.gov")</f>
        <v>sfiney9b@noaa.gov</v>
      </c>
      <c r="D1336" s="4">
        <f>IFERROR(__xludf.DUMMYFUNCTION("""COMPUTED_VALUE"""),29.0)</f>
        <v>29</v>
      </c>
      <c r="E1336" s="4">
        <f>IFERROR(__xludf.DUMMYFUNCTION("""COMPUTED_VALUE"""),107.0)</f>
        <v>107</v>
      </c>
      <c r="F1336" s="4">
        <f>IFERROR(__xludf.DUMMYFUNCTION("""COMPUTED_VALUE"""),5.0)</f>
        <v>5</v>
      </c>
      <c r="G1336" s="4">
        <f>IFERROR(__xludf.DUMMYFUNCTION("""COMPUTED_VALUE"""),1566.0)</f>
        <v>1566</v>
      </c>
      <c r="H1336" s="5">
        <f>IFERROR(__xludf.DUMMYFUNCTION("""COMPUTED_VALUE"""),1017.15)</f>
        <v>1017.15</v>
      </c>
      <c r="I1336" s="5">
        <f>IFERROR(__xludf.DUMMYFUNCTION("""COMPUTED_VALUE"""),5003.1)</f>
        <v>5003.1</v>
      </c>
      <c r="J1336" s="5">
        <f>IFERROR(__xludf.DUMMYFUNCTION("""COMPUTED_VALUE"""),5310.22)</f>
        <v>5310.22</v>
      </c>
      <c r="K1336" s="5">
        <f>IFERROR(__xludf.DUMMYFUNCTION("""COMPUTED_VALUE"""),1261.41)</f>
        <v>1261.41</v>
      </c>
      <c r="L1336" s="4">
        <f>IFERROR(__xludf.DUMMYFUNCTION("""COMPUTED_VALUE"""),10.0)</f>
        <v>10</v>
      </c>
      <c r="M1336" s="4">
        <f>IFERROR(__xludf.DUMMYFUNCTION("""COMPUTED_VALUE"""),73.0)</f>
        <v>73</v>
      </c>
      <c r="N1336" s="2" t="str">
        <f>IFERROR(__xludf.DUMMYFUNCTION("""COMPUTED_VALUE"""),"VERDADERO")</f>
        <v>VERDADERO</v>
      </c>
    </row>
    <row r="1337">
      <c r="A1337" s="2">
        <f>IFERROR(__xludf.DUMMYFUNCTION("""COMPUTED_VALUE"""),1336.0)</f>
        <v>1336</v>
      </c>
      <c r="B1337" s="2" t="str">
        <f>IFERROR(__xludf.DUMMYFUNCTION("""COMPUTED_VALUE"""),"Micheil Bent")</f>
        <v>Micheil Bent</v>
      </c>
      <c r="C1337" s="2" t="str">
        <f>IFERROR(__xludf.DUMMYFUNCTION("""COMPUTED_VALUE"""),"mbent9c@umn.edu")</f>
        <v>mbent9c@umn.edu</v>
      </c>
      <c r="D1337" s="4">
        <f>IFERROR(__xludf.DUMMYFUNCTION("""COMPUTED_VALUE"""),29.0)</f>
        <v>29</v>
      </c>
      <c r="E1337" s="4">
        <f>IFERROR(__xludf.DUMMYFUNCTION("""COMPUTED_VALUE"""),6.0)</f>
        <v>6</v>
      </c>
      <c r="F1337" s="4">
        <f>IFERROR(__xludf.DUMMYFUNCTION("""COMPUTED_VALUE"""),13.0)</f>
        <v>13</v>
      </c>
      <c r="G1337" s="4">
        <f>IFERROR(__xludf.DUMMYFUNCTION("""COMPUTED_VALUE"""),312.0)</f>
        <v>312</v>
      </c>
      <c r="H1337" s="5">
        <f>IFERROR(__xludf.DUMMYFUNCTION("""COMPUTED_VALUE"""),5087.95)</f>
        <v>5087.95</v>
      </c>
      <c r="I1337" s="5">
        <f>IFERROR(__xludf.DUMMYFUNCTION("""COMPUTED_VALUE"""),4489.13)</f>
        <v>4489.13</v>
      </c>
      <c r="J1337" s="5">
        <f>IFERROR(__xludf.DUMMYFUNCTION("""COMPUTED_VALUE"""),9521.0)</f>
        <v>9521</v>
      </c>
      <c r="K1337" s="5">
        <f>IFERROR(__xludf.DUMMYFUNCTION("""COMPUTED_VALUE"""),5166.63)</f>
        <v>5166.63</v>
      </c>
      <c r="L1337" s="4">
        <f>IFERROR(__xludf.DUMMYFUNCTION("""COMPUTED_VALUE"""),20.0)</f>
        <v>20</v>
      </c>
      <c r="M1337" s="4">
        <f>IFERROR(__xludf.DUMMYFUNCTION("""COMPUTED_VALUE"""),44.0)</f>
        <v>44</v>
      </c>
      <c r="N1337" s="2" t="str">
        <f>IFERROR(__xludf.DUMMYFUNCTION("""COMPUTED_VALUE"""),"VERDADERO")</f>
        <v>VERDADERO</v>
      </c>
    </row>
    <row r="1338">
      <c r="A1338" s="2">
        <f>IFERROR(__xludf.DUMMYFUNCTION("""COMPUTED_VALUE"""),1337.0)</f>
        <v>1337</v>
      </c>
      <c r="B1338" s="2" t="str">
        <f>IFERROR(__xludf.DUMMYFUNCTION("""COMPUTED_VALUE"""),"Ardis Navarijo")</f>
        <v>Ardis Navarijo</v>
      </c>
      <c r="C1338" s="2" t="str">
        <f>IFERROR(__xludf.DUMMYFUNCTION("""COMPUTED_VALUE"""),"anavarijo9d@sakura.ne.jp")</f>
        <v>anavarijo9d@sakura.ne.jp</v>
      </c>
      <c r="D1338" s="4">
        <f>IFERROR(__xludf.DUMMYFUNCTION("""COMPUTED_VALUE"""),120.0)</f>
        <v>120</v>
      </c>
      <c r="E1338" s="4">
        <f>IFERROR(__xludf.DUMMYFUNCTION("""COMPUTED_VALUE"""),37.0)</f>
        <v>37</v>
      </c>
      <c r="F1338" s="4">
        <f>IFERROR(__xludf.DUMMYFUNCTION("""COMPUTED_VALUE"""),11.0)</f>
        <v>11</v>
      </c>
      <c r="G1338" s="4">
        <f>IFERROR(__xludf.DUMMYFUNCTION("""COMPUTED_VALUE"""),260.0)</f>
        <v>260</v>
      </c>
      <c r="H1338" s="5">
        <f>IFERROR(__xludf.DUMMYFUNCTION("""COMPUTED_VALUE"""),7213.68)</f>
        <v>7213.68</v>
      </c>
      <c r="I1338" s="5">
        <f>IFERROR(__xludf.DUMMYFUNCTION("""COMPUTED_VALUE"""),4491.64)</f>
        <v>4491.64</v>
      </c>
      <c r="J1338" s="5">
        <f>IFERROR(__xludf.DUMMYFUNCTION("""COMPUTED_VALUE"""),5391.79)</f>
        <v>5391.79</v>
      </c>
      <c r="K1338" s="5">
        <f>IFERROR(__xludf.DUMMYFUNCTION("""COMPUTED_VALUE"""),9850.22)</f>
        <v>9850.22</v>
      </c>
      <c r="L1338" s="4">
        <f>IFERROR(__xludf.DUMMYFUNCTION("""COMPUTED_VALUE"""),12.0)</f>
        <v>12</v>
      </c>
      <c r="M1338" s="4">
        <f>IFERROR(__xludf.DUMMYFUNCTION("""COMPUTED_VALUE"""),59.0)</f>
        <v>59</v>
      </c>
      <c r="N1338" s="2" t="str">
        <f>IFERROR(__xludf.DUMMYFUNCTION("""COMPUTED_VALUE"""),"VERDADERO")</f>
        <v>VERDADERO</v>
      </c>
    </row>
    <row r="1339">
      <c r="A1339" s="2">
        <f>IFERROR(__xludf.DUMMYFUNCTION("""COMPUTED_VALUE"""),1338.0)</f>
        <v>1338</v>
      </c>
      <c r="B1339" s="2" t="str">
        <f>IFERROR(__xludf.DUMMYFUNCTION("""COMPUTED_VALUE"""),"Codi Mirrlees")</f>
        <v>Codi Mirrlees</v>
      </c>
      <c r="C1339" s="2" t="str">
        <f>IFERROR(__xludf.DUMMYFUNCTION("""COMPUTED_VALUE"""),"cmirrlees9e@sciencedaily.com")</f>
        <v>cmirrlees9e@sciencedaily.com</v>
      </c>
      <c r="D1339" s="4">
        <f>IFERROR(__xludf.DUMMYFUNCTION("""COMPUTED_VALUE"""),29.0)</f>
        <v>29</v>
      </c>
      <c r="E1339" s="4">
        <f>IFERROR(__xludf.DUMMYFUNCTION("""COMPUTED_VALUE"""),46.0)</f>
        <v>46</v>
      </c>
      <c r="F1339" s="4">
        <f>IFERROR(__xludf.DUMMYFUNCTION("""COMPUTED_VALUE"""),13.0)</f>
        <v>13</v>
      </c>
      <c r="G1339" s="4">
        <f>IFERROR(__xludf.DUMMYFUNCTION("""COMPUTED_VALUE"""),47.0)</f>
        <v>47</v>
      </c>
      <c r="H1339" s="5">
        <f>IFERROR(__xludf.DUMMYFUNCTION("""COMPUTED_VALUE"""),9922.57)</f>
        <v>9922.57</v>
      </c>
      <c r="I1339" s="5">
        <f>IFERROR(__xludf.DUMMYFUNCTION("""COMPUTED_VALUE"""),3773.42)</f>
        <v>3773.42</v>
      </c>
      <c r="J1339" s="5">
        <f>IFERROR(__xludf.DUMMYFUNCTION("""COMPUTED_VALUE"""),7396.41)</f>
        <v>7396.41</v>
      </c>
      <c r="K1339" s="5">
        <f>IFERROR(__xludf.DUMMYFUNCTION("""COMPUTED_VALUE"""),3487.56)</f>
        <v>3487.56</v>
      </c>
      <c r="L1339" s="4">
        <f>IFERROR(__xludf.DUMMYFUNCTION("""COMPUTED_VALUE"""),18.0)</f>
        <v>18</v>
      </c>
      <c r="M1339" s="4">
        <f>IFERROR(__xludf.DUMMYFUNCTION("""COMPUTED_VALUE"""),88.0)</f>
        <v>88</v>
      </c>
      <c r="N1339" s="2" t="str">
        <f>IFERROR(__xludf.DUMMYFUNCTION("""COMPUTED_VALUE"""),"VERDADERO")</f>
        <v>VERDADERO</v>
      </c>
    </row>
    <row r="1340">
      <c r="A1340" s="2">
        <f>IFERROR(__xludf.DUMMYFUNCTION("""COMPUTED_VALUE"""),1339.0)</f>
        <v>1339</v>
      </c>
      <c r="B1340" s="2" t="str">
        <f>IFERROR(__xludf.DUMMYFUNCTION("""COMPUTED_VALUE"""),"Shepard Danilovic")</f>
        <v>Shepard Danilovic</v>
      </c>
      <c r="C1340" s="2" t="str">
        <f>IFERROR(__xludf.DUMMYFUNCTION("""COMPUTED_VALUE"""),"sdanilovic9f@twitter.com")</f>
        <v>sdanilovic9f@twitter.com</v>
      </c>
      <c r="D1340" s="4">
        <f>IFERROR(__xludf.DUMMYFUNCTION("""COMPUTED_VALUE"""),29.0)</f>
        <v>29</v>
      </c>
      <c r="E1340" s="4">
        <f>IFERROR(__xludf.DUMMYFUNCTION("""COMPUTED_VALUE"""),24.0)</f>
        <v>24</v>
      </c>
      <c r="F1340" s="4">
        <f>IFERROR(__xludf.DUMMYFUNCTION("""COMPUTED_VALUE"""),3.0)</f>
        <v>3</v>
      </c>
      <c r="G1340" s="4">
        <f>IFERROR(__xludf.DUMMYFUNCTION("""COMPUTED_VALUE"""),347.0)</f>
        <v>347</v>
      </c>
      <c r="H1340" s="5">
        <f>IFERROR(__xludf.DUMMYFUNCTION("""COMPUTED_VALUE"""),7547.22)</f>
        <v>7547.22</v>
      </c>
      <c r="I1340" s="5">
        <f>IFERROR(__xludf.DUMMYFUNCTION("""COMPUTED_VALUE"""),9447.48)</f>
        <v>9447.48</v>
      </c>
      <c r="J1340" s="5">
        <f>IFERROR(__xludf.DUMMYFUNCTION("""COMPUTED_VALUE"""),1845.82)</f>
        <v>1845.82</v>
      </c>
      <c r="K1340" s="5">
        <f>IFERROR(__xludf.DUMMYFUNCTION("""COMPUTED_VALUE"""),5988.56)</f>
        <v>5988.56</v>
      </c>
      <c r="L1340" s="4">
        <f>IFERROR(__xludf.DUMMYFUNCTION("""COMPUTED_VALUE"""),14.0)</f>
        <v>14</v>
      </c>
      <c r="M1340" s="4">
        <f>IFERROR(__xludf.DUMMYFUNCTION("""COMPUTED_VALUE"""),31.0)</f>
        <v>31</v>
      </c>
      <c r="N1340" s="2" t="str">
        <f>IFERROR(__xludf.DUMMYFUNCTION("""COMPUTED_VALUE"""),"VERDADERO")</f>
        <v>VERDADERO</v>
      </c>
    </row>
    <row r="1341">
      <c r="A1341" s="2">
        <f>IFERROR(__xludf.DUMMYFUNCTION("""COMPUTED_VALUE"""),1340.0)</f>
        <v>1340</v>
      </c>
      <c r="B1341" s="2" t="str">
        <f>IFERROR(__xludf.DUMMYFUNCTION("""COMPUTED_VALUE"""),"Flora Clausius")</f>
        <v>Flora Clausius</v>
      </c>
      <c r="C1341" s="2" t="str">
        <f>IFERROR(__xludf.DUMMYFUNCTION("""COMPUTED_VALUE"""),"fclausius9g@nyu.edu")</f>
        <v>fclausius9g@nyu.edu</v>
      </c>
      <c r="D1341" s="4">
        <f>IFERROR(__xludf.DUMMYFUNCTION("""COMPUTED_VALUE"""),29.0)</f>
        <v>29</v>
      </c>
      <c r="E1341" s="4">
        <f>IFERROR(__xludf.DUMMYFUNCTION("""COMPUTED_VALUE"""),81.0)</f>
        <v>81</v>
      </c>
      <c r="F1341" s="4">
        <f>IFERROR(__xludf.DUMMYFUNCTION("""COMPUTED_VALUE"""),2.0)</f>
        <v>2</v>
      </c>
      <c r="G1341" s="4">
        <f>IFERROR(__xludf.DUMMYFUNCTION("""COMPUTED_VALUE"""),161.0)</f>
        <v>161</v>
      </c>
      <c r="H1341" s="5">
        <f>IFERROR(__xludf.DUMMYFUNCTION("""COMPUTED_VALUE"""),9596.35)</f>
        <v>9596.35</v>
      </c>
      <c r="I1341" s="5">
        <f>IFERROR(__xludf.DUMMYFUNCTION("""COMPUTED_VALUE"""),9270.69)</f>
        <v>9270.69</v>
      </c>
      <c r="J1341" s="5">
        <f>IFERROR(__xludf.DUMMYFUNCTION("""COMPUTED_VALUE"""),6973.29)</f>
        <v>6973.29</v>
      </c>
      <c r="K1341" s="5">
        <f>IFERROR(__xludf.DUMMYFUNCTION("""COMPUTED_VALUE"""),6622.64)</f>
        <v>6622.64</v>
      </c>
      <c r="L1341" s="4">
        <f>IFERROR(__xludf.DUMMYFUNCTION("""COMPUTED_VALUE"""),6.0)</f>
        <v>6</v>
      </c>
      <c r="M1341" s="4">
        <f>IFERROR(__xludf.DUMMYFUNCTION("""COMPUTED_VALUE"""),21.0)</f>
        <v>21</v>
      </c>
      <c r="N1341" s="2" t="str">
        <f>IFERROR(__xludf.DUMMYFUNCTION("""COMPUTED_VALUE"""),"VERDADERO")</f>
        <v>VERDADERO</v>
      </c>
    </row>
    <row r="1342">
      <c r="A1342" s="2">
        <f>IFERROR(__xludf.DUMMYFUNCTION("""COMPUTED_VALUE"""),1341.0)</f>
        <v>1341</v>
      </c>
      <c r="B1342" s="2" t="str">
        <f>IFERROR(__xludf.DUMMYFUNCTION("""COMPUTED_VALUE"""),"Winn Paterno")</f>
        <v>Winn Paterno</v>
      </c>
      <c r="C1342" s="2" t="str">
        <f>IFERROR(__xludf.DUMMYFUNCTION("""COMPUTED_VALUE"""),"wpaterno9h@blinklist.com")</f>
        <v>wpaterno9h@blinklist.com</v>
      </c>
      <c r="D1342" s="4">
        <f>IFERROR(__xludf.DUMMYFUNCTION("""COMPUTED_VALUE"""),124.0)</f>
        <v>124</v>
      </c>
      <c r="E1342" s="4">
        <f>IFERROR(__xludf.DUMMYFUNCTION("""COMPUTED_VALUE"""),124.0)</f>
        <v>124</v>
      </c>
      <c r="F1342" s="4">
        <f>IFERROR(__xludf.DUMMYFUNCTION("""COMPUTED_VALUE"""),1.0)</f>
        <v>1</v>
      </c>
      <c r="G1342" s="4">
        <f>IFERROR(__xludf.DUMMYFUNCTION("""COMPUTED_VALUE"""),103.0)</f>
        <v>103</v>
      </c>
      <c r="H1342" s="5">
        <f>IFERROR(__xludf.DUMMYFUNCTION("""COMPUTED_VALUE"""),5575.17)</f>
        <v>5575.17</v>
      </c>
      <c r="I1342" s="5">
        <f>IFERROR(__xludf.DUMMYFUNCTION("""COMPUTED_VALUE"""),3688.98)</f>
        <v>3688.98</v>
      </c>
      <c r="J1342" s="5">
        <f>IFERROR(__xludf.DUMMYFUNCTION("""COMPUTED_VALUE"""),8787.39)</f>
        <v>8787.39</v>
      </c>
      <c r="K1342" s="5">
        <f>IFERROR(__xludf.DUMMYFUNCTION("""COMPUTED_VALUE"""),6185.46)</f>
        <v>6185.46</v>
      </c>
      <c r="L1342" s="4">
        <f>IFERROR(__xludf.DUMMYFUNCTION("""COMPUTED_VALUE"""),2.0)</f>
        <v>2</v>
      </c>
      <c r="M1342" s="4">
        <f>IFERROR(__xludf.DUMMYFUNCTION("""COMPUTED_VALUE"""),21.0)</f>
        <v>21</v>
      </c>
      <c r="N1342" s="2" t="str">
        <f>IFERROR(__xludf.DUMMYFUNCTION("""COMPUTED_VALUE"""),"FALSO")</f>
        <v>FALSO</v>
      </c>
    </row>
    <row r="1343">
      <c r="A1343" s="2">
        <f>IFERROR(__xludf.DUMMYFUNCTION("""COMPUTED_VALUE"""),1342.0)</f>
        <v>1342</v>
      </c>
      <c r="B1343" s="2" t="str">
        <f>IFERROR(__xludf.DUMMYFUNCTION("""COMPUTED_VALUE"""),"Tessie Hearty")</f>
        <v>Tessie Hearty</v>
      </c>
      <c r="C1343" s="2" t="str">
        <f>IFERROR(__xludf.DUMMYFUNCTION("""COMPUTED_VALUE"""),"thearty9i@sciencedirect.com")</f>
        <v>thearty9i@sciencedirect.com</v>
      </c>
      <c r="D1343" s="4">
        <f>IFERROR(__xludf.DUMMYFUNCTION("""COMPUTED_VALUE"""),154.0)</f>
        <v>154</v>
      </c>
      <c r="E1343" s="4">
        <f>IFERROR(__xludf.DUMMYFUNCTION("""COMPUTED_VALUE"""),44.0)</f>
        <v>44</v>
      </c>
      <c r="F1343" s="4">
        <f>IFERROR(__xludf.DUMMYFUNCTION("""COMPUTED_VALUE"""),9.0)</f>
        <v>9</v>
      </c>
      <c r="G1343" s="4">
        <f>IFERROR(__xludf.DUMMYFUNCTION("""COMPUTED_VALUE"""),869.0)</f>
        <v>869</v>
      </c>
      <c r="H1343" s="5">
        <f>IFERROR(__xludf.DUMMYFUNCTION("""COMPUTED_VALUE"""),1748.54)</f>
        <v>1748.54</v>
      </c>
      <c r="I1343" s="5">
        <f>IFERROR(__xludf.DUMMYFUNCTION("""COMPUTED_VALUE"""),4801.3)</f>
        <v>4801.3</v>
      </c>
      <c r="J1343" s="5">
        <f>IFERROR(__xludf.DUMMYFUNCTION("""COMPUTED_VALUE"""),3883.79)</f>
        <v>3883.79</v>
      </c>
      <c r="K1343" s="5">
        <f>IFERROR(__xludf.DUMMYFUNCTION("""COMPUTED_VALUE"""),9562.07)</f>
        <v>9562.07</v>
      </c>
      <c r="L1343" s="4">
        <f>IFERROR(__xludf.DUMMYFUNCTION("""COMPUTED_VALUE"""),11.0)</f>
        <v>11</v>
      </c>
      <c r="M1343" s="4">
        <f>IFERROR(__xludf.DUMMYFUNCTION("""COMPUTED_VALUE"""),9.0)</f>
        <v>9</v>
      </c>
      <c r="N1343" s="2" t="str">
        <f>IFERROR(__xludf.DUMMYFUNCTION("""COMPUTED_VALUE"""),"FALSO")</f>
        <v>FALSO</v>
      </c>
    </row>
    <row r="1344">
      <c r="A1344" s="2">
        <f>IFERROR(__xludf.DUMMYFUNCTION("""COMPUTED_VALUE"""),1343.0)</f>
        <v>1343</v>
      </c>
      <c r="B1344" s="2" t="str">
        <f>IFERROR(__xludf.DUMMYFUNCTION("""COMPUTED_VALUE"""),"Lindsey Ledrun")</f>
        <v>Lindsey Ledrun</v>
      </c>
      <c r="C1344" s="2" t="str">
        <f>IFERROR(__xludf.DUMMYFUNCTION("""COMPUTED_VALUE"""),"lledrun9j@telegraph.co.uk")</f>
        <v>lledrun9j@telegraph.co.uk</v>
      </c>
      <c r="D1344" s="4">
        <f>IFERROR(__xludf.DUMMYFUNCTION("""COMPUTED_VALUE"""),17.0)</f>
        <v>17</v>
      </c>
      <c r="E1344" s="4">
        <f>IFERROR(__xludf.DUMMYFUNCTION("""COMPUTED_VALUE"""),81.0)</f>
        <v>81</v>
      </c>
      <c r="F1344" s="4">
        <f>IFERROR(__xludf.DUMMYFUNCTION("""COMPUTED_VALUE"""),2.0)</f>
        <v>2</v>
      </c>
      <c r="G1344" s="4">
        <f>IFERROR(__xludf.DUMMYFUNCTION("""COMPUTED_VALUE"""),95.0)</f>
        <v>95</v>
      </c>
      <c r="H1344" s="5">
        <f>IFERROR(__xludf.DUMMYFUNCTION("""COMPUTED_VALUE"""),7004.95)</f>
        <v>7004.95</v>
      </c>
      <c r="I1344" s="5">
        <f>IFERROR(__xludf.DUMMYFUNCTION("""COMPUTED_VALUE"""),1709.49)</f>
        <v>1709.49</v>
      </c>
      <c r="J1344" s="5">
        <f>IFERROR(__xludf.DUMMYFUNCTION("""COMPUTED_VALUE"""),4983.34)</f>
        <v>4983.34</v>
      </c>
      <c r="K1344" s="5">
        <f>IFERROR(__xludf.DUMMYFUNCTION("""COMPUTED_VALUE"""),5946.61)</f>
        <v>5946.61</v>
      </c>
      <c r="L1344" s="4">
        <f>IFERROR(__xludf.DUMMYFUNCTION("""COMPUTED_VALUE"""),9.0)</f>
        <v>9</v>
      </c>
      <c r="M1344" s="4">
        <f>IFERROR(__xludf.DUMMYFUNCTION("""COMPUTED_VALUE"""),85.0)</f>
        <v>85</v>
      </c>
      <c r="N1344" s="2" t="str">
        <f>IFERROR(__xludf.DUMMYFUNCTION("""COMPUTED_VALUE"""),"VERDADERO")</f>
        <v>VERDADERO</v>
      </c>
    </row>
    <row r="1345">
      <c r="A1345" s="2">
        <f>IFERROR(__xludf.DUMMYFUNCTION("""COMPUTED_VALUE"""),1344.0)</f>
        <v>1344</v>
      </c>
      <c r="B1345" s="2" t="str">
        <f>IFERROR(__xludf.DUMMYFUNCTION("""COMPUTED_VALUE"""),"Bathsheba Prujean")</f>
        <v>Bathsheba Prujean</v>
      </c>
      <c r="C1345" s="2" t="str">
        <f>IFERROR(__xludf.DUMMYFUNCTION("""COMPUTED_VALUE"""),"bprujean9k@elegantthemes.com")</f>
        <v>bprujean9k@elegantthemes.com</v>
      </c>
      <c r="D1345" s="4">
        <f>IFERROR(__xludf.DUMMYFUNCTION("""COMPUTED_VALUE"""),91.0)</f>
        <v>91</v>
      </c>
      <c r="E1345" s="4">
        <f>IFERROR(__xludf.DUMMYFUNCTION("""COMPUTED_VALUE"""),81.0)</f>
        <v>81</v>
      </c>
      <c r="F1345" s="4">
        <f>IFERROR(__xludf.DUMMYFUNCTION("""COMPUTED_VALUE"""),2.0)</f>
        <v>2</v>
      </c>
      <c r="G1345" s="4">
        <f>IFERROR(__xludf.DUMMYFUNCTION("""COMPUTED_VALUE"""),177.0)</f>
        <v>177</v>
      </c>
      <c r="H1345" s="5">
        <f>IFERROR(__xludf.DUMMYFUNCTION("""COMPUTED_VALUE"""),4241.57)</f>
        <v>4241.57</v>
      </c>
      <c r="I1345" s="5">
        <f>IFERROR(__xludf.DUMMYFUNCTION("""COMPUTED_VALUE"""),3203.25)</f>
        <v>3203.25</v>
      </c>
      <c r="J1345" s="5">
        <f>IFERROR(__xludf.DUMMYFUNCTION("""COMPUTED_VALUE"""),5579.16)</f>
        <v>5579.16</v>
      </c>
      <c r="K1345" s="5">
        <f>IFERROR(__xludf.DUMMYFUNCTION("""COMPUTED_VALUE"""),2530.19)</f>
        <v>2530.19</v>
      </c>
      <c r="L1345" s="4">
        <f>IFERROR(__xludf.DUMMYFUNCTION("""COMPUTED_VALUE"""),8.0)</f>
        <v>8</v>
      </c>
      <c r="M1345" s="4">
        <f>IFERROR(__xludf.DUMMYFUNCTION("""COMPUTED_VALUE"""),62.0)</f>
        <v>62</v>
      </c>
      <c r="N1345" s="2" t="str">
        <f>IFERROR(__xludf.DUMMYFUNCTION("""COMPUTED_VALUE"""),"VERDADERO")</f>
        <v>VERDADERO</v>
      </c>
    </row>
    <row r="1346">
      <c r="A1346" s="2">
        <f>IFERROR(__xludf.DUMMYFUNCTION("""COMPUTED_VALUE"""),1345.0)</f>
        <v>1345</v>
      </c>
      <c r="B1346" s="2" t="str">
        <f>IFERROR(__xludf.DUMMYFUNCTION("""COMPUTED_VALUE"""),"Belle Soltan")</f>
        <v>Belle Soltan</v>
      </c>
      <c r="C1346" s="2" t="str">
        <f>IFERROR(__xludf.DUMMYFUNCTION("""COMPUTED_VALUE"""),"bsoltan9l@fda.gov")</f>
        <v>bsoltan9l@fda.gov</v>
      </c>
      <c r="D1346" s="4">
        <f>IFERROR(__xludf.DUMMYFUNCTION("""COMPUTED_VALUE"""),17.0)</f>
        <v>17</v>
      </c>
      <c r="E1346" s="4">
        <f>IFERROR(__xludf.DUMMYFUNCTION("""COMPUTED_VALUE"""),123.0)</f>
        <v>123</v>
      </c>
      <c r="F1346" s="4">
        <f>IFERROR(__xludf.DUMMYFUNCTION("""COMPUTED_VALUE"""),7.0)</f>
        <v>7</v>
      </c>
      <c r="G1346" s="4">
        <f>IFERROR(__xludf.DUMMYFUNCTION("""COMPUTED_VALUE"""),1475.0)</f>
        <v>1475</v>
      </c>
      <c r="H1346" s="5">
        <f>IFERROR(__xludf.DUMMYFUNCTION("""COMPUTED_VALUE"""),4593.9)</f>
        <v>4593.9</v>
      </c>
      <c r="I1346" s="5">
        <f>IFERROR(__xludf.DUMMYFUNCTION("""COMPUTED_VALUE"""),7263.98)</f>
        <v>7263.98</v>
      </c>
      <c r="J1346" s="5">
        <f>IFERROR(__xludf.DUMMYFUNCTION("""COMPUTED_VALUE"""),6394.9)</f>
        <v>6394.9</v>
      </c>
      <c r="K1346" s="5">
        <f>IFERROR(__xludf.DUMMYFUNCTION("""COMPUTED_VALUE"""),177.43)</f>
        <v>177.43</v>
      </c>
      <c r="L1346" s="4">
        <f>IFERROR(__xludf.DUMMYFUNCTION("""COMPUTED_VALUE"""),19.0)</f>
        <v>19</v>
      </c>
      <c r="M1346" s="4">
        <f>IFERROR(__xludf.DUMMYFUNCTION("""COMPUTED_VALUE"""),57.0)</f>
        <v>57</v>
      </c>
      <c r="N1346" s="2" t="str">
        <f>IFERROR(__xludf.DUMMYFUNCTION("""COMPUTED_VALUE"""),"VERDADERO")</f>
        <v>VERDADERO</v>
      </c>
    </row>
    <row r="1347">
      <c r="A1347" s="2">
        <f>IFERROR(__xludf.DUMMYFUNCTION("""COMPUTED_VALUE"""),1346.0)</f>
        <v>1346</v>
      </c>
      <c r="B1347" s="2" t="str">
        <f>IFERROR(__xludf.DUMMYFUNCTION("""COMPUTED_VALUE"""),"Ari Pennell")</f>
        <v>Ari Pennell</v>
      </c>
      <c r="C1347" s="2" t="str">
        <f>IFERROR(__xludf.DUMMYFUNCTION("""COMPUTED_VALUE"""),"apennell9m@digg.com")</f>
        <v>apennell9m@digg.com</v>
      </c>
      <c r="D1347" s="4">
        <f>IFERROR(__xludf.DUMMYFUNCTION("""COMPUTED_VALUE"""),46.0)</f>
        <v>46</v>
      </c>
      <c r="E1347" s="4">
        <f>IFERROR(__xludf.DUMMYFUNCTION("""COMPUTED_VALUE"""),81.0)</f>
        <v>81</v>
      </c>
      <c r="F1347" s="4">
        <f>IFERROR(__xludf.DUMMYFUNCTION("""COMPUTED_VALUE"""),2.0)</f>
        <v>2</v>
      </c>
      <c r="G1347" s="4">
        <f>IFERROR(__xludf.DUMMYFUNCTION("""COMPUTED_VALUE"""),1450.0)</f>
        <v>1450</v>
      </c>
      <c r="H1347" s="5">
        <f>IFERROR(__xludf.DUMMYFUNCTION("""COMPUTED_VALUE"""),8324.64)</f>
        <v>8324.64</v>
      </c>
      <c r="I1347" s="5">
        <f>IFERROR(__xludf.DUMMYFUNCTION("""COMPUTED_VALUE"""),5442.44)</f>
        <v>5442.44</v>
      </c>
      <c r="J1347" s="5">
        <f>IFERROR(__xludf.DUMMYFUNCTION("""COMPUTED_VALUE"""),5908.82)</f>
        <v>5908.82</v>
      </c>
      <c r="K1347" s="5">
        <f>IFERROR(__xludf.DUMMYFUNCTION("""COMPUTED_VALUE"""),7524.79)</f>
        <v>7524.79</v>
      </c>
      <c r="L1347" s="4">
        <f>IFERROR(__xludf.DUMMYFUNCTION("""COMPUTED_VALUE"""),14.0)</f>
        <v>14</v>
      </c>
      <c r="M1347" s="4">
        <f>IFERROR(__xludf.DUMMYFUNCTION("""COMPUTED_VALUE"""),65.0)</f>
        <v>65</v>
      </c>
      <c r="N1347" s="2" t="str">
        <f>IFERROR(__xludf.DUMMYFUNCTION("""COMPUTED_VALUE"""),"FALSO")</f>
        <v>FALSO</v>
      </c>
    </row>
    <row r="1348">
      <c r="A1348" s="2">
        <f>IFERROR(__xludf.DUMMYFUNCTION("""COMPUTED_VALUE"""),1347.0)</f>
        <v>1347</v>
      </c>
      <c r="B1348" s="2" t="str">
        <f>IFERROR(__xludf.DUMMYFUNCTION("""COMPUTED_VALUE"""),"Alasteir Dandison")</f>
        <v>Alasteir Dandison</v>
      </c>
      <c r="C1348" s="2" t="str">
        <f>IFERROR(__xludf.DUMMYFUNCTION("""COMPUTED_VALUE"""),"adandison9n@addtoany.com")</f>
        <v>adandison9n@addtoany.com</v>
      </c>
      <c r="D1348" s="4">
        <f>IFERROR(__xludf.DUMMYFUNCTION("""COMPUTED_VALUE"""),61.0)</f>
        <v>61</v>
      </c>
      <c r="E1348" s="4">
        <f>IFERROR(__xludf.DUMMYFUNCTION("""COMPUTED_VALUE"""),81.0)</f>
        <v>81</v>
      </c>
      <c r="F1348" s="4">
        <f>IFERROR(__xludf.DUMMYFUNCTION("""COMPUTED_VALUE"""),2.0)</f>
        <v>2</v>
      </c>
      <c r="G1348" s="4">
        <f>IFERROR(__xludf.DUMMYFUNCTION("""COMPUTED_VALUE"""),568.0)</f>
        <v>568</v>
      </c>
      <c r="H1348" s="5">
        <f>IFERROR(__xludf.DUMMYFUNCTION("""COMPUTED_VALUE"""),48.68)</f>
        <v>48.68</v>
      </c>
      <c r="I1348" s="5">
        <f>IFERROR(__xludf.DUMMYFUNCTION("""COMPUTED_VALUE"""),1480.95)</f>
        <v>1480.95</v>
      </c>
      <c r="J1348" s="5">
        <f>IFERROR(__xludf.DUMMYFUNCTION("""COMPUTED_VALUE"""),7892.87)</f>
        <v>7892.87</v>
      </c>
      <c r="K1348" s="5">
        <f>IFERROR(__xludf.DUMMYFUNCTION("""COMPUTED_VALUE"""),7167.8)</f>
        <v>7167.8</v>
      </c>
      <c r="L1348" s="4">
        <f>IFERROR(__xludf.DUMMYFUNCTION("""COMPUTED_VALUE"""),17.0)</f>
        <v>17</v>
      </c>
      <c r="M1348" s="4">
        <f>IFERROR(__xludf.DUMMYFUNCTION("""COMPUTED_VALUE"""),92.0)</f>
        <v>92</v>
      </c>
      <c r="N1348" s="2" t="str">
        <f>IFERROR(__xludf.DUMMYFUNCTION("""COMPUTED_VALUE"""),"VERDADERO")</f>
        <v>VERDADERO</v>
      </c>
    </row>
    <row r="1349">
      <c r="A1349" s="2">
        <f>IFERROR(__xludf.DUMMYFUNCTION("""COMPUTED_VALUE"""),1348.0)</f>
        <v>1348</v>
      </c>
      <c r="B1349" s="2" t="str">
        <f>IFERROR(__xludf.DUMMYFUNCTION("""COMPUTED_VALUE"""),"Kellen Loveman")</f>
        <v>Kellen Loveman</v>
      </c>
      <c r="C1349" s="2" t="str">
        <f>IFERROR(__xludf.DUMMYFUNCTION("""COMPUTED_VALUE"""),"kloveman9o@mail.ru")</f>
        <v>kloveman9o@mail.ru</v>
      </c>
      <c r="D1349" s="4">
        <f>IFERROR(__xludf.DUMMYFUNCTION("""COMPUTED_VALUE"""),5.0)</f>
        <v>5</v>
      </c>
      <c r="E1349" s="4">
        <f>IFERROR(__xludf.DUMMYFUNCTION("""COMPUTED_VALUE"""),61.0)</f>
        <v>61</v>
      </c>
      <c r="F1349" s="4">
        <f>IFERROR(__xludf.DUMMYFUNCTION("""COMPUTED_VALUE"""),4.0)</f>
        <v>4</v>
      </c>
      <c r="G1349" s="4">
        <f>IFERROR(__xludf.DUMMYFUNCTION("""COMPUTED_VALUE"""),135.0)</f>
        <v>135</v>
      </c>
      <c r="H1349" s="5">
        <f>IFERROR(__xludf.DUMMYFUNCTION("""COMPUTED_VALUE"""),8387.16)</f>
        <v>8387.16</v>
      </c>
      <c r="I1349" s="5">
        <f>IFERROR(__xludf.DUMMYFUNCTION("""COMPUTED_VALUE"""),5024.14)</f>
        <v>5024.14</v>
      </c>
      <c r="J1349" s="5">
        <f>IFERROR(__xludf.DUMMYFUNCTION("""COMPUTED_VALUE"""),1460.11)</f>
        <v>1460.11</v>
      </c>
      <c r="K1349" s="5">
        <f>IFERROR(__xludf.DUMMYFUNCTION("""COMPUTED_VALUE"""),9487.88)</f>
        <v>9487.88</v>
      </c>
      <c r="L1349" s="4">
        <f>IFERROR(__xludf.DUMMYFUNCTION("""COMPUTED_VALUE"""),4.0)</f>
        <v>4</v>
      </c>
      <c r="M1349" s="4">
        <f>IFERROR(__xludf.DUMMYFUNCTION("""COMPUTED_VALUE"""),30.0)</f>
        <v>30</v>
      </c>
      <c r="N1349" s="2" t="str">
        <f>IFERROR(__xludf.DUMMYFUNCTION("""COMPUTED_VALUE"""),"FALSO")</f>
        <v>FALSO</v>
      </c>
    </row>
    <row r="1350">
      <c r="A1350" s="2">
        <f>IFERROR(__xludf.DUMMYFUNCTION("""COMPUTED_VALUE"""),1349.0)</f>
        <v>1349</v>
      </c>
      <c r="B1350" s="2" t="str">
        <f>IFERROR(__xludf.DUMMYFUNCTION("""COMPUTED_VALUE"""),"Alysa McGragh")</f>
        <v>Alysa McGragh</v>
      </c>
      <c r="C1350" s="2" t="str">
        <f>IFERROR(__xludf.DUMMYFUNCTION("""COMPUTED_VALUE"""),"amcgragh9p@about.com")</f>
        <v>amcgragh9p@about.com</v>
      </c>
      <c r="D1350" s="4">
        <f>IFERROR(__xludf.DUMMYFUNCTION("""COMPUTED_VALUE"""),29.0)</f>
        <v>29</v>
      </c>
      <c r="E1350" s="4">
        <f>IFERROR(__xludf.DUMMYFUNCTION("""COMPUTED_VALUE"""),66.0)</f>
        <v>66</v>
      </c>
      <c r="F1350" s="4">
        <f>IFERROR(__xludf.DUMMYFUNCTION("""COMPUTED_VALUE"""),6.0)</f>
        <v>6</v>
      </c>
      <c r="G1350" s="4">
        <f>IFERROR(__xludf.DUMMYFUNCTION("""COMPUTED_VALUE"""),104.0)</f>
        <v>104</v>
      </c>
      <c r="H1350" s="5">
        <f>IFERROR(__xludf.DUMMYFUNCTION("""COMPUTED_VALUE"""),8124.22)</f>
        <v>8124.22</v>
      </c>
      <c r="I1350" s="5">
        <f>IFERROR(__xludf.DUMMYFUNCTION("""COMPUTED_VALUE"""),382.45)</f>
        <v>382.45</v>
      </c>
      <c r="J1350" s="5">
        <f>IFERROR(__xludf.DUMMYFUNCTION("""COMPUTED_VALUE"""),9191.91)</f>
        <v>9191.91</v>
      </c>
      <c r="K1350" s="5">
        <f>IFERROR(__xludf.DUMMYFUNCTION("""COMPUTED_VALUE"""),8746.12)</f>
        <v>8746.12</v>
      </c>
      <c r="L1350" s="4">
        <f>IFERROR(__xludf.DUMMYFUNCTION("""COMPUTED_VALUE"""),10.0)</f>
        <v>10</v>
      </c>
      <c r="M1350" s="4">
        <f>IFERROR(__xludf.DUMMYFUNCTION("""COMPUTED_VALUE"""),15.0)</f>
        <v>15</v>
      </c>
      <c r="N1350" s="2" t="str">
        <f>IFERROR(__xludf.DUMMYFUNCTION("""COMPUTED_VALUE"""),"VERDADERO")</f>
        <v>VERDADERO</v>
      </c>
    </row>
    <row r="1351">
      <c r="A1351" s="2">
        <f>IFERROR(__xludf.DUMMYFUNCTION("""COMPUTED_VALUE"""),1350.0)</f>
        <v>1350</v>
      </c>
      <c r="B1351" s="2" t="str">
        <f>IFERROR(__xludf.DUMMYFUNCTION("""COMPUTED_VALUE"""),"Yasmin Pitbladdo")</f>
        <v>Yasmin Pitbladdo</v>
      </c>
      <c r="C1351" s="2" t="str">
        <f>IFERROR(__xludf.DUMMYFUNCTION("""COMPUTED_VALUE"""),"ypitbladdo9q@usgs.gov")</f>
        <v>ypitbladdo9q@usgs.gov</v>
      </c>
      <c r="D1351" s="4">
        <f>IFERROR(__xludf.DUMMYFUNCTION("""COMPUTED_VALUE"""),153.0)</f>
        <v>153</v>
      </c>
      <c r="E1351" s="4">
        <f>IFERROR(__xludf.DUMMYFUNCTION("""COMPUTED_VALUE"""),36.0)</f>
        <v>36</v>
      </c>
      <c r="F1351" s="4">
        <f>IFERROR(__xludf.DUMMYFUNCTION("""COMPUTED_VALUE"""),5.0)</f>
        <v>5</v>
      </c>
      <c r="G1351" s="4">
        <f>IFERROR(__xludf.DUMMYFUNCTION("""COMPUTED_VALUE"""),298.0)</f>
        <v>298</v>
      </c>
      <c r="H1351" s="5">
        <f>IFERROR(__xludf.DUMMYFUNCTION("""COMPUTED_VALUE"""),8611.55)</f>
        <v>8611.55</v>
      </c>
      <c r="I1351" s="5">
        <f>IFERROR(__xludf.DUMMYFUNCTION("""COMPUTED_VALUE"""),1299.68)</f>
        <v>1299.68</v>
      </c>
      <c r="J1351" s="5">
        <f>IFERROR(__xludf.DUMMYFUNCTION("""COMPUTED_VALUE"""),8591.33)</f>
        <v>8591.33</v>
      </c>
      <c r="K1351" s="5">
        <f>IFERROR(__xludf.DUMMYFUNCTION("""COMPUTED_VALUE"""),443.96)</f>
        <v>443.96</v>
      </c>
      <c r="L1351" s="4">
        <f>IFERROR(__xludf.DUMMYFUNCTION("""COMPUTED_VALUE"""),12.0)</f>
        <v>12</v>
      </c>
      <c r="M1351" s="4">
        <f>IFERROR(__xludf.DUMMYFUNCTION("""COMPUTED_VALUE"""),42.0)</f>
        <v>42</v>
      </c>
      <c r="N1351" s="2" t="str">
        <f>IFERROR(__xludf.DUMMYFUNCTION("""COMPUTED_VALUE"""),"FALSO")</f>
        <v>FALSO</v>
      </c>
    </row>
    <row r="1352">
      <c r="A1352" s="2">
        <f>IFERROR(__xludf.DUMMYFUNCTION("""COMPUTED_VALUE"""),1351.0)</f>
        <v>1351</v>
      </c>
      <c r="B1352" s="2" t="str">
        <f>IFERROR(__xludf.DUMMYFUNCTION("""COMPUTED_VALUE"""),"Sara-ann Guppey")</f>
        <v>Sara-ann Guppey</v>
      </c>
      <c r="C1352" s="2" t="str">
        <f>IFERROR(__xludf.DUMMYFUNCTION("""COMPUTED_VALUE"""),"sguppey9r@alexa.com")</f>
        <v>sguppey9r@alexa.com</v>
      </c>
      <c r="D1352" s="4">
        <f>IFERROR(__xludf.DUMMYFUNCTION("""COMPUTED_VALUE"""),153.0)</f>
        <v>153</v>
      </c>
      <c r="E1352" s="4">
        <f>IFERROR(__xludf.DUMMYFUNCTION("""COMPUTED_VALUE"""),66.0)</f>
        <v>66</v>
      </c>
      <c r="F1352" s="4">
        <f>IFERROR(__xludf.DUMMYFUNCTION("""COMPUTED_VALUE"""),6.0)</f>
        <v>6</v>
      </c>
      <c r="G1352" s="4">
        <f>IFERROR(__xludf.DUMMYFUNCTION("""COMPUTED_VALUE"""),997.0)</f>
        <v>997</v>
      </c>
      <c r="H1352" s="5">
        <f>IFERROR(__xludf.DUMMYFUNCTION("""COMPUTED_VALUE"""),345.87)</f>
        <v>345.87</v>
      </c>
      <c r="I1352" s="5">
        <f>IFERROR(__xludf.DUMMYFUNCTION("""COMPUTED_VALUE"""),6793.75)</f>
        <v>6793.75</v>
      </c>
      <c r="J1352" s="5">
        <f>IFERROR(__xludf.DUMMYFUNCTION("""COMPUTED_VALUE"""),4059.18)</f>
        <v>4059.18</v>
      </c>
      <c r="K1352" s="5">
        <f>IFERROR(__xludf.DUMMYFUNCTION("""COMPUTED_VALUE"""),2904.87)</f>
        <v>2904.87</v>
      </c>
      <c r="L1352" s="4">
        <f>IFERROR(__xludf.DUMMYFUNCTION("""COMPUTED_VALUE"""),16.0)</f>
        <v>16</v>
      </c>
      <c r="M1352" s="4">
        <f>IFERROR(__xludf.DUMMYFUNCTION("""COMPUTED_VALUE"""),56.0)</f>
        <v>56</v>
      </c>
      <c r="N1352" s="2" t="str">
        <f>IFERROR(__xludf.DUMMYFUNCTION("""COMPUTED_VALUE"""),"FALSO")</f>
        <v>FALSO</v>
      </c>
    </row>
    <row r="1353">
      <c r="A1353" s="2">
        <f>IFERROR(__xludf.DUMMYFUNCTION("""COMPUTED_VALUE"""),1352.0)</f>
        <v>1352</v>
      </c>
      <c r="B1353" s="2" t="str">
        <f>IFERROR(__xludf.DUMMYFUNCTION("""COMPUTED_VALUE"""),"Monroe Fallow")</f>
        <v>Monroe Fallow</v>
      </c>
      <c r="C1353" s="2" t="str">
        <f>IFERROR(__xludf.DUMMYFUNCTION("""COMPUTED_VALUE"""),"mfallow9s@narod.ru")</f>
        <v>mfallow9s@narod.ru</v>
      </c>
      <c r="D1353" s="4">
        <f>IFERROR(__xludf.DUMMYFUNCTION("""COMPUTED_VALUE"""),49.0)</f>
        <v>49</v>
      </c>
      <c r="E1353" s="4">
        <f>IFERROR(__xludf.DUMMYFUNCTION("""COMPUTED_VALUE"""),58.0)</f>
        <v>58</v>
      </c>
      <c r="F1353" s="4">
        <f>IFERROR(__xludf.DUMMYFUNCTION("""COMPUTED_VALUE"""),8.0)</f>
        <v>8</v>
      </c>
      <c r="G1353" s="4">
        <f>IFERROR(__xludf.DUMMYFUNCTION("""COMPUTED_VALUE"""),839.0)</f>
        <v>839</v>
      </c>
      <c r="H1353" s="5">
        <f>IFERROR(__xludf.DUMMYFUNCTION("""COMPUTED_VALUE"""),8239.92)</f>
        <v>8239.92</v>
      </c>
      <c r="I1353" s="5">
        <f>IFERROR(__xludf.DUMMYFUNCTION("""COMPUTED_VALUE"""),1584.22)</f>
        <v>1584.22</v>
      </c>
      <c r="J1353" s="5">
        <f>IFERROR(__xludf.DUMMYFUNCTION("""COMPUTED_VALUE"""),4353.79)</f>
        <v>4353.79</v>
      </c>
      <c r="K1353" s="5">
        <f>IFERROR(__xludf.DUMMYFUNCTION("""COMPUTED_VALUE"""),7635.93)</f>
        <v>7635.93</v>
      </c>
      <c r="L1353" s="4">
        <f>IFERROR(__xludf.DUMMYFUNCTION("""COMPUTED_VALUE"""),5.0)</f>
        <v>5</v>
      </c>
      <c r="M1353" s="4">
        <f>IFERROR(__xludf.DUMMYFUNCTION("""COMPUTED_VALUE"""),32.0)</f>
        <v>32</v>
      </c>
      <c r="N1353" s="2" t="str">
        <f>IFERROR(__xludf.DUMMYFUNCTION("""COMPUTED_VALUE"""),"FALSO")</f>
        <v>FALSO</v>
      </c>
    </row>
    <row r="1354">
      <c r="A1354" s="2">
        <f>IFERROR(__xludf.DUMMYFUNCTION("""COMPUTED_VALUE"""),1353.0)</f>
        <v>1353</v>
      </c>
      <c r="B1354" s="2" t="str">
        <f>IFERROR(__xludf.DUMMYFUNCTION("""COMPUTED_VALUE"""),"Raimondo Andryszczak")</f>
        <v>Raimondo Andryszczak</v>
      </c>
      <c r="C1354" s="2" t="str">
        <f>IFERROR(__xludf.DUMMYFUNCTION("""COMPUTED_VALUE"""),"randryszczak9t@parallels.com")</f>
        <v>randryszczak9t@parallels.com</v>
      </c>
      <c r="D1354" s="4">
        <f>IFERROR(__xludf.DUMMYFUNCTION("""COMPUTED_VALUE"""),137.0)</f>
        <v>137</v>
      </c>
      <c r="E1354" s="4">
        <f>IFERROR(__xludf.DUMMYFUNCTION("""COMPUTED_VALUE"""),75.0)</f>
        <v>75</v>
      </c>
      <c r="F1354" s="4">
        <f>IFERROR(__xludf.DUMMYFUNCTION("""COMPUTED_VALUE"""),9.0)</f>
        <v>9</v>
      </c>
      <c r="G1354" s="4">
        <f>IFERROR(__xludf.DUMMYFUNCTION("""COMPUTED_VALUE"""),1471.0)</f>
        <v>1471</v>
      </c>
      <c r="H1354" s="5">
        <f>IFERROR(__xludf.DUMMYFUNCTION("""COMPUTED_VALUE"""),797.42)</f>
        <v>797.42</v>
      </c>
      <c r="I1354" s="5">
        <f>IFERROR(__xludf.DUMMYFUNCTION("""COMPUTED_VALUE"""),1272.64)</f>
        <v>1272.64</v>
      </c>
      <c r="J1354" s="5">
        <f>IFERROR(__xludf.DUMMYFUNCTION("""COMPUTED_VALUE"""),9872.67)</f>
        <v>9872.67</v>
      </c>
      <c r="K1354" s="5">
        <f>IFERROR(__xludf.DUMMYFUNCTION("""COMPUTED_VALUE"""),8031.38)</f>
        <v>8031.38</v>
      </c>
      <c r="L1354" s="4">
        <f>IFERROR(__xludf.DUMMYFUNCTION("""COMPUTED_VALUE"""),3.0)</f>
        <v>3</v>
      </c>
      <c r="M1354" s="4">
        <f>IFERROR(__xludf.DUMMYFUNCTION("""COMPUTED_VALUE"""),100.0)</f>
        <v>100</v>
      </c>
      <c r="N1354" s="2" t="str">
        <f>IFERROR(__xludf.DUMMYFUNCTION("""COMPUTED_VALUE"""),"FALSO")</f>
        <v>FALSO</v>
      </c>
    </row>
    <row r="1355">
      <c r="A1355" s="2">
        <f>IFERROR(__xludf.DUMMYFUNCTION("""COMPUTED_VALUE"""),1354.0)</f>
        <v>1354</v>
      </c>
      <c r="B1355" s="2" t="str">
        <f>IFERROR(__xludf.DUMMYFUNCTION("""COMPUTED_VALUE"""),"Bax Tobias")</f>
        <v>Bax Tobias</v>
      </c>
      <c r="C1355" s="2" t="str">
        <f>IFERROR(__xludf.DUMMYFUNCTION("""COMPUTED_VALUE"""),"btobias9u@nba.com")</f>
        <v>btobias9u@nba.com</v>
      </c>
      <c r="D1355" s="4">
        <f>IFERROR(__xludf.DUMMYFUNCTION("""COMPUTED_VALUE"""),154.0)</f>
        <v>154</v>
      </c>
      <c r="E1355" s="4">
        <f>IFERROR(__xludf.DUMMYFUNCTION("""COMPUTED_VALUE"""),66.0)</f>
        <v>66</v>
      </c>
      <c r="F1355" s="4">
        <f>IFERROR(__xludf.DUMMYFUNCTION("""COMPUTED_VALUE"""),6.0)</f>
        <v>6</v>
      </c>
      <c r="G1355" s="4">
        <f>IFERROR(__xludf.DUMMYFUNCTION("""COMPUTED_VALUE"""),148.0)</f>
        <v>148</v>
      </c>
      <c r="H1355" s="5">
        <f>IFERROR(__xludf.DUMMYFUNCTION("""COMPUTED_VALUE"""),1922.21)</f>
        <v>1922.21</v>
      </c>
      <c r="I1355" s="5">
        <f>IFERROR(__xludf.DUMMYFUNCTION("""COMPUTED_VALUE"""),6481.74)</f>
        <v>6481.74</v>
      </c>
      <c r="J1355" s="5">
        <f>IFERROR(__xludf.DUMMYFUNCTION("""COMPUTED_VALUE"""),533.02)</f>
        <v>533.02</v>
      </c>
      <c r="K1355" s="5">
        <f>IFERROR(__xludf.DUMMYFUNCTION("""COMPUTED_VALUE"""),9404.68)</f>
        <v>9404.68</v>
      </c>
      <c r="L1355" s="4">
        <f>IFERROR(__xludf.DUMMYFUNCTION("""COMPUTED_VALUE"""),18.0)</f>
        <v>18</v>
      </c>
      <c r="M1355" s="4">
        <f>IFERROR(__xludf.DUMMYFUNCTION("""COMPUTED_VALUE"""),43.0)</f>
        <v>43</v>
      </c>
      <c r="N1355" s="2" t="str">
        <f>IFERROR(__xludf.DUMMYFUNCTION("""COMPUTED_VALUE"""),"FALSO")</f>
        <v>FALSO</v>
      </c>
    </row>
    <row r="1356">
      <c r="A1356" s="2">
        <f>IFERROR(__xludf.DUMMYFUNCTION("""COMPUTED_VALUE"""),1355.0)</f>
        <v>1355</v>
      </c>
      <c r="B1356" s="2" t="str">
        <f>IFERROR(__xludf.DUMMYFUNCTION("""COMPUTED_VALUE"""),"Lainey Adnam")</f>
        <v>Lainey Adnam</v>
      </c>
      <c r="C1356" s="2" t="str">
        <f>IFERROR(__xludf.DUMMYFUNCTION("""COMPUTED_VALUE"""),"ladnam9v@comsenz.com")</f>
        <v>ladnam9v@comsenz.com</v>
      </c>
      <c r="D1356" s="4">
        <f>IFERROR(__xludf.DUMMYFUNCTION("""COMPUTED_VALUE"""),124.0)</f>
        <v>124</v>
      </c>
      <c r="E1356" s="4">
        <f>IFERROR(__xludf.DUMMYFUNCTION("""COMPUTED_VALUE"""),39.0)</f>
        <v>39</v>
      </c>
      <c r="F1356" s="4">
        <f>IFERROR(__xludf.DUMMYFUNCTION("""COMPUTED_VALUE"""),11.0)</f>
        <v>11</v>
      </c>
      <c r="G1356" s="4">
        <f>IFERROR(__xludf.DUMMYFUNCTION("""COMPUTED_VALUE"""),748.0)</f>
        <v>748</v>
      </c>
      <c r="H1356" s="5">
        <f>IFERROR(__xludf.DUMMYFUNCTION("""COMPUTED_VALUE"""),4255.55)</f>
        <v>4255.55</v>
      </c>
      <c r="I1356" s="5">
        <f>IFERROR(__xludf.DUMMYFUNCTION("""COMPUTED_VALUE"""),5010.42)</f>
        <v>5010.42</v>
      </c>
      <c r="J1356" s="5">
        <f>IFERROR(__xludf.DUMMYFUNCTION("""COMPUTED_VALUE"""),8851.04)</f>
        <v>8851.04</v>
      </c>
      <c r="K1356" s="5">
        <f>IFERROR(__xludf.DUMMYFUNCTION("""COMPUTED_VALUE"""),6239.25)</f>
        <v>6239.25</v>
      </c>
      <c r="L1356" s="4">
        <f>IFERROR(__xludf.DUMMYFUNCTION("""COMPUTED_VALUE"""),12.0)</f>
        <v>12</v>
      </c>
      <c r="M1356" s="4">
        <f>IFERROR(__xludf.DUMMYFUNCTION("""COMPUTED_VALUE"""),97.0)</f>
        <v>97</v>
      </c>
      <c r="N1356" s="2" t="str">
        <f>IFERROR(__xludf.DUMMYFUNCTION("""COMPUTED_VALUE"""),"VERDADERO")</f>
        <v>VERDADERO</v>
      </c>
    </row>
    <row r="1357">
      <c r="A1357" s="2">
        <f>IFERROR(__xludf.DUMMYFUNCTION("""COMPUTED_VALUE"""),1356.0)</f>
        <v>1356</v>
      </c>
      <c r="B1357" s="2" t="str">
        <f>IFERROR(__xludf.DUMMYFUNCTION("""COMPUTED_VALUE"""),"Sim Heatlie")</f>
        <v>Sim Heatlie</v>
      </c>
      <c r="C1357" s="2" t="str">
        <f>IFERROR(__xludf.DUMMYFUNCTION("""COMPUTED_VALUE"""),"sheatlie9w@lycos.com")</f>
        <v>sheatlie9w@lycos.com</v>
      </c>
      <c r="D1357" s="4">
        <f>IFERROR(__xludf.DUMMYFUNCTION("""COMPUTED_VALUE"""),65.0)</f>
        <v>65</v>
      </c>
      <c r="E1357" s="4">
        <f>IFERROR(__xludf.DUMMYFUNCTION("""COMPUTED_VALUE"""),64.0)</f>
        <v>64</v>
      </c>
      <c r="F1357" s="4">
        <f>IFERROR(__xludf.DUMMYFUNCTION("""COMPUTED_VALUE"""),4.0)</f>
        <v>4</v>
      </c>
      <c r="G1357" s="4">
        <f>IFERROR(__xludf.DUMMYFUNCTION("""COMPUTED_VALUE"""),1082.0)</f>
        <v>1082</v>
      </c>
      <c r="H1357" s="5">
        <f>IFERROR(__xludf.DUMMYFUNCTION("""COMPUTED_VALUE"""),9044.84)</f>
        <v>9044.84</v>
      </c>
      <c r="I1357" s="5">
        <f>IFERROR(__xludf.DUMMYFUNCTION("""COMPUTED_VALUE"""),465.51)</f>
        <v>465.51</v>
      </c>
      <c r="J1357" s="5">
        <f>IFERROR(__xludf.DUMMYFUNCTION("""COMPUTED_VALUE"""),1111.27)</f>
        <v>1111.27</v>
      </c>
      <c r="K1357" s="5">
        <f>IFERROR(__xludf.DUMMYFUNCTION("""COMPUTED_VALUE"""),2698.88)</f>
        <v>2698.88</v>
      </c>
      <c r="L1357" s="4">
        <f>IFERROR(__xludf.DUMMYFUNCTION("""COMPUTED_VALUE"""),19.0)</f>
        <v>19</v>
      </c>
      <c r="M1357" s="4">
        <f>IFERROR(__xludf.DUMMYFUNCTION("""COMPUTED_VALUE"""),93.0)</f>
        <v>93</v>
      </c>
      <c r="N1357" s="2" t="str">
        <f>IFERROR(__xludf.DUMMYFUNCTION("""COMPUTED_VALUE"""),"VERDADERO")</f>
        <v>VERDADERO</v>
      </c>
    </row>
    <row r="1358">
      <c r="A1358" s="2">
        <f>IFERROR(__xludf.DUMMYFUNCTION("""COMPUTED_VALUE"""),1357.0)</f>
        <v>1357</v>
      </c>
      <c r="B1358" s="2" t="str">
        <f>IFERROR(__xludf.DUMMYFUNCTION("""COMPUTED_VALUE"""),"Rubetta Godain")</f>
        <v>Rubetta Godain</v>
      </c>
      <c r="C1358" s="2" t="str">
        <f>IFERROR(__xludf.DUMMYFUNCTION("""COMPUTED_VALUE"""),"rgodain9x@virginia.edu")</f>
        <v>rgodain9x@virginia.edu</v>
      </c>
      <c r="D1358" s="4">
        <f>IFERROR(__xludf.DUMMYFUNCTION("""COMPUTED_VALUE"""),65.0)</f>
        <v>65</v>
      </c>
      <c r="E1358" s="4">
        <f>IFERROR(__xludf.DUMMYFUNCTION("""COMPUTED_VALUE"""),13.0)</f>
        <v>13</v>
      </c>
      <c r="F1358" s="4">
        <f>IFERROR(__xludf.DUMMYFUNCTION("""COMPUTED_VALUE"""),6.0)</f>
        <v>6</v>
      </c>
      <c r="G1358" s="4">
        <f>IFERROR(__xludf.DUMMYFUNCTION("""COMPUTED_VALUE"""),189.0)</f>
        <v>189</v>
      </c>
      <c r="H1358" s="5">
        <f>IFERROR(__xludf.DUMMYFUNCTION("""COMPUTED_VALUE"""),8156.27)</f>
        <v>8156.27</v>
      </c>
      <c r="I1358" s="5">
        <f>IFERROR(__xludf.DUMMYFUNCTION("""COMPUTED_VALUE"""),5568.03)</f>
        <v>5568.03</v>
      </c>
      <c r="J1358" s="5">
        <f>IFERROR(__xludf.DUMMYFUNCTION("""COMPUTED_VALUE"""),5001.78)</f>
        <v>5001.78</v>
      </c>
      <c r="K1358" s="5">
        <f>IFERROR(__xludf.DUMMYFUNCTION("""COMPUTED_VALUE"""),1930.59)</f>
        <v>1930.59</v>
      </c>
      <c r="L1358" s="4">
        <f>IFERROR(__xludf.DUMMYFUNCTION("""COMPUTED_VALUE"""),7.0)</f>
        <v>7</v>
      </c>
      <c r="M1358" s="4">
        <f>IFERROR(__xludf.DUMMYFUNCTION("""COMPUTED_VALUE"""),13.0)</f>
        <v>13</v>
      </c>
      <c r="N1358" s="2" t="str">
        <f>IFERROR(__xludf.DUMMYFUNCTION("""COMPUTED_VALUE"""),"VERDADERO")</f>
        <v>VERDADERO</v>
      </c>
    </row>
    <row r="1359">
      <c r="A1359" s="2">
        <f>IFERROR(__xludf.DUMMYFUNCTION("""COMPUTED_VALUE"""),1358.0)</f>
        <v>1358</v>
      </c>
      <c r="B1359" s="2" t="str">
        <f>IFERROR(__xludf.DUMMYFUNCTION("""COMPUTED_VALUE"""),"Camey Spondley")</f>
        <v>Camey Spondley</v>
      </c>
      <c r="C1359" s="2" t="str">
        <f>IFERROR(__xludf.DUMMYFUNCTION("""COMPUTED_VALUE"""),"cspondley9y@samsung.com")</f>
        <v>cspondley9y@samsung.com</v>
      </c>
      <c r="D1359" s="4">
        <f>IFERROR(__xludf.DUMMYFUNCTION("""COMPUTED_VALUE"""),152.0)</f>
        <v>152</v>
      </c>
      <c r="E1359" s="4">
        <f>IFERROR(__xludf.DUMMYFUNCTION("""COMPUTED_VALUE"""),17.0)</f>
        <v>17</v>
      </c>
      <c r="F1359" s="4">
        <f>IFERROR(__xludf.DUMMYFUNCTION("""COMPUTED_VALUE"""),5.0)</f>
        <v>5</v>
      </c>
      <c r="G1359" s="4">
        <f>IFERROR(__xludf.DUMMYFUNCTION("""COMPUTED_VALUE"""),1006.0)</f>
        <v>1006</v>
      </c>
      <c r="H1359" s="5">
        <f>IFERROR(__xludf.DUMMYFUNCTION("""COMPUTED_VALUE"""),3867.85)</f>
        <v>3867.85</v>
      </c>
      <c r="I1359" s="5">
        <f>IFERROR(__xludf.DUMMYFUNCTION("""COMPUTED_VALUE"""),7354.37)</f>
        <v>7354.37</v>
      </c>
      <c r="J1359" s="5">
        <f>IFERROR(__xludf.DUMMYFUNCTION("""COMPUTED_VALUE"""),3893.62)</f>
        <v>3893.62</v>
      </c>
      <c r="K1359" s="5">
        <f>IFERROR(__xludf.DUMMYFUNCTION("""COMPUTED_VALUE"""),8008.78)</f>
        <v>8008.78</v>
      </c>
      <c r="L1359" s="4">
        <f>IFERROR(__xludf.DUMMYFUNCTION("""COMPUTED_VALUE"""),20.0)</f>
        <v>20</v>
      </c>
      <c r="M1359" s="4">
        <f>IFERROR(__xludf.DUMMYFUNCTION("""COMPUTED_VALUE"""),8.0)</f>
        <v>8</v>
      </c>
      <c r="N1359" s="2" t="str">
        <f>IFERROR(__xludf.DUMMYFUNCTION("""COMPUTED_VALUE"""),"FALSO")</f>
        <v>FALSO</v>
      </c>
    </row>
    <row r="1360">
      <c r="A1360" s="2">
        <f>IFERROR(__xludf.DUMMYFUNCTION("""COMPUTED_VALUE"""),1359.0)</f>
        <v>1359</v>
      </c>
      <c r="B1360" s="2" t="str">
        <f>IFERROR(__xludf.DUMMYFUNCTION("""COMPUTED_VALUE"""),"Nelia Jeffels")</f>
        <v>Nelia Jeffels</v>
      </c>
      <c r="C1360" s="2" t="str">
        <f>IFERROR(__xludf.DUMMYFUNCTION("""COMPUTED_VALUE"""),"njeffels9z@netscape.com")</f>
        <v>njeffels9z@netscape.com</v>
      </c>
      <c r="D1360" s="4">
        <f>IFERROR(__xludf.DUMMYFUNCTION("""COMPUTED_VALUE"""),132.0)</f>
        <v>132</v>
      </c>
      <c r="E1360" s="4">
        <f>IFERROR(__xludf.DUMMYFUNCTION("""COMPUTED_VALUE"""),6.0)</f>
        <v>6</v>
      </c>
      <c r="F1360" s="4">
        <f>IFERROR(__xludf.DUMMYFUNCTION("""COMPUTED_VALUE"""),13.0)</f>
        <v>13</v>
      </c>
      <c r="G1360" s="4">
        <f>IFERROR(__xludf.DUMMYFUNCTION("""COMPUTED_VALUE"""),1356.0)</f>
        <v>1356</v>
      </c>
      <c r="H1360" s="5">
        <f>IFERROR(__xludf.DUMMYFUNCTION("""COMPUTED_VALUE"""),8493.64)</f>
        <v>8493.64</v>
      </c>
      <c r="I1360" s="5">
        <f>IFERROR(__xludf.DUMMYFUNCTION("""COMPUTED_VALUE"""),5197.26)</f>
        <v>5197.26</v>
      </c>
      <c r="J1360" s="5">
        <f>IFERROR(__xludf.DUMMYFUNCTION("""COMPUTED_VALUE"""),2601.19)</f>
        <v>2601.19</v>
      </c>
      <c r="K1360" s="5">
        <f>IFERROR(__xludf.DUMMYFUNCTION("""COMPUTED_VALUE"""),508.6)</f>
        <v>508.6</v>
      </c>
      <c r="L1360" s="4">
        <f>IFERROR(__xludf.DUMMYFUNCTION("""COMPUTED_VALUE"""),13.0)</f>
        <v>13</v>
      </c>
      <c r="M1360" s="4">
        <f>IFERROR(__xludf.DUMMYFUNCTION("""COMPUTED_VALUE"""),76.0)</f>
        <v>76</v>
      </c>
      <c r="N1360" s="2" t="str">
        <f>IFERROR(__xludf.DUMMYFUNCTION("""COMPUTED_VALUE"""),"VERDADERO")</f>
        <v>VERDADERO</v>
      </c>
    </row>
    <row r="1361">
      <c r="A1361" s="2">
        <f>IFERROR(__xludf.DUMMYFUNCTION("""COMPUTED_VALUE"""),1360.0)</f>
        <v>1360</v>
      </c>
      <c r="B1361" s="2" t="str">
        <f>IFERROR(__xludf.DUMMYFUNCTION("""COMPUTED_VALUE"""),"Michele Limmer")</f>
        <v>Michele Limmer</v>
      </c>
      <c r="C1361" s="2" t="str">
        <f>IFERROR(__xludf.DUMMYFUNCTION("""COMPUTED_VALUE"""),"mlimmera0@vk.com")</f>
        <v>mlimmera0@vk.com</v>
      </c>
      <c r="D1361" s="4">
        <f>IFERROR(__xludf.DUMMYFUNCTION("""COMPUTED_VALUE"""),158.0)</f>
        <v>158</v>
      </c>
      <c r="E1361" s="4">
        <f>IFERROR(__xludf.DUMMYFUNCTION("""COMPUTED_VALUE"""),71.0)</f>
        <v>71</v>
      </c>
      <c r="F1361" s="4">
        <f>IFERROR(__xludf.DUMMYFUNCTION("""COMPUTED_VALUE"""),6.0)</f>
        <v>6</v>
      </c>
      <c r="G1361" s="4">
        <f>IFERROR(__xludf.DUMMYFUNCTION("""COMPUTED_VALUE"""),1218.0)</f>
        <v>1218</v>
      </c>
      <c r="H1361" s="5">
        <f>IFERROR(__xludf.DUMMYFUNCTION("""COMPUTED_VALUE"""),7245.09)</f>
        <v>7245.09</v>
      </c>
      <c r="I1361" s="5">
        <f>IFERROR(__xludf.DUMMYFUNCTION("""COMPUTED_VALUE"""),8674.59)</f>
        <v>8674.59</v>
      </c>
      <c r="J1361" s="5">
        <f>IFERROR(__xludf.DUMMYFUNCTION("""COMPUTED_VALUE"""),1387.81)</f>
        <v>1387.81</v>
      </c>
      <c r="K1361" s="5">
        <f>IFERROR(__xludf.DUMMYFUNCTION("""COMPUTED_VALUE"""),4936.85)</f>
        <v>4936.85</v>
      </c>
      <c r="L1361" s="4">
        <f>IFERROR(__xludf.DUMMYFUNCTION("""COMPUTED_VALUE"""),6.0)</f>
        <v>6</v>
      </c>
      <c r="M1361" s="4">
        <f>IFERROR(__xludf.DUMMYFUNCTION("""COMPUTED_VALUE"""),66.0)</f>
        <v>66</v>
      </c>
      <c r="N1361" s="2" t="str">
        <f>IFERROR(__xludf.DUMMYFUNCTION("""COMPUTED_VALUE"""),"VERDADERO")</f>
        <v>VERDADERO</v>
      </c>
    </row>
    <row r="1362">
      <c r="A1362" s="2">
        <f>IFERROR(__xludf.DUMMYFUNCTION("""COMPUTED_VALUE"""),1361.0)</f>
        <v>1361</v>
      </c>
      <c r="B1362" s="2" t="str">
        <f>IFERROR(__xludf.DUMMYFUNCTION("""COMPUTED_VALUE"""),"Amargo Rogge")</f>
        <v>Amargo Rogge</v>
      </c>
      <c r="C1362" s="2" t="str">
        <f>IFERROR(__xludf.DUMMYFUNCTION("""COMPUTED_VALUE"""),"aroggea1@amazon.de")</f>
        <v>aroggea1@amazon.de</v>
      </c>
      <c r="D1362" s="4">
        <f>IFERROR(__xludf.DUMMYFUNCTION("""COMPUTED_VALUE"""),153.0)</f>
        <v>153</v>
      </c>
      <c r="E1362" s="4">
        <f>IFERROR(__xludf.DUMMYFUNCTION("""COMPUTED_VALUE"""),102.0)</f>
        <v>102</v>
      </c>
      <c r="F1362" s="4">
        <f>IFERROR(__xludf.DUMMYFUNCTION("""COMPUTED_VALUE"""),4.0)</f>
        <v>4</v>
      </c>
      <c r="G1362" s="4">
        <f>IFERROR(__xludf.DUMMYFUNCTION("""COMPUTED_VALUE"""),503.0)</f>
        <v>503</v>
      </c>
      <c r="H1362" s="5">
        <f>IFERROR(__xludf.DUMMYFUNCTION("""COMPUTED_VALUE"""),121.23)</f>
        <v>121.23</v>
      </c>
      <c r="I1362" s="5">
        <f>IFERROR(__xludf.DUMMYFUNCTION("""COMPUTED_VALUE"""),3225.66)</f>
        <v>3225.66</v>
      </c>
      <c r="J1362" s="5">
        <f>IFERROR(__xludf.DUMMYFUNCTION("""COMPUTED_VALUE"""),8709.52)</f>
        <v>8709.52</v>
      </c>
      <c r="K1362" s="5">
        <f>IFERROR(__xludf.DUMMYFUNCTION("""COMPUTED_VALUE"""),7719.69)</f>
        <v>7719.69</v>
      </c>
      <c r="L1362" s="4">
        <f>IFERROR(__xludf.DUMMYFUNCTION("""COMPUTED_VALUE"""),20.0)</f>
        <v>20</v>
      </c>
      <c r="M1362" s="4">
        <f>IFERROR(__xludf.DUMMYFUNCTION("""COMPUTED_VALUE"""),38.0)</f>
        <v>38</v>
      </c>
      <c r="N1362" s="2" t="str">
        <f>IFERROR(__xludf.DUMMYFUNCTION("""COMPUTED_VALUE"""),"FALSO")</f>
        <v>FALSO</v>
      </c>
    </row>
    <row r="1363">
      <c r="A1363" s="2">
        <f>IFERROR(__xludf.DUMMYFUNCTION("""COMPUTED_VALUE"""),1362.0)</f>
        <v>1362</v>
      </c>
      <c r="B1363" s="2" t="str">
        <f>IFERROR(__xludf.DUMMYFUNCTION("""COMPUTED_VALUE"""),"Renie Godden")</f>
        <v>Renie Godden</v>
      </c>
      <c r="C1363" s="2" t="str">
        <f>IFERROR(__xludf.DUMMYFUNCTION("""COMPUTED_VALUE"""),"rgoddena2@earthlink.net")</f>
        <v>rgoddena2@earthlink.net</v>
      </c>
      <c r="D1363" s="4">
        <f>IFERROR(__xludf.DUMMYFUNCTION("""COMPUTED_VALUE"""),153.0)</f>
        <v>153</v>
      </c>
      <c r="E1363" s="4">
        <f>IFERROR(__xludf.DUMMYFUNCTION("""COMPUTED_VALUE"""),58.0)</f>
        <v>58</v>
      </c>
      <c r="F1363" s="4">
        <f>IFERROR(__xludf.DUMMYFUNCTION("""COMPUTED_VALUE"""),11.0)</f>
        <v>11</v>
      </c>
      <c r="G1363" s="4">
        <f>IFERROR(__xludf.DUMMYFUNCTION("""COMPUTED_VALUE"""),132.0)</f>
        <v>132</v>
      </c>
      <c r="H1363" s="5">
        <f>IFERROR(__xludf.DUMMYFUNCTION("""COMPUTED_VALUE"""),5108.19)</f>
        <v>5108.19</v>
      </c>
      <c r="I1363" s="5">
        <f>IFERROR(__xludf.DUMMYFUNCTION("""COMPUTED_VALUE"""),4598.47)</f>
        <v>4598.47</v>
      </c>
      <c r="J1363" s="5">
        <f>IFERROR(__xludf.DUMMYFUNCTION("""COMPUTED_VALUE"""),6062.55)</f>
        <v>6062.55</v>
      </c>
      <c r="K1363" s="5">
        <f>IFERROR(__xludf.DUMMYFUNCTION("""COMPUTED_VALUE"""),5091.09)</f>
        <v>5091.09</v>
      </c>
      <c r="L1363" s="4">
        <f>IFERROR(__xludf.DUMMYFUNCTION("""COMPUTED_VALUE"""),5.0)</f>
        <v>5</v>
      </c>
      <c r="M1363" s="4">
        <f>IFERROR(__xludf.DUMMYFUNCTION("""COMPUTED_VALUE"""),90.0)</f>
        <v>90</v>
      </c>
      <c r="N1363" s="2" t="str">
        <f>IFERROR(__xludf.DUMMYFUNCTION("""COMPUTED_VALUE"""),"VERDADERO")</f>
        <v>VERDADERO</v>
      </c>
    </row>
    <row r="1364">
      <c r="A1364" s="2">
        <f>IFERROR(__xludf.DUMMYFUNCTION("""COMPUTED_VALUE"""),1363.0)</f>
        <v>1363</v>
      </c>
      <c r="B1364" s="2" t="str">
        <f>IFERROR(__xludf.DUMMYFUNCTION("""COMPUTED_VALUE"""),"Lisetta Esselen")</f>
        <v>Lisetta Esselen</v>
      </c>
      <c r="C1364" s="2" t="str">
        <f>IFERROR(__xludf.DUMMYFUNCTION("""COMPUTED_VALUE"""),"lesselena3@cloudflare.com")</f>
        <v>lesselena3@cloudflare.com</v>
      </c>
      <c r="D1364" s="4">
        <f>IFERROR(__xludf.DUMMYFUNCTION("""COMPUTED_VALUE"""),29.0)</f>
        <v>29</v>
      </c>
      <c r="E1364" s="4">
        <f>IFERROR(__xludf.DUMMYFUNCTION("""COMPUTED_VALUE"""),88.0)</f>
        <v>88</v>
      </c>
      <c r="F1364" s="4">
        <f>IFERROR(__xludf.DUMMYFUNCTION("""COMPUTED_VALUE"""),3.0)</f>
        <v>3</v>
      </c>
      <c r="G1364" s="4">
        <f>IFERROR(__xludf.DUMMYFUNCTION("""COMPUTED_VALUE"""),490.0)</f>
        <v>490</v>
      </c>
      <c r="H1364" s="5">
        <f>IFERROR(__xludf.DUMMYFUNCTION("""COMPUTED_VALUE"""),8047.26)</f>
        <v>8047.26</v>
      </c>
      <c r="I1364" s="5">
        <f>IFERROR(__xludf.DUMMYFUNCTION("""COMPUTED_VALUE"""),6923.93)</f>
        <v>6923.93</v>
      </c>
      <c r="J1364" s="5">
        <f>IFERROR(__xludf.DUMMYFUNCTION("""COMPUTED_VALUE"""),3571.86)</f>
        <v>3571.86</v>
      </c>
      <c r="K1364" s="5">
        <f>IFERROR(__xludf.DUMMYFUNCTION("""COMPUTED_VALUE"""),3767.38)</f>
        <v>3767.38</v>
      </c>
      <c r="L1364" s="4">
        <f>IFERROR(__xludf.DUMMYFUNCTION("""COMPUTED_VALUE"""),7.0)</f>
        <v>7</v>
      </c>
      <c r="M1364" s="4">
        <f>IFERROR(__xludf.DUMMYFUNCTION("""COMPUTED_VALUE"""),93.0)</f>
        <v>93</v>
      </c>
      <c r="N1364" s="2" t="str">
        <f>IFERROR(__xludf.DUMMYFUNCTION("""COMPUTED_VALUE"""),"FALSO")</f>
        <v>FALSO</v>
      </c>
    </row>
    <row r="1365">
      <c r="A1365" s="2">
        <f>IFERROR(__xludf.DUMMYFUNCTION("""COMPUTED_VALUE"""),1364.0)</f>
        <v>1364</v>
      </c>
      <c r="B1365" s="2" t="str">
        <f>IFERROR(__xludf.DUMMYFUNCTION("""COMPUTED_VALUE"""),"Annice Baylay")</f>
        <v>Annice Baylay</v>
      </c>
      <c r="C1365" s="2" t="str">
        <f>IFERROR(__xludf.DUMMYFUNCTION("""COMPUTED_VALUE"""),"abaylaya4@infoseek.co.jp")</f>
        <v>abaylaya4@infoseek.co.jp</v>
      </c>
      <c r="D1365" s="4">
        <f>IFERROR(__xludf.DUMMYFUNCTION("""COMPUTED_VALUE"""),124.0)</f>
        <v>124</v>
      </c>
      <c r="E1365" s="4">
        <f>IFERROR(__xludf.DUMMYFUNCTION("""COMPUTED_VALUE"""),29.0)</f>
        <v>29</v>
      </c>
      <c r="F1365" s="4">
        <f>IFERROR(__xludf.DUMMYFUNCTION("""COMPUTED_VALUE"""),11.0)</f>
        <v>11</v>
      </c>
      <c r="G1365" s="4">
        <f>IFERROR(__xludf.DUMMYFUNCTION("""COMPUTED_VALUE"""),740.0)</f>
        <v>740</v>
      </c>
      <c r="H1365" s="5">
        <f>IFERROR(__xludf.DUMMYFUNCTION("""COMPUTED_VALUE"""),695.87)</f>
        <v>695.87</v>
      </c>
      <c r="I1365" s="5">
        <f>IFERROR(__xludf.DUMMYFUNCTION("""COMPUTED_VALUE"""),4894.83)</f>
        <v>4894.83</v>
      </c>
      <c r="J1365" s="5">
        <f>IFERROR(__xludf.DUMMYFUNCTION("""COMPUTED_VALUE"""),5181.53)</f>
        <v>5181.53</v>
      </c>
      <c r="K1365" s="5">
        <f>IFERROR(__xludf.DUMMYFUNCTION("""COMPUTED_VALUE"""),1322.02)</f>
        <v>1322.02</v>
      </c>
      <c r="L1365" s="4">
        <f>IFERROR(__xludf.DUMMYFUNCTION("""COMPUTED_VALUE"""),4.0)</f>
        <v>4</v>
      </c>
      <c r="M1365" s="4">
        <f>IFERROR(__xludf.DUMMYFUNCTION("""COMPUTED_VALUE"""),67.0)</f>
        <v>67</v>
      </c>
      <c r="N1365" s="2" t="str">
        <f>IFERROR(__xludf.DUMMYFUNCTION("""COMPUTED_VALUE"""),"VERDADERO")</f>
        <v>VERDADERO</v>
      </c>
    </row>
    <row r="1366">
      <c r="A1366" s="2">
        <f>IFERROR(__xludf.DUMMYFUNCTION("""COMPUTED_VALUE"""),1365.0)</f>
        <v>1365</v>
      </c>
      <c r="B1366" s="2" t="str">
        <f>IFERROR(__xludf.DUMMYFUNCTION("""COMPUTED_VALUE"""),"Xavier Strugnell")</f>
        <v>Xavier Strugnell</v>
      </c>
      <c r="C1366" s="2" t="str">
        <f>IFERROR(__xludf.DUMMYFUNCTION("""COMPUTED_VALUE"""),"xstrugnella5@youku.com")</f>
        <v>xstrugnella5@youku.com</v>
      </c>
      <c r="D1366" s="4">
        <f>IFERROR(__xludf.DUMMYFUNCTION("""COMPUTED_VALUE"""),29.0)</f>
        <v>29</v>
      </c>
      <c r="E1366" s="4">
        <f>IFERROR(__xludf.DUMMYFUNCTION("""COMPUTED_VALUE"""),73.0)</f>
        <v>73</v>
      </c>
      <c r="F1366" s="4">
        <f>IFERROR(__xludf.DUMMYFUNCTION("""COMPUTED_VALUE"""),3.0)</f>
        <v>3</v>
      </c>
      <c r="G1366" s="4">
        <f>IFERROR(__xludf.DUMMYFUNCTION("""COMPUTED_VALUE"""),1058.0)</f>
        <v>1058</v>
      </c>
      <c r="H1366" s="5">
        <f>IFERROR(__xludf.DUMMYFUNCTION("""COMPUTED_VALUE"""),3292.57)</f>
        <v>3292.57</v>
      </c>
      <c r="I1366" s="5">
        <f>IFERROR(__xludf.DUMMYFUNCTION("""COMPUTED_VALUE"""),2714.24)</f>
        <v>2714.24</v>
      </c>
      <c r="J1366" s="5">
        <f>IFERROR(__xludf.DUMMYFUNCTION("""COMPUTED_VALUE"""),5882.83)</f>
        <v>5882.83</v>
      </c>
      <c r="K1366" s="5">
        <f>IFERROR(__xludf.DUMMYFUNCTION("""COMPUTED_VALUE"""),1685.01)</f>
        <v>1685.01</v>
      </c>
      <c r="L1366" s="4">
        <f>IFERROR(__xludf.DUMMYFUNCTION("""COMPUTED_VALUE"""),17.0)</f>
        <v>17</v>
      </c>
      <c r="M1366" s="4">
        <f>IFERROR(__xludf.DUMMYFUNCTION("""COMPUTED_VALUE"""),24.0)</f>
        <v>24</v>
      </c>
      <c r="N1366" s="2" t="str">
        <f>IFERROR(__xludf.DUMMYFUNCTION("""COMPUTED_VALUE"""),"VERDADERO")</f>
        <v>VERDADERO</v>
      </c>
    </row>
    <row r="1367">
      <c r="A1367" s="2">
        <f>IFERROR(__xludf.DUMMYFUNCTION("""COMPUTED_VALUE"""),1366.0)</f>
        <v>1366</v>
      </c>
      <c r="B1367" s="2" t="str">
        <f>IFERROR(__xludf.DUMMYFUNCTION("""COMPUTED_VALUE"""),"Case Killelay")</f>
        <v>Case Killelay</v>
      </c>
      <c r="C1367" s="2" t="str">
        <f>IFERROR(__xludf.DUMMYFUNCTION("""COMPUTED_VALUE"""),"ckillelaya6@oracle.com")</f>
        <v>ckillelaya6@oracle.com</v>
      </c>
      <c r="D1367" s="4">
        <f>IFERROR(__xludf.DUMMYFUNCTION("""COMPUTED_VALUE"""),55.0)</f>
        <v>55</v>
      </c>
      <c r="E1367" s="4">
        <f>IFERROR(__xludf.DUMMYFUNCTION("""COMPUTED_VALUE"""),12.0)</f>
        <v>12</v>
      </c>
      <c r="F1367" s="4">
        <f>IFERROR(__xludf.DUMMYFUNCTION("""COMPUTED_VALUE"""),6.0)</f>
        <v>6</v>
      </c>
      <c r="G1367" s="4">
        <f>IFERROR(__xludf.DUMMYFUNCTION("""COMPUTED_VALUE"""),153.0)</f>
        <v>153</v>
      </c>
      <c r="H1367" s="5">
        <f>IFERROR(__xludf.DUMMYFUNCTION("""COMPUTED_VALUE"""),9222.91)</f>
        <v>9222.91</v>
      </c>
      <c r="I1367" s="5">
        <f>IFERROR(__xludf.DUMMYFUNCTION("""COMPUTED_VALUE"""),3586.13)</f>
        <v>3586.13</v>
      </c>
      <c r="J1367" s="5">
        <f>IFERROR(__xludf.DUMMYFUNCTION("""COMPUTED_VALUE"""),2836.62)</f>
        <v>2836.62</v>
      </c>
      <c r="K1367" s="5">
        <f>IFERROR(__xludf.DUMMYFUNCTION("""COMPUTED_VALUE"""),675.52)</f>
        <v>675.52</v>
      </c>
      <c r="L1367" s="4">
        <f>IFERROR(__xludf.DUMMYFUNCTION("""COMPUTED_VALUE"""),3.0)</f>
        <v>3</v>
      </c>
      <c r="M1367" s="4">
        <f>IFERROR(__xludf.DUMMYFUNCTION("""COMPUTED_VALUE"""),74.0)</f>
        <v>74</v>
      </c>
      <c r="N1367" s="2" t="str">
        <f>IFERROR(__xludf.DUMMYFUNCTION("""COMPUTED_VALUE"""),"VERDADERO")</f>
        <v>VERDADERO</v>
      </c>
    </row>
    <row r="1368">
      <c r="A1368" s="2">
        <f>IFERROR(__xludf.DUMMYFUNCTION("""COMPUTED_VALUE"""),1367.0)</f>
        <v>1367</v>
      </c>
      <c r="B1368" s="2" t="str">
        <f>IFERROR(__xludf.DUMMYFUNCTION("""COMPUTED_VALUE"""),"Sidonia Mallon")</f>
        <v>Sidonia Mallon</v>
      </c>
      <c r="C1368" s="2" t="str">
        <f>IFERROR(__xludf.DUMMYFUNCTION("""COMPUTED_VALUE"""),"smallona7@facebook.com")</f>
        <v>smallona7@facebook.com</v>
      </c>
      <c r="D1368" s="4">
        <f>IFERROR(__xludf.DUMMYFUNCTION("""COMPUTED_VALUE"""),6.0)</f>
        <v>6</v>
      </c>
      <c r="E1368" s="4">
        <f>IFERROR(__xludf.DUMMYFUNCTION("""COMPUTED_VALUE"""),64.0)</f>
        <v>64</v>
      </c>
      <c r="F1368" s="4">
        <f>IFERROR(__xludf.DUMMYFUNCTION("""COMPUTED_VALUE"""),4.0)</f>
        <v>4</v>
      </c>
      <c r="G1368" s="4">
        <f>IFERROR(__xludf.DUMMYFUNCTION("""COMPUTED_VALUE"""),281.0)</f>
        <v>281</v>
      </c>
      <c r="H1368" s="5">
        <f>IFERROR(__xludf.DUMMYFUNCTION("""COMPUTED_VALUE"""),2501.08)</f>
        <v>2501.08</v>
      </c>
      <c r="I1368" s="5">
        <f>IFERROR(__xludf.DUMMYFUNCTION("""COMPUTED_VALUE"""),317.73)</f>
        <v>317.73</v>
      </c>
      <c r="J1368" s="5">
        <f>IFERROR(__xludf.DUMMYFUNCTION("""COMPUTED_VALUE"""),7183.67)</f>
        <v>7183.67</v>
      </c>
      <c r="K1368" s="5">
        <f>IFERROR(__xludf.DUMMYFUNCTION("""COMPUTED_VALUE"""),4235.05)</f>
        <v>4235.05</v>
      </c>
      <c r="L1368" s="4">
        <f>IFERROR(__xludf.DUMMYFUNCTION("""COMPUTED_VALUE"""),4.0)</f>
        <v>4</v>
      </c>
      <c r="M1368" s="4">
        <f>IFERROR(__xludf.DUMMYFUNCTION("""COMPUTED_VALUE"""),65.0)</f>
        <v>65</v>
      </c>
      <c r="N1368" s="2" t="str">
        <f>IFERROR(__xludf.DUMMYFUNCTION("""COMPUTED_VALUE"""),"VERDADERO")</f>
        <v>VERDADERO</v>
      </c>
    </row>
    <row r="1369">
      <c r="A1369" s="2">
        <f>IFERROR(__xludf.DUMMYFUNCTION("""COMPUTED_VALUE"""),1368.0)</f>
        <v>1368</v>
      </c>
      <c r="B1369" s="2" t="str">
        <f>IFERROR(__xludf.DUMMYFUNCTION("""COMPUTED_VALUE"""),"Antoni Welband")</f>
        <v>Antoni Welband</v>
      </c>
      <c r="C1369" s="2" t="str">
        <f>IFERROR(__xludf.DUMMYFUNCTION("""COMPUTED_VALUE"""),"awelbanda8@delicious.com")</f>
        <v>awelbanda8@delicious.com</v>
      </c>
      <c r="D1369" s="4">
        <f>IFERROR(__xludf.DUMMYFUNCTION("""COMPUTED_VALUE"""),29.0)</f>
        <v>29</v>
      </c>
      <c r="E1369" s="4">
        <f>IFERROR(__xludf.DUMMYFUNCTION("""COMPUTED_VALUE"""),46.0)</f>
        <v>46</v>
      </c>
      <c r="F1369" s="4">
        <f>IFERROR(__xludf.DUMMYFUNCTION("""COMPUTED_VALUE"""),13.0)</f>
        <v>13</v>
      </c>
      <c r="G1369" s="4">
        <f>IFERROR(__xludf.DUMMYFUNCTION("""COMPUTED_VALUE"""),65.0)</f>
        <v>65</v>
      </c>
      <c r="H1369" s="5">
        <f>IFERROR(__xludf.DUMMYFUNCTION("""COMPUTED_VALUE"""),267.83)</f>
        <v>267.83</v>
      </c>
      <c r="I1369" s="5">
        <f>IFERROR(__xludf.DUMMYFUNCTION("""COMPUTED_VALUE"""),4497.28)</f>
        <v>4497.28</v>
      </c>
      <c r="J1369" s="5">
        <f>IFERROR(__xludf.DUMMYFUNCTION("""COMPUTED_VALUE"""),8735.47)</f>
        <v>8735.47</v>
      </c>
      <c r="K1369" s="5">
        <f>IFERROR(__xludf.DUMMYFUNCTION("""COMPUTED_VALUE"""),9438.45)</f>
        <v>9438.45</v>
      </c>
      <c r="L1369" s="4">
        <f>IFERROR(__xludf.DUMMYFUNCTION("""COMPUTED_VALUE"""),11.0)</f>
        <v>11</v>
      </c>
      <c r="M1369" s="4">
        <f>IFERROR(__xludf.DUMMYFUNCTION("""COMPUTED_VALUE"""),37.0)</f>
        <v>37</v>
      </c>
      <c r="N1369" s="2" t="str">
        <f>IFERROR(__xludf.DUMMYFUNCTION("""COMPUTED_VALUE"""),"FALSO")</f>
        <v>FALSO</v>
      </c>
    </row>
    <row r="1370">
      <c r="A1370" s="2">
        <f>IFERROR(__xludf.DUMMYFUNCTION("""COMPUTED_VALUE"""),1369.0)</f>
        <v>1369</v>
      </c>
      <c r="B1370" s="2" t="str">
        <f>IFERROR(__xludf.DUMMYFUNCTION("""COMPUTED_VALUE"""),"Jeana Fogden")</f>
        <v>Jeana Fogden</v>
      </c>
      <c r="C1370" s="2" t="str">
        <f>IFERROR(__xludf.DUMMYFUNCTION("""COMPUTED_VALUE"""),"jfogdena9@goodreads.com")</f>
        <v>jfogdena9@goodreads.com</v>
      </c>
      <c r="D1370" s="4">
        <f>IFERROR(__xludf.DUMMYFUNCTION("""COMPUTED_VALUE"""),120.0)</f>
        <v>120</v>
      </c>
      <c r="E1370" s="4">
        <f>IFERROR(__xludf.DUMMYFUNCTION("""COMPUTED_VALUE"""),60.0)</f>
        <v>60</v>
      </c>
      <c r="F1370" s="4">
        <f>IFERROR(__xludf.DUMMYFUNCTION("""COMPUTED_VALUE"""),3.0)</f>
        <v>3</v>
      </c>
      <c r="G1370" s="4">
        <f>IFERROR(__xludf.DUMMYFUNCTION("""COMPUTED_VALUE"""),1097.0)</f>
        <v>1097</v>
      </c>
      <c r="H1370" s="5">
        <f>IFERROR(__xludf.DUMMYFUNCTION("""COMPUTED_VALUE"""),6218.52)</f>
        <v>6218.52</v>
      </c>
      <c r="I1370" s="5">
        <f>IFERROR(__xludf.DUMMYFUNCTION("""COMPUTED_VALUE"""),8230.22)</f>
        <v>8230.22</v>
      </c>
      <c r="J1370" s="5">
        <f>IFERROR(__xludf.DUMMYFUNCTION("""COMPUTED_VALUE"""),3774.75)</f>
        <v>3774.75</v>
      </c>
      <c r="K1370" s="5">
        <f>IFERROR(__xludf.DUMMYFUNCTION("""COMPUTED_VALUE"""),1813.41)</f>
        <v>1813.41</v>
      </c>
      <c r="L1370" s="4">
        <f>IFERROR(__xludf.DUMMYFUNCTION("""COMPUTED_VALUE"""),15.0)</f>
        <v>15</v>
      </c>
      <c r="M1370" s="4">
        <f>IFERROR(__xludf.DUMMYFUNCTION("""COMPUTED_VALUE"""),81.0)</f>
        <v>81</v>
      </c>
      <c r="N1370" s="2" t="str">
        <f>IFERROR(__xludf.DUMMYFUNCTION("""COMPUTED_VALUE"""),"VERDADERO")</f>
        <v>VERDADERO</v>
      </c>
    </row>
    <row r="1371">
      <c r="A1371" s="2">
        <f>IFERROR(__xludf.DUMMYFUNCTION("""COMPUTED_VALUE"""),1370.0)</f>
        <v>1370</v>
      </c>
      <c r="B1371" s="2" t="str">
        <f>IFERROR(__xludf.DUMMYFUNCTION("""COMPUTED_VALUE"""),"Skelly Askem")</f>
        <v>Skelly Askem</v>
      </c>
      <c r="C1371" s="2" t="str">
        <f>IFERROR(__xludf.DUMMYFUNCTION("""COMPUTED_VALUE"""),"saskemaa@vk.com")</f>
        <v>saskemaa@vk.com</v>
      </c>
      <c r="D1371" s="4">
        <f>IFERROR(__xludf.DUMMYFUNCTION("""COMPUTED_VALUE"""),9.0)</f>
        <v>9</v>
      </c>
      <c r="E1371" s="4">
        <f>IFERROR(__xludf.DUMMYFUNCTION("""COMPUTED_VALUE"""),55.0)</f>
        <v>55</v>
      </c>
      <c r="F1371" s="4">
        <f>IFERROR(__xludf.DUMMYFUNCTION("""COMPUTED_VALUE"""),8.0)</f>
        <v>8</v>
      </c>
      <c r="G1371" s="4">
        <f>IFERROR(__xludf.DUMMYFUNCTION("""COMPUTED_VALUE"""),668.0)</f>
        <v>668</v>
      </c>
      <c r="H1371" s="5">
        <f>IFERROR(__xludf.DUMMYFUNCTION("""COMPUTED_VALUE"""),4386.64)</f>
        <v>4386.64</v>
      </c>
      <c r="I1371" s="5">
        <f>IFERROR(__xludf.DUMMYFUNCTION("""COMPUTED_VALUE"""),7960.56)</f>
        <v>7960.56</v>
      </c>
      <c r="J1371" s="5">
        <f>IFERROR(__xludf.DUMMYFUNCTION("""COMPUTED_VALUE"""),5243.69)</f>
        <v>5243.69</v>
      </c>
      <c r="K1371" s="5">
        <f>IFERROR(__xludf.DUMMYFUNCTION("""COMPUTED_VALUE"""),1292.08)</f>
        <v>1292.08</v>
      </c>
      <c r="L1371" s="4">
        <f>IFERROR(__xludf.DUMMYFUNCTION("""COMPUTED_VALUE"""),8.0)</f>
        <v>8</v>
      </c>
      <c r="M1371" s="4">
        <f>IFERROR(__xludf.DUMMYFUNCTION("""COMPUTED_VALUE"""),50.0)</f>
        <v>50</v>
      </c>
      <c r="N1371" s="2" t="str">
        <f>IFERROR(__xludf.DUMMYFUNCTION("""COMPUTED_VALUE"""),"VERDADERO")</f>
        <v>VERDADERO</v>
      </c>
    </row>
    <row r="1372">
      <c r="A1372" s="2">
        <f>IFERROR(__xludf.DUMMYFUNCTION("""COMPUTED_VALUE"""),1371.0)</f>
        <v>1371</v>
      </c>
      <c r="B1372" s="2" t="str">
        <f>IFERROR(__xludf.DUMMYFUNCTION("""COMPUTED_VALUE"""),"Tamra Flanne")</f>
        <v>Tamra Flanne</v>
      </c>
      <c r="C1372" s="2" t="str">
        <f>IFERROR(__xludf.DUMMYFUNCTION("""COMPUTED_VALUE"""),"tflanneab@jigsy.com")</f>
        <v>tflanneab@jigsy.com</v>
      </c>
      <c r="D1372" s="4">
        <f>IFERROR(__xludf.DUMMYFUNCTION("""COMPUTED_VALUE"""),119.0)</f>
        <v>119</v>
      </c>
      <c r="E1372" s="4">
        <f>IFERROR(__xludf.DUMMYFUNCTION("""COMPUTED_VALUE"""),9.0)</f>
        <v>9</v>
      </c>
      <c r="F1372" s="4">
        <f>IFERROR(__xludf.DUMMYFUNCTION("""COMPUTED_VALUE"""),10.0)</f>
        <v>10</v>
      </c>
      <c r="G1372" s="4">
        <f>IFERROR(__xludf.DUMMYFUNCTION("""COMPUTED_VALUE"""),1429.0)</f>
        <v>1429</v>
      </c>
      <c r="H1372" s="5">
        <f>IFERROR(__xludf.DUMMYFUNCTION("""COMPUTED_VALUE"""),323.77)</f>
        <v>323.77</v>
      </c>
      <c r="I1372" s="5">
        <f>IFERROR(__xludf.DUMMYFUNCTION("""COMPUTED_VALUE"""),8923.98)</f>
        <v>8923.98</v>
      </c>
      <c r="J1372" s="5">
        <f>IFERROR(__xludf.DUMMYFUNCTION("""COMPUTED_VALUE"""),6236.13)</f>
        <v>6236.13</v>
      </c>
      <c r="K1372" s="5">
        <f>IFERROR(__xludf.DUMMYFUNCTION("""COMPUTED_VALUE"""),9488.52)</f>
        <v>9488.52</v>
      </c>
      <c r="L1372" s="4">
        <f>IFERROR(__xludf.DUMMYFUNCTION("""COMPUTED_VALUE"""),19.0)</f>
        <v>19</v>
      </c>
      <c r="M1372" s="4">
        <f>IFERROR(__xludf.DUMMYFUNCTION("""COMPUTED_VALUE"""),9.0)</f>
        <v>9</v>
      </c>
      <c r="N1372" s="2" t="str">
        <f>IFERROR(__xludf.DUMMYFUNCTION("""COMPUTED_VALUE"""),"FALSO")</f>
        <v>FALSO</v>
      </c>
    </row>
    <row r="1373">
      <c r="A1373" s="2">
        <f>IFERROR(__xludf.DUMMYFUNCTION("""COMPUTED_VALUE"""),1372.0)</f>
        <v>1372</v>
      </c>
      <c r="B1373" s="2" t="str">
        <f>IFERROR(__xludf.DUMMYFUNCTION("""COMPUTED_VALUE"""),"Renard Tomlett")</f>
        <v>Renard Tomlett</v>
      </c>
      <c r="C1373" s="2" t="str">
        <f>IFERROR(__xludf.DUMMYFUNCTION("""COMPUTED_VALUE"""),"rtomlettac@posterous.com")</f>
        <v>rtomlettac@posterous.com</v>
      </c>
      <c r="D1373" s="4">
        <f>IFERROR(__xludf.DUMMYFUNCTION("""COMPUTED_VALUE"""),34.0)</f>
        <v>34</v>
      </c>
      <c r="E1373" s="4">
        <f>IFERROR(__xludf.DUMMYFUNCTION("""COMPUTED_VALUE"""),109.0)</f>
        <v>109</v>
      </c>
      <c r="F1373" s="4">
        <f>IFERROR(__xludf.DUMMYFUNCTION("""COMPUTED_VALUE"""),5.0)</f>
        <v>5</v>
      </c>
      <c r="G1373" s="4">
        <f>IFERROR(__xludf.DUMMYFUNCTION("""COMPUTED_VALUE"""),394.0)</f>
        <v>394</v>
      </c>
      <c r="H1373" s="5">
        <f>IFERROR(__xludf.DUMMYFUNCTION("""COMPUTED_VALUE"""),3913.79)</f>
        <v>3913.79</v>
      </c>
      <c r="I1373" s="5">
        <f>IFERROR(__xludf.DUMMYFUNCTION("""COMPUTED_VALUE"""),1584.75)</f>
        <v>1584.75</v>
      </c>
      <c r="J1373" s="5">
        <f>IFERROR(__xludf.DUMMYFUNCTION("""COMPUTED_VALUE"""),7019.76)</f>
        <v>7019.76</v>
      </c>
      <c r="K1373" s="5">
        <f>IFERROR(__xludf.DUMMYFUNCTION("""COMPUTED_VALUE"""),4134.08)</f>
        <v>4134.08</v>
      </c>
      <c r="L1373" s="4">
        <f>IFERROR(__xludf.DUMMYFUNCTION("""COMPUTED_VALUE"""),3.0)</f>
        <v>3</v>
      </c>
      <c r="M1373" s="4">
        <f>IFERROR(__xludf.DUMMYFUNCTION("""COMPUTED_VALUE"""),25.0)</f>
        <v>25</v>
      </c>
      <c r="N1373" s="2" t="str">
        <f>IFERROR(__xludf.DUMMYFUNCTION("""COMPUTED_VALUE"""),"VERDADERO")</f>
        <v>VERDADERO</v>
      </c>
    </row>
    <row r="1374">
      <c r="A1374" s="2">
        <f>IFERROR(__xludf.DUMMYFUNCTION("""COMPUTED_VALUE"""),1373.0)</f>
        <v>1373</v>
      </c>
      <c r="B1374" s="2" t="str">
        <f>IFERROR(__xludf.DUMMYFUNCTION("""COMPUTED_VALUE"""),"Cazzie Pidon")</f>
        <v>Cazzie Pidon</v>
      </c>
      <c r="C1374" s="2" t="str">
        <f>IFERROR(__xludf.DUMMYFUNCTION("""COMPUTED_VALUE"""),"cpidonad@amazon.co.uk")</f>
        <v>cpidonad@amazon.co.uk</v>
      </c>
      <c r="D1374" s="4">
        <f>IFERROR(__xludf.DUMMYFUNCTION("""COMPUTED_VALUE"""),73.0)</f>
        <v>73</v>
      </c>
      <c r="E1374" s="4">
        <f>IFERROR(__xludf.DUMMYFUNCTION("""COMPUTED_VALUE"""),112.0)</f>
        <v>112</v>
      </c>
      <c r="F1374" s="4">
        <f>IFERROR(__xludf.DUMMYFUNCTION("""COMPUTED_VALUE"""),11.0)</f>
        <v>11</v>
      </c>
      <c r="G1374" s="4">
        <f>IFERROR(__xludf.DUMMYFUNCTION("""COMPUTED_VALUE"""),1277.0)</f>
        <v>1277</v>
      </c>
      <c r="H1374" s="5">
        <f>IFERROR(__xludf.DUMMYFUNCTION("""COMPUTED_VALUE"""),2136.27)</f>
        <v>2136.27</v>
      </c>
      <c r="I1374" s="5">
        <f>IFERROR(__xludf.DUMMYFUNCTION("""COMPUTED_VALUE"""),1558.82)</f>
        <v>1558.82</v>
      </c>
      <c r="J1374" s="5">
        <f>IFERROR(__xludf.DUMMYFUNCTION("""COMPUTED_VALUE"""),5819.45)</f>
        <v>5819.45</v>
      </c>
      <c r="K1374" s="5">
        <f>IFERROR(__xludf.DUMMYFUNCTION("""COMPUTED_VALUE"""),5385.65)</f>
        <v>5385.65</v>
      </c>
      <c r="L1374" s="4">
        <f>IFERROR(__xludf.DUMMYFUNCTION("""COMPUTED_VALUE"""),8.0)</f>
        <v>8</v>
      </c>
      <c r="M1374" s="4">
        <f>IFERROR(__xludf.DUMMYFUNCTION("""COMPUTED_VALUE"""),22.0)</f>
        <v>22</v>
      </c>
      <c r="N1374" s="2" t="str">
        <f>IFERROR(__xludf.DUMMYFUNCTION("""COMPUTED_VALUE"""),"FALSO")</f>
        <v>FALSO</v>
      </c>
    </row>
    <row r="1375">
      <c r="A1375" s="2">
        <f>IFERROR(__xludf.DUMMYFUNCTION("""COMPUTED_VALUE"""),1374.0)</f>
        <v>1374</v>
      </c>
      <c r="B1375" s="2" t="str">
        <f>IFERROR(__xludf.DUMMYFUNCTION("""COMPUTED_VALUE"""),"Dennie Bains")</f>
        <v>Dennie Bains</v>
      </c>
      <c r="C1375" s="2" t="str">
        <f>IFERROR(__xludf.DUMMYFUNCTION("""COMPUTED_VALUE"""),"dbainsae@wikispaces.com")</f>
        <v>dbainsae@wikispaces.com</v>
      </c>
      <c r="D1375" s="4">
        <f>IFERROR(__xludf.DUMMYFUNCTION("""COMPUTED_VALUE"""),29.0)</f>
        <v>29</v>
      </c>
      <c r="E1375" s="4">
        <f>IFERROR(__xludf.DUMMYFUNCTION("""COMPUTED_VALUE"""),82.0)</f>
        <v>82</v>
      </c>
      <c r="F1375" s="4">
        <f>IFERROR(__xludf.DUMMYFUNCTION("""COMPUTED_VALUE"""),3.0)</f>
        <v>3</v>
      </c>
      <c r="G1375" s="4">
        <f>IFERROR(__xludf.DUMMYFUNCTION("""COMPUTED_VALUE"""),225.0)</f>
        <v>225</v>
      </c>
      <c r="H1375" s="5">
        <f>IFERROR(__xludf.DUMMYFUNCTION("""COMPUTED_VALUE"""),8290.55)</f>
        <v>8290.55</v>
      </c>
      <c r="I1375" s="5">
        <f>IFERROR(__xludf.DUMMYFUNCTION("""COMPUTED_VALUE"""),2198.81)</f>
        <v>2198.81</v>
      </c>
      <c r="J1375" s="5">
        <f>IFERROR(__xludf.DUMMYFUNCTION("""COMPUTED_VALUE"""),1074.8)</f>
        <v>1074.8</v>
      </c>
      <c r="K1375" s="5">
        <f>IFERROR(__xludf.DUMMYFUNCTION("""COMPUTED_VALUE"""),5896.74)</f>
        <v>5896.74</v>
      </c>
      <c r="L1375" s="4">
        <f>IFERROR(__xludf.DUMMYFUNCTION("""COMPUTED_VALUE"""),17.0)</f>
        <v>17</v>
      </c>
      <c r="M1375" s="4">
        <f>IFERROR(__xludf.DUMMYFUNCTION("""COMPUTED_VALUE"""),7.0)</f>
        <v>7</v>
      </c>
      <c r="N1375" s="2" t="str">
        <f>IFERROR(__xludf.DUMMYFUNCTION("""COMPUTED_VALUE"""),"FALSO")</f>
        <v>FALSO</v>
      </c>
    </row>
    <row r="1376">
      <c r="A1376" s="2">
        <f>IFERROR(__xludf.DUMMYFUNCTION("""COMPUTED_VALUE"""),1375.0)</f>
        <v>1375</v>
      </c>
      <c r="B1376" s="2" t="str">
        <f>IFERROR(__xludf.DUMMYFUNCTION("""COMPUTED_VALUE"""),"Riccardo Sparkwill")</f>
        <v>Riccardo Sparkwill</v>
      </c>
      <c r="C1376" s="2" t="str">
        <f>IFERROR(__xludf.DUMMYFUNCTION("""COMPUTED_VALUE"""),"rsparkwillaf@uiuc.edu")</f>
        <v>rsparkwillaf@uiuc.edu</v>
      </c>
      <c r="D1376" s="4">
        <f>IFERROR(__xludf.DUMMYFUNCTION("""COMPUTED_VALUE"""),65.0)</f>
        <v>65</v>
      </c>
      <c r="E1376" s="4">
        <f>IFERROR(__xludf.DUMMYFUNCTION("""COMPUTED_VALUE"""),98.0)</f>
        <v>98</v>
      </c>
      <c r="F1376" s="4">
        <f>IFERROR(__xludf.DUMMYFUNCTION("""COMPUTED_VALUE"""),13.0)</f>
        <v>13</v>
      </c>
      <c r="G1376" s="4">
        <f>IFERROR(__xludf.DUMMYFUNCTION("""COMPUTED_VALUE"""),517.0)</f>
        <v>517</v>
      </c>
      <c r="H1376" s="5">
        <f>IFERROR(__xludf.DUMMYFUNCTION("""COMPUTED_VALUE"""),2129.39)</f>
        <v>2129.39</v>
      </c>
      <c r="I1376" s="5">
        <f>IFERROR(__xludf.DUMMYFUNCTION("""COMPUTED_VALUE"""),4416.17)</f>
        <v>4416.17</v>
      </c>
      <c r="J1376" s="5">
        <f>IFERROR(__xludf.DUMMYFUNCTION("""COMPUTED_VALUE"""),2754.24)</f>
        <v>2754.24</v>
      </c>
      <c r="K1376" s="5">
        <f>IFERROR(__xludf.DUMMYFUNCTION("""COMPUTED_VALUE"""),8522.11)</f>
        <v>8522.11</v>
      </c>
      <c r="L1376" s="4">
        <f>IFERROR(__xludf.DUMMYFUNCTION("""COMPUTED_VALUE"""),2.0)</f>
        <v>2</v>
      </c>
      <c r="M1376" s="4">
        <f>IFERROR(__xludf.DUMMYFUNCTION("""COMPUTED_VALUE"""),13.0)</f>
        <v>13</v>
      </c>
      <c r="N1376" s="2" t="str">
        <f>IFERROR(__xludf.DUMMYFUNCTION("""COMPUTED_VALUE"""),"VERDADERO")</f>
        <v>VERDADERO</v>
      </c>
    </row>
    <row r="1377">
      <c r="A1377" s="2">
        <f>IFERROR(__xludf.DUMMYFUNCTION("""COMPUTED_VALUE"""),1376.0)</f>
        <v>1376</v>
      </c>
      <c r="B1377" s="2" t="str">
        <f>IFERROR(__xludf.DUMMYFUNCTION("""COMPUTED_VALUE"""),"Maressa Aspenlon")</f>
        <v>Maressa Aspenlon</v>
      </c>
      <c r="C1377" s="2" t="str">
        <f>IFERROR(__xludf.DUMMYFUNCTION("""COMPUTED_VALUE"""),"maspenlonag@bluehost.com")</f>
        <v>maspenlonag@bluehost.com</v>
      </c>
      <c r="D1377" s="4">
        <f>IFERROR(__xludf.DUMMYFUNCTION("""COMPUTED_VALUE"""),150.0)</f>
        <v>150</v>
      </c>
      <c r="E1377" s="4">
        <f>IFERROR(__xludf.DUMMYFUNCTION("""COMPUTED_VALUE"""),57.0)</f>
        <v>57</v>
      </c>
      <c r="F1377" s="4">
        <f>IFERROR(__xludf.DUMMYFUNCTION("""COMPUTED_VALUE"""),5.0)</f>
        <v>5</v>
      </c>
      <c r="G1377" s="4">
        <f>IFERROR(__xludf.DUMMYFUNCTION("""COMPUTED_VALUE"""),497.0)</f>
        <v>497</v>
      </c>
      <c r="H1377" s="5">
        <f>IFERROR(__xludf.DUMMYFUNCTION("""COMPUTED_VALUE"""),5915.5)</f>
        <v>5915.5</v>
      </c>
      <c r="I1377" s="5">
        <f>IFERROR(__xludf.DUMMYFUNCTION("""COMPUTED_VALUE"""),3524.3)</f>
        <v>3524.3</v>
      </c>
      <c r="J1377" s="5">
        <f>IFERROR(__xludf.DUMMYFUNCTION("""COMPUTED_VALUE"""),2530.91)</f>
        <v>2530.91</v>
      </c>
      <c r="K1377" s="5">
        <f>IFERROR(__xludf.DUMMYFUNCTION("""COMPUTED_VALUE"""),7820.34)</f>
        <v>7820.34</v>
      </c>
      <c r="L1377" s="4">
        <f>IFERROR(__xludf.DUMMYFUNCTION("""COMPUTED_VALUE"""),3.0)</f>
        <v>3</v>
      </c>
      <c r="M1377" s="4">
        <f>IFERROR(__xludf.DUMMYFUNCTION("""COMPUTED_VALUE"""),63.0)</f>
        <v>63</v>
      </c>
      <c r="N1377" s="2" t="str">
        <f>IFERROR(__xludf.DUMMYFUNCTION("""COMPUTED_VALUE"""),"FALSO")</f>
        <v>FALSO</v>
      </c>
    </row>
    <row r="1378">
      <c r="A1378" s="2">
        <f>IFERROR(__xludf.DUMMYFUNCTION("""COMPUTED_VALUE"""),1377.0)</f>
        <v>1377</v>
      </c>
      <c r="B1378" s="2" t="str">
        <f>IFERROR(__xludf.DUMMYFUNCTION("""COMPUTED_VALUE"""),"Jeddy Sheere")</f>
        <v>Jeddy Sheere</v>
      </c>
      <c r="C1378" s="2" t="str">
        <f>IFERROR(__xludf.DUMMYFUNCTION("""COMPUTED_VALUE"""),"jsheereah@msn.com")</f>
        <v>jsheereah@msn.com</v>
      </c>
      <c r="D1378" s="4">
        <f>IFERROR(__xludf.DUMMYFUNCTION("""COMPUTED_VALUE"""),37.0)</f>
        <v>37</v>
      </c>
      <c r="E1378" s="4">
        <f>IFERROR(__xludf.DUMMYFUNCTION("""COMPUTED_VALUE"""),29.0)</f>
        <v>29</v>
      </c>
      <c r="F1378" s="4">
        <f>IFERROR(__xludf.DUMMYFUNCTION("""COMPUTED_VALUE"""),11.0)</f>
        <v>11</v>
      </c>
      <c r="G1378" s="4">
        <f>IFERROR(__xludf.DUMMYFUNCTION("""COMPUTED_VALUE"""),501.0)</f>
        <v>501</v>
      </c>
      <c r="H1378" s="5">
        <f>IFERROR(__xludf.DUMMYFUNCTION("""COMPUTED_VALUE"""),4065.55)</f>
        <v>4065.55</v>
      </c>
      <c r="I1378" s="5">
        <f>IFERROR(__xludf.DUMMYFUNCTION("""COMPUTED_VALUE"""),7673.99)</f>
        <v>7673.99</v>
      </c>
      <c r="J1378" s="5">
        <f>IFERROR(__xludf.DUMMYFUNCTION("""COMPUTED_VALUE"""),5936.61)</f>
        <v>5936.61</v>
      </c>
      <c r="K1378" s="5">
        <f>IFERROR(__xludf.DUMMYFUNCTION("""COMPUTED_VALUE"""),5658.37)</f>
        <v>5658.37</v>
      </c>
      <c r="L1378" s="4">
        <f>IFERROR(__xludf.DUMMYFUNCTION("""COMPUTED_VALUE"""),1.0)</f>
        <v>1</v>
      </c>
      <c r="M1378" s="4">
        <f>IFERROR(__xludf.DUMMYFUNCTION("""COMPUTED_VALUE"""),90.0)</f>
        <v>90</v>
      </c>
      <c r="N1378" s="2" t="str">
        <f>IFERROR(__xludf.DUMMYFUNCTION("""COMPUTED_VALUE"""),"VERDADERO")</f>
        <v>VERDADERO</v>
      </c>
    </row>
    <row r="1379">
      <c r="A1379" s="2">
        <f>IFERROR(__xludf.DUMMYFUNCTION("""COMPUTED_VALUE"""),1378.0)</f>
        <v>1378</v>
      </c>
      <c r="B1379" s="2" t="str">
        <f>IFERROR(__xludf.DUMMYFUNCTION("""COMPUTED_VALUE"""),"Arabel Waterson")</f>
        <v>Arabel Waterson</v>
      </c>
      <c r="C1379" s="2" t="str">
        <f>IFERROR(__xludf.DUMMYFUNCTION("""COMPUTED_VALUE"""),"awatersonai@hao123.com")</f>
        <v>awatersonai@hao123.com</v>
      </c>
      <c r="D1379" s="4">
        <f>IFERROR(__xludf.DUMMYFUNCTION("""COMPUTED_VALUE"""),76.0)</f>
        <v>76</v>
      </c>
      <c r="E1379" s="4">
        <f>IFERROR(__xludf.DUMMYFUNCTION("""COMPUTED_VALUE"""),107.0)</f>
        <v>107</v>
      </c>
      <c r="F1379" s="4">
        <f>IFERROR(__xludf.DUMMYFUNCTION("""COMPUTED_VALUE"""),5.0)</f>
        <v>5</v>
      </c>
      <c r="G1379" s="4">
        <f>IFERROR(__xludf.DUMMYFUNCTION("""COMPUTED_VALUE"""),639.0)</f>
        <v>639</v>
      </c>
      <c r="H1379" s="5">
        <f>IFERROR(__xludf.DUMMYFUNCTION("""COMPUTED_VALUE"""),6132.79)</f>
        <v>6132.79</v>
      </c>
      <c r="I1379" s="5">
        <f>IFERROR(__xludf.DUMMYFUNCTION("""COMPUTED_VALUE"""),2734.68)</f>
        <v>2734.68</v>
      </c>
      <c r="J1379" s="5">
        <f>IFERROR(__xludf.DUMMYFUNCTION("""COMPUTED_VALUE"""),2852.56)</f>
        <v>2852.56</v>
      </c>
      <c r="K1379" s="5">
        <f>IFERROR(__xludf.DUMMYFUNCTION("""COMPUTED_VALUE"""),1601.92)</f>
        <v>1601.92</v>
      </c>
      <c r="L1379" s="4">
        <f>IFERROR(__xludf.DUMMYFUNCTION("""COMPUTED_VALUE"""),19.0)</f>
        <v>19</v>
      </c>
      <c r="M1379" s="4">
        <f>IFERROR(__xludf.DUMMYFUNCTION("""COMPUTED_VALUE"""),3.0)</f>
        <v>3</v>
      </c>
      <c r="N1379" s="2" t="str">
        <f>IFERROR(__xludf.DUMMYFUNCTION("""COMPUTED_VALUE"""),"FALSO")</f>
        <v>FALSO</v>
      </c>
    </row>
    <row r="1380">
      <c r="A1380" s="2">
        <f>IFERROR(__xludf.DUMMYFUNCTION("""COMPUTED_VALUE"""),1379.0)</f>
        <v>1379</v>
      </c>
      <c r="B1380" s="2" t="str">
        <f>IFERROR(__xludf.DUMMYFUNCTION("""COMPUTED_VALUE"""),"Derril Loxly")</f>
        <v>Derril Loxly</v>
      </c>
      <c r="C1380" s="2" t="str">
        <f>IFERROR(__xludf.DUMMYFUNCTION("""COMPUTED_VALUE"""),"dloxlyaj@t-online.de")</f>
        <v>dloxlyaj@t-online.de</v>
      </c>
      <c r="D1380" s="4">
        <f>IFERROR(__xludf.DUMMYFUNCTION("""COMPUTED_VALUE"""),29.0)</f>
        <v>29</v>
      </c>
      <c r="E1380" s="4">
        <f>IFERROR(__xludf.DUMMYFUNCTION("""COMPUTED_VALUE"""),104.0)</f>
        <v>104</v>
      </c>
      <c r="F1380" s="4">
        <f>IFERROR(__xludf.DUMMYFUNCTION("""COMPUTED_VALUE"""),11.0)</f>
        <v>11</v>
      </c>
      <c r="G1380" s="4">
        <f>IFERROR(__xludf.DUMMYFUNCTION("""COMPUTED_VALUE"""),943.0)</f>
        <v>943</v>
      </c>
      <c r="H1380" s="5">
        <f>IFERROR(__xludf.DUMMYFUNCTION("""COMPUTED_VALUE"""),7552.64)</f>
        <v>7552.64</v>
      </c>
      <c r="I1380" s="5">
        <f>IFERROR(__xludf.DUMMYFUNCTION("""COMPUTED_VALUE"""),9945.85)</f>
        <v>9945.85</v>
      </c>
      <c r="J1380" s="5">
        <f>IFERROR(__xludf.DUMMYFUNCTION("""COMPUTED_VALUE"""),7054.9)</f>
        <v>7054.9</v>
      </c>
      <c r="K1380" s="5">
        <f>IFERROR(__xludf.DUMMYFUNCTION("""COMPUTED_VALUE"""),1151.16)</f>
        <v>1151.16</v>
      </c>
      <c r="L1380" s="4">
        <f>IFERROR(__xludf.DUMMYFUNCTION("""COMPUTED_VALUE"""),17.0)</f>
        <v>17</v>
      </c>
      <c r="M1380" s="4">
        <f>IFERROR(__xludf.DUMMYFUNCTION("""COMPUTED_VALUE"""),19.0)</f>
        <v>19</v>
      </c>
      <c r="N1380" s="2" t="str">
        <f>IFERROR(__xludf.DUMMYFUNCTION("""COMPUTED_VALUE"""),"FALSO")</f>
        <v>FALSO</v>
      </c>
    </row>
    <row r="1381">
      <c r="A1381" s="2">
        <f>IFERROR(__xludf.DUMMYFUNCTION("""COMPUTED_VALUE"""),1380.0)</f>
        <v>1380</v>
      </c>
      <c r="B1381" s="2" t="str">
        <f>IFERROR(__xludf.DUMMYFUNCTION("""COMPUTED_VALUE"""),"Claudelle Van der Kruis")</f>
        <v>Claudelle Van der Kruis</v>
      </c>
      <c r="C1381" s="2" t="str">
        <f>IFERROR(__xludf.DUMMYFUNCTION("""COMPUTED_VALUE"""),"cvanak@paypal.com")</f>
        <v>cvanak@paypal.com</v>
      </c>
      <c r="D1381" s="4">
        <f>IFERROR(__xludf.DUMMYFUNCTION("""COMPUTED_VALUE"""),77.0)</f>
        <v>77</v>
      </c>
      <c r="E1381" s="4">
        <f>IFERROR(__xludf.DUMMYFUNCTION("""COMPUTED_VALUE"""),119.0)</f>
        <v>119</v>
      </c>
      <c r="F1381" s="4">
        <f>IFERROR(__xludf.DUMMYFUNCTION("""COMPUTED_VALUE"""),9.0)</f>
        <v>9</v>
      </c>
      <c r="G1381" s="4">
        <f>IFERROR(__xludf.DUMMYFUNCTION("""COMPUTED_VALUE"""),383.0)</f>
        <v>383</v>
      </c>
      <c r="H1381" s="5">
        <f>IFERROR(__xludf.DUMMYFUNCTION("""COMPUTED_VALUE"""),8987.53)</f>
        <v>8987.53</v>
      </c>
      <c r="I1381" s="5">
        <f>IFERROR(__xludf.DUMMYFUNCTION("""COMPUTED_VALUE"""),192.82)</f>
        <v>192.82</v>
      </c>
      <c r="J1381" s="5">
        <f>IFERROR(__xludf.DUMMYFUNCTION("""COMPUTED_VALUE"""),6470.31)</f>
        <v>6470.31</v>
      </c>
      <c r="K1381" s="5">
        <f>IFERROR(__xludf.DUMMYFUNCTION("""COMPUTED_VALUE"""),3633.15)</f>
        <v>3633.15</v>
      </c>
      <c r="L1381" s="4">
        <f>IFERROR(__xludf.DUMMYFUNCTION("""COMPUTED_VALUE"""),20.0)</f>
        <v>20</v>
      </c>
      <c r="M1381" s="4">
        <f>IFERROR(__xludf.DUMMYFUNCTION("""COMPUTED_VALUE"""),89.0)</f>
        <v>89</v>
      </c>
      <c r="N1381" s="2" t="str">
        <f>IFERROR(__xludf.DUMMYFUNCTION("""COMPUTED_VALUE"""),"VERDADERO")</f>
        <v>VERDADERO</v>
      </c>
    </row>
    <row r="1382">
      <c r="A1382" s="2">
        <f>IFERROR(__xludf.DUMMYFUNCTION("""COMPUTED_VALUE"""),1381.0)</f>
        <v>1381</v>
      </c>
      <c r="B1382" s="2" t="str">
        <f>IFERROR(__xludf.DUMMYFUNCTION("""COMPUTED_VALUE"""),"Aimee Lapidus")</f>
        <v>Aimee Lapidus</v>
      </c>
      <c r="C1382" s="2" t="str">
        <f>IFERROR(__xludf.DUMMYFUNCTION("""COMPUTED_VALUE"""),"alapidusal@altervista.org")</f>
        <v>alapidusal@altervista.org</v>
      </c>
      <c r="D1382" s="4">
        <f>IFERROR(__xludf.DUMMYFUNCTION("""COMPUTED_VALUE"""),65.0)</f>
        <v>65</v>
      </c>
      <c r="E1382" s="4">
        <f>IFERROR(__xludf.DUMMYFUNCTION("""COMPUTED_VALUE"""),103.0)</f>
        <v>103</v>
      </c>
      <c r="F1382" s="4">
        <f>IFERROR(__xludf.DUMMYFUNCTION("""COMPUTED_VALUE"""),5.0)</f>
        <v>5</v>
      </c>
      <c r="G1382" s="4">
        <f>IFERROR(__xludf.DUMMYFUNCTION("""COMPUTED_VALUE"""),1214.0)</f>
        <v>1214</v>
      </c>
      <c r="H1382" s="5">
        <f>IFERROR(__xludf.DUMMYFUNCTION("""COMPUTED_VALUE"""),4930.99)</f>
        <v>4930.99</v>
      </c>
      <c r="I1382" s="5">
        <f>IFERROR(__xludf.DUMMYFUNCTION("""COMPUTED_VALUE"""),6648.7)</f>
        <v>6648.7</v>
      </c>
      <c r="J1382" s="5">
        <f>IFERROR(__xludf.DUMMYFUNCTION("""COMPUTED_VALUE"""),4381.54)</f>
        <v>4381.54</v>
      </c>
      <c r="K1382" s="5">
        <f>IFERROR(__xludf.DUMMYFUNCTION("""COMPUTED_VALUE"""),3145.13)</f>
        <v>3145.13</v>
      </c>
      <c r="L1382" s="4">
        <f>IFERROR(__xludf.DUMMYFUNCTION("""COMPUTED_VALUE"""),18.0)</f>
        <v>18</v>
      </c>
      <c r="M1382" s="4">
        <f>IFERROR(__xludf.DUMMYFUNCTION("""COMPUTED_VALUE"""),40.0)</f>
        <v>40</v>
      </c>
      <c r="N1382" s="2" t="str">
        <f>IFERROR(__xludf.DUMMYFUNCTION("""COMPUTED_VALUE"""),"VERDADERO")</f>
        <v>VERDADERO</v>
      </c>
    </row>
    <row r="1383">
      <c r="A1383" s="2">
        <f>IFERROR(__xludf.DUMMYFUNCTION("""COMPUTED_VALUE"""),1382.0)</f>
        <v>1382</v>
      </c>
      <c r="B1383" s="2" t="str">
        <f>IFERROR(__xludf.DUMMYFUNCTION("""COMPUTED_VALUE"""),"Jeramie Westnedge")</f>
        <v>Jeramie Westnedge</v>
      </c>
      <c r="C1383" s="2" t="str">
        <f>IFERROR(__xludf.DUMMYFUNCTION("""COMPUTED_VALUE"""),"jwestnedgeam@dot.gov")</f>
        <v>jwestnedgeam@dot.gov</v>
      </c>
      <c r="D1383" s="4">
        <f>IFERROR(__xludf.DUMMYFUNCTION("""COMPUTED_VALUE"""),124.0)</f>
        <v>124</v>
      </c>
      <c r="E1383" s="4">
        <f>IFERROR(__xludf.DUMMYFUNCTION("""COMPUTED_VALUE"""),66.0)</f>
        <v>66</v>
      </c>
      <c r="F1383" s="4">
        <f>IFERROR(__xludf.DUMMYFUNCTION("""COMPUTED_VALUE"""),6.0)</f>
        <v>6</v>
      </c>
      <c r="G1383" s="4">
        <f>IFERROR(__xludf.DUMMYFUNCTION("""COMPUTED_VALUE"""),1028.0)</f>
        <v>1028</v>
      </c>
      <c r="H1383" s="5">
        <f>IFERROR(__xludf.DUMMYFUNCTION("""COMPUTED_VALUE"""),5604.34)</f>
        <v>5604.34</v>
      </c>
      <c r="I1383" s="5">
        <f>IFERROR(__xludf.DUMMYFUNCTION("""COMPUTED_VALUE"""),9465.46)</f>
        <v>9465.46</v>
      </c>
      <c r="J1383" s="5">
        <f>IFERROR(__xludf.DUMMYFUNCTION("""COMPUTED_VALUE"""),2052.33)</f>
        <v>2052.33</v>
      </c>
      <c r="K1383" s="5">
        <f>IFERROR(__xludf.DUMMYFUNCTION("""COMPUTED_VALUE"""),4206.98)</f>
        <v>4206.98</v>
      </c>
      <c r="L1383" s="4">
        <f>IFERROR(__xludf.DUMMYFUNCTION("""COMPUTED_VALUE"""),13.0)</f>
        <v>13</v>
      </c>
      <c r="M1383" s="4">
        <f>IFERROR(__xludf.DUMMYFUNCTION("""COMPUTED_VALUE"""),76.0)</f>
        <v>76</v>
      </c>
      <c r="N1383" s="2" t="str">
        <f>IFERROR(__xludf.DUMMYFUNCTION("""COMPUTED_VALUE"""),"VERDADERO")</f>
        <v>VERDADERO</v>
      </c>
    </row>
    <row r="1384">
      <c r="A1384" s="2">
        <f>IFERROR(__xludf.DUMMYFUNCTION("""COMPUTED_VALUE"""),1383.0)</f>
        <v>1383</v>
      </c>
      <c r="B1384" s="2" t="str">
        <f>IFERROR(__xludf.DUMMYFUNCTION("""COMPUTED_VALUE"""),"Dalston Pitcock")</f>
        <v>Dalston Pitcock</v>
      </c>
      <c r="C1384" s="2" t="str">
        <f>IFERROR(__xludf.DUMMYFUNCTION("""COMPUTED_VALUE"""),"dpitcockan@phoca.cz")</f>
        <v>dpitcockan@phoca.cz</v>
      </c>
      <c r="D1384" s="4">
        <f>IFERROR(__xludf.DUMMYFUNCTION("""COMPUTED_VALUE"""),73.0)</f>
        <v>73</v>
      </c>
      <c r="E1384" s="4">
        <f>IFERROR(__xludf.DUMMYFUNCTION("""COMPUTED_VALUE"""),73.0)</f>
        <v>73</v>
      </c>
      <c r="F1384" s="4">
        <f>IFERROR(__xludf.DUMMYFUNCTION("""COMPUTED_VALUE"""),10.0)</f>
        <v>10</v>
      </c>
      <c r="G1384" s="4">
        <f>IFERROR(__xludf.DUMMYFUNCTION("""COMPUTED_VALUE"""),79.0)</f>
        <v>79</v>
      </c>
      <c r="H1384" s="5">
        <f>IFERROR(__xludf.DUMMYFUNCTION("""COMPUTED_VALUE"""),8106.67)</f>
        <v>8106.67</v>
      </c>
      <c r="I1384" s="5">
        <f>IFERROR(__xludf.DUMMYFUNCTION("""COMPUTED_VALUE"""),2120.67)</f>
        <v>2120.67</v>
      </c>
      <c r="J1384" s="5">
        <f>IFERROR(__xludf.DUMMYFUNCTION("""COMPUTED_VALUE"""),360.96)</f>
        <v>360.96</v>
      </c>
      <c r="K1384" s="5">
        <f>IFERROR(__xludf.DUMMYFUNCTION("""COMPUTED_VALUE"""),9267.39)</f>
        <v>9267.39</v>
      </c>
      <c r="L1384" s="4">
        <f>IFERROR(__xludf.DUMMYFUNCTION("""COMPUTED_VALUE"""),20.0)</f>
        <v>20</v>
      </c>
      <c r="M1384" s="4">
        <f>IFERROR(__xludf.DUMMYFUNCTION("""COMPUTED_VALUE"""),57.0)</f>
        <v>57</v>
      </c>
      <c r="N1384" s="2" t="str">
        <f>IFERROR(__xludf.DUMMYFUNCTION("""COMPUTED_VALUE"""),"FALSO")</f>
        <v>FALSO</v>
      </c>
    </row>
    <row r="1385">
      <c r="A1385" s="2">
        <f>IFERROR(__xludf.DUMMYFUNCTION("""COMPUTED_VALUE"""),1384.0)</f>
        <v>1384</v>
      </c>
      <c r="B1385" s="2" t="str">
        <f>IFERROR(__xludf.DUMMYFUNCTION("""COMPUTED_VALUE"""),"Ax Barhims")</f>
        <v>Ax Barhims</v>
      </c>
      <c r="C1385" s="2" t="str">
        <f>IFERROR(__xludf.DUMMYFUNCTION("""COMPUTED_VALUE"""),"abarhimsao@washingtonpost.com")</f>
        <v>abarhimsao@washingtonpost.com</v>
      </c>
      <c r="D1385" s="4">
        <f>IFERROR(__xludf.DUMMYFUNCTION("""COMPUTED_VALUE"""),49.0)</f>
        <v>49</v>
      </c>
      <c r="E1385" s="4">
        <f>IFERROR(__xludf.DUMMYFUNCTION("""COMPUTED_VALUE"""),22.0)</f>
        <v>22</v>
      </c>
      <c r="F1385" s="4">
        <f>IFERROR(__xludf.DUMMYFUNCTION("""COMPUTED_VALUE"""),5.0)</f>
        <v>5</v>
      </c>
      <c r="G1385" s="4">
        <f>IFERROR(__xludf.DUMMYFUNCTION("""COMPUTED_VALUE"""),868.0)</f>
        <v>868</v>
      </c>
      <c r="H1385" s="5">
        <f>IFERROR(__xludf.DUMMYFUNCTION("""COMPUTED_VALUE"""),1409.06)</f>
        <v>1409.06</v>
      </c>
      <c r="I1385" s="5">
        <f>IFERROR(__xludf.DUMMYFUNCTION("""COMPUTED_VALUE"""),7885.55)</f>
        <v>7885.55</v>
      </c>
      <c r="J1385" s="5">
        <f>IFERROR(__xludf.DUMMYFUNCTION("""COMPUTED_VALUE"""),5848.22)</f>
        <v>5848.22</v>
      </c>
      <c r="K1385" s="5">
        <f>IFERROR(__xludf.DUMMYFUNCTION("""COMPUTED_VALUE"""),1801.7)</f>
        <v>1801.7</v>
      </c>
      <c r="L1385" s="4">
        <f>IFERROR(__xludf.DUMMYFUNCTION("""COMPUTED_VALUE"""),20.0)</f>
        <v>20</v>
      </c>
      <c r="M1385" s="4">
        <f>IFERROR(__xludf.DUMMYFUNCTION("""COMPUTED_VALUE"""),87.0)</f>
        <v>87</v>
      </c>
      <c r="N1385" s="2" t="str">
        <f>IFERROR(__xludf.DUMMYFUNCTION("""COMPUTED_VALUE"""),"FALSO")</f>
        <v>FALSO</v>
      </c>
    </row>
    <row r="1386">
      <c r="A1386" s="2">
        <f>IFERROR(__xludf.DUMMYFUNCTION("""COMPUTED_VALUE"""),1385.0)</f>
        <v>1385</v>
      </c>
      <c r="B1386" s="2" t="str">
        <f>IFERROR(__xludf.DUMMYFUNCTION("""COMPUTED_VALUE"""),"Dasha Laffin")</f>
        <v>Dasha Laffin</v>
      </c>
      <c r="C1386" s="2" t="str">
        <f>IFERROR(__xludf.DUMMYFUNCTION("""COMPUTED_VALUE"""),"dlaffinap@slashdot.org")</f>
        <v>dlaffinap@slashdot.org</v>
      </c>
      <c r="D1386" s="4">
        <f>IFERROR(__xludf.DUMMYFUNCTION("""COMPUTED_VALUE"""),29.0)</f>
        <v>29</v>
      </c>
      <c r="E1386" s="4">
        <f>IFERROR(__xludf.DUMMYFUNCTION("""COMPUTED_VALUE"""),81.0)</f>
        <v>81</v>
      </c>
      <c r="F1386" s="4">
        <f>IFERROR(__xludf.DUMMYFUNCTION("""COMPUTED_VALUE"""),2.0)</f>
        <v>2</v>
      </c>
      <c r="G1386" s="4">
        <f>IFERROR(__xludf.DUMMYFUNCTION("""COMPUTED_VALUE"""),216.0)</f>
        <v>216</v>
      </c>
      <c r="H1386" s="5">
        <f>IFERROR(__xludf.DUMMYFUNCTION("""COMPUTED_VALUE"""),586.95)</f>
        <v>586.95</v>
      </c>
      <c r="I1386" s="5">
        <f>IFERROR(__xludf.DUMMYFUNCTION("""COMPUTED_VALUE"""),6902.46)</f>
        <v>6902.46</v>
      </c>
      <c r="J1386" s="5">
        <f>IFERROR(__xludf.DUMMYFUNCTION("""COMPUTED_VALUE"""),8619.67)</f>
        <v>8619.67</v>
      </c>
      <c r="K1386" s="5">
        <f>IFERROR(__xludf.DUMMYFUNCTION("""COMPUTED_VALUE"""),1085.71)</f>
        <v>1085.71</v>
      </c>
      <c r="L1386" s="4">
        <f>IFERROR(__xludf.DUMMYFUNCTION("""COMPUTED_VALUE"""),1.0)</f>
        <v>1</v>
      </c>
      <c r="M1386" s="4">
        <f>IFERROR(__xludf.DUMMYFUNCTION("""COMPUTED_VALUE"""),45.0)</f>
        <v>45</v>
      </c>
      <c r="N1386" s="2" t="str">
        <f>IFERROR(__xludf.DUMMYFUNCTION("""COMPUTED_VALUE"""),"VERDADERO")</f>
        <v>VERDADERO</v>
      </c>
    </row>
    <row r="1387">
      <c r="A1387" s="2">
        <f>IFERROR(__xludf.DUMMYFUNCTION("""COMPUTED_VALUE"""),1386.0)</f>
        <v>1386</v>
      </c>
      <c r="B1387" s="2" t="str">
        <f>IFERROR(__xludf.DUMMYFUNCTION("""COMPUTED_VALUE"""),"Vail Ponter")</f>
        <v>Vail Ponter</v>
      </c>
      <c r="C1387" s="2" t="str">
        <f>IFERROR(__xludf.DUMMYFUNCTION("""COMPUTED_VALUE"""),"vponteraq@php.net")</f>
        <v>vponteraq@php.net</v>
      </c>
      <c r="D1387" s="4">
        <f>IFERROR(__xludf.DUMMYFUNCTION("""COMPUTED_VALUE"""),65.0)</f>
        <v>65</v>
      </c>
      <c r="E1387" s="4">
        <f>IFERROR(__xludf.DUMMYFUNCTION("""COMPUTED_VALUE"""),21.0)</f>
        <v>21</v>
      </c>
      <c r="F1387" s="4">
        <f>IFERROR(__xludf.DUMMYFUNCTION("""COMPUTED_VALUE"""),12.0)</f>
        <v>12</v>
      </c>
      <c r="G1387" s="4">
        <f>IFERROR(__xludf.DUMMYFUNCTION("""COMPUTED_VALUE"""),1545.0)</f>
        <v>1545</v>
      </c>
      <c r="H1387" s="5">
        <f>IFERROR(__xludf.DUMMYFUNCTION("""COMPUTED_VALUE"""),4231.53)</f>
        <v>4231.53</v>
      </c>
      <c r="I1387" s="5">
        <f>IFERROR(__xludf.DUMMYFUNCTION("""COMPUTED_VALUE"""),4093.06)</f>
        <v>4093.06</v>
      </c>
      <c r="J1387" s="5">
        <f>IFERROR(__xludf.DUMMYFUNCTION("""COMPUTED_VALUE"""),5729.71)</f>
        <v>5729.71</v>
      </c>
      <c r="K1387" s="5">
        <f>IFERROR(__xludf.DUMMYFUNCTION("""COMPUTED_VALUE"""),9888.45)</f>
        <v>9888.45</v>
      </c>
      <c r="L1387" s="4">
        <f>IFERROR(__xludf.DUMMYFUNCTION("""COMPUTED_VALUE"""),5.0)</f>
        <v>5</v>
      </c>
      <c r="M1387" s="4">
        <f>IFERROR(__xludf.DUMMYFUNCTION("""COMPUTED_VALUE"""),80.0)</f>
        <v>80</v>
      </c>
      <c r="N1387" s="2" t="str">
        <f>IFERROR(__xludf.DUMMYFUNCTION("""COMPUTED_VALUE"""),"VERDADERO")</f>
        <v>VERDADERO</v>
      </c>
    </row>
    <row r="1388">
      <c r="A1388" s="2">
        <f>IFERROR(__xludf.DUMMYFUNCTION("""COMPUTED_VALUE"""),1387.0)</f>
        <v>1387</v>
      </c>
      <c r="B1388" s="2" t="str">
        <f>IFERROR(__xludf.DUMMYFUNCTION("""COMPUTED_VALUE"""),"Salaidh Emmerson")</f>
        <v>Salaidh Emmerson</v>
      </c>
      <c r="C1388" s="2" t="str">
        <f>IFERROR(__xludf.DUMMYFUNCTION("""COMPUTED_VALUE"""),"semmersonar@eventbrite.com")</f>
        <v>semmersonar@eventbrite.com</v>
      </c>
      <c r="D1388" s="4">
        <f>IFERROR(__xludf.DUMMYFUNCTION("""COMPUTED_VALUE"""),11.0)</f>
        <v>11</v>
      </c>
      <c r="E1388" s="4">
        <f>IFERROR(__xludf.DUMMYFUNCTION("""COMPUTED_VALUE"""),44.0)</f>
        <v>44</v>
      </c>
      <c r="F1388" s="4">
        <f>IFERROR(__xludf.DUMMYFUNCTION("""COMPUTED_VALUE"""),8.0)</f>
        <v>8</v>
      </c>
      <c r="G1388" s="4">
        <f>IFERROR(__xludf.DUMMYFUNCTION("""COMPUTED_VALUE"""),1191.0)</f>
        <v>1191</v>
      </c>
      <c r="H1388" s="5">
        <f>IFERROR(__xludf.DUMMYFUNCTION("""COMPUTED_VALUE"""),3595.57)</f>
        <v>3595.57</v>
      </c>
      <c r="I1388" s="5">
        <f>IFERROR(__xludf.DUMMYFUNCTION("""COMPUTED_VALUE"""),3720.48)</f>
        <v>3720.48</v>
      </c>
      <c r="J1388" s="5">
        <f>IFERROR(__xludf.DUMMYFUNCTION("""COMPUTED_VALUE"""),3358.43)</f>
        <v>3358.43</v>
      </c>
      <c r="K1388" s="5">
        <f>IFERROR(__xludf.DUMMYFUNCTION("""COMPUTED_VALUE"""),3645.26)</f>
        <v>3645.26</v>
      </c>
      <c r="L1388" s="4">
        <f>IFERROR(__xludf.DUMMYFUNCTION("""COMPUTED_VALUE"""),14.0)</f>
        <v>14</v>
      </c>
      <c r="M1388" s="4">
        <f>IFERROR(__xludf.DUMMYFUNCTION("""COMPUTED_VALUE"""),91.0)</f>
        <v>91</v>
      </c>
      <c r="N1388" s="2" t="str">
        <f>IFERROR(__xludf.DUMMYFUNCTION("""COMPUTED_VALUE"""),"FALSO")</f>
        <v>FALSO</v>
      </c>
    </row>
    <row r="1389">
      <c r="A1389" s="2">
        <f>IFERROR(__xludf.DUMMYFUNCTION("""COMPUTED_VALUE"""),1388.0)</f>
        <v>1388</v>
      </c>
      <c r="B1389" s="2" t="str">
        <f>IFERROR(__xludf.DUMMYFUNCTION("""COMPUTED_VALUE"""),"Paige Till")</f>
        <v>Paige Till</v>
      </c>
      <c r="C1389" s="2" t="str">
        <f>IFERROR(__xludf.DUMMYFUNCTION("""COMPUTED_VALUE"""),"ptillas@yelp.com")</f>
        <v>ptillas@yelp.com</v>
      </c>
      <c r="D1389" s="4">
        <f>IFERROR(__xludf.DUMMYFUNCTION("""COMPUTED_VALUE"""),65.0)</f>
        <v>65</v>
      </c>
      <c r="E1389" s="4">
        <f>IFERROR(__xludf.DUMMYFUNCTION("""COMPUTED_VALUE"""),6.0)</f>
        <v>6</v>
      </c>
      <c r="F1389" s="4">
        <f>IFERROR(__xludf.DUMMYFUNCTION("""COMPUTED_VALUE"""),13.0)</f>
        <v>13</v>
      </c>
      <c r="G1389" s="4">
        <f>IFERROR(__xludf.DUMMYFUNCTION("""COMPUTED_VALUE"""),1356.0)</f>
        <v>1356</v>
      </c>
      <c r="H1389" s="5">
        <f>IFERROR(__xludf.DUMMYFUNCTION("""COMPUTED_VALUE"""),501.35)</f>
        <v>501.35</v>
      </c>
      <c r="I1389" s="5">
        <f>IFERROR(__xludf.DUMMYFUNCTION("""COMPUTED_VALUE"""),9902.36)</f>
        <v>9902.36</v>
      </c>
      <c r="J1389" s="5">
        <f>IFERROR(__xludf.DUMMYFUNCTION("""COMPUTED_VALUE"""),7735.79)</f>
        <v>7735.79</v>
      </c>
      <c r="K1389" s="5">
        <f>IFERROR(__xludf.DUMMYFUNCTION("""COMPUTED_VALUE"""),7414.47)</f>
        <v>7414.47</v>
      </c>
      <c r="L1389" s="4">
        <f>IFERROR(__xludf.DUMMYFUNCTION("""COMPUTED_VALUE"""),6.0)</f>
        <v>6</v>
      </c>
      <c r="M1389" s="4">
        <f>IFERROR(__xludf.DUMMYFUNCTION("""COMPUTED_VALUE"""),83.0)</f>
        <v>83</v>
      </c>
      <c r="N1389" s="2" t="str">
        <f>IFERROR(__xludf.DUMMYFUNCTION("""COMPUTED_VALUE"""),"VERDADERO")</f>
        <v>VERDADERO</v>
      </c>
    </row>
    <row r="1390">
      <c r="A1390" s="2">
        <f>IFERROR(__xludf.DUMMYFUNCTION("""COMPUTED_VALUE"""),1389.0)</f>
        <v>1389</v>
      </c>
      <c r="B1390" s="2" t="str">
        <f>IFERROR(__xludf.DUMMYFUNCTION("""COMPUTED_VALUE"""),"Reina Hansen")</f>
        <v>Reina Hansen</v>
      </c>
      <c r="C1390" s="2" t="str">
        <f>IFERROR(__xludf.DUMMYFUNCTION("""COMPUTED_VALUE"""),"rhansenat@alexa.com")</f>
        <v>rhansenat@alexa.com</v>
      </c>
      <c r="D1390" s="4">
        <f>IFERROR(__xludf.DUMMYFUNCTION("""COMPUTED_VALUE"""),37.0)</f>
        <v>37</v>
      </c>
      <c r="E1390" s="4">
        <f>IFERROR(__xludf.DUMMYFUNCTION("""COMPUTED_VALUE"""),64.0)</f>
        <v>64</v>
      </c>
      <c r="F1390" s="4">
        <f>IFERROR(__xludf.DUMMYFUNCTION("""COMPUTED_VALUE"""),4.0)</f>
        <v>4</v>
      </c>
      <c r="G1390" s="4">
        <f>IFERROR(__xludf.DUMMYFUNCTION("""COMPUTED_VALUE"""),1442.0)</f>
        <v>1442</v>
      </c>
      <c r="H1390" s="5">
        <f>IFERROR(__xludf.DUMMYFUNCTION("""COMPUTED_VALUE"""),910.71)</f>
        <v>910.71</v>
      </c>
      <c r="I1390" s="5">
        <f>IFERROR(__xludf.DUMMYFUNCTION("""COMPUTED_VALUE"""),8459.82)</f>
        <v>8459.82</v>
      </c>
      <c r="J1390" s="5">
        <f>IFERROR(__xludf.DUMMYFUNCTION("""COMPUTED_VALUE"""),7091.47)</f>
        <v>7091.47</v>
      </c>
      <c r="K1390" s="5">
        <f>IFERROR(__xludf.DUMMYFUNCTION("""COMPUTED_VALUE"""),8478.08)</f>
        <v>8478.08</v>
      </c>
      <c r="L1390" s="4">
        <f>IFERROR(__xludf.DUMMYFUNCTION("""COMPUTED_VALUE"""),19.0)</f>
        <v>19</v>
      </c>
      <c r="M1390" s="4">
        <f>IFERROR(__xludf.DUMMYFUNCTION("""COMPUTED_VALUE"""),21.0)</f>
        <v>21</v>
      </c>
      <c r="N1390" s="2" t="str">
        <f>IFERROR(__xludf.DUMMYFUNCTION("""COMPUTED_VALUE"""),"FALSO")</f>
        <v>FALSO</v>
      </c>
    </row>
    <row r="1391">
      <c r="A1391" s="2">
        <f>IFERROR(__xludf.DUMMYFUNCTION("""COMPUTED_VALUE"""),1390.0)</f>
        <v>1390</v>
      </c>
      <c r="B1391" s="2" t="str">
        <f>IFERROR(__xludf.DUMMYFUNCTION("""COMPUTED_VALUE"""),"Isidro Pallister")</f>
        <v>Isidro Pallister</v>
      </c>
      <c r="C1391" s="2" t="str">
        <f>IFERROR(__xludf.DUMMYFUNCTION("""COMPUTED_VALUE"""),"ipallisterau@harvard.edu")</f>
        <v>ipallisterau@harvard.edu</v>
      </c>
      <c r="D1391" s="4">
        <f>IFERROR(__xludf.DUMMYFUNCTION("""COMPUTED_VALUE"""),153.0)</f>
        <v>153</v>
      </c>
      <c r="E1391" s="4">
        <f>IFERROR(__xludf.DUMMYFUNCTION("""COMPUTED_VALUE"""),2.0)</f>
        <v>2</v>
      </c>
      <c r="F1391" s="4">
        <f>IFERROR(__xludf.DUMMYFUNCTION("""COMPUTED_VALUE"""),5.0)</f>
        <v>5</v>
      </c>
      <c r="G1391" s="4">
        <f>IFERROR(__xludf.DUMMYFUNCTION("""COMPUTED_VALUE"""),337.0)</f>
        <v>337</v>
      </c>
      <c r="H1391" s="5">
        <f>IFERROR(__xludf.DUMMYFUNCTION("""COMPUTED_VALUE"""),8204.5)</f>
        <v>8204.5</v>
      </c>
      <c r="I1391" s="5">
        <f>IFERROR(__xludf.DUMMYFUNCTION("""COMPUTED_VALUE"""),4966.0)</f>
        <v>4966</v>
      </c>
      <c r="J1391" s="5">
        <f>IFERROR(__xludf.DUMMYFUNCTION("""COMPUTED_VALUE"""),6284.19)</f>
        <v>6284.19</v>
      </c>
      <c r="K1391" s="5">
        <f>IFERROR(__xludf.DUMMYFUNCTION("""COMPUTED_VALUE"""),3781.0)</f>
        <v>3781</v>
      </c>
      <c r="L1391" s="4">
        <f>IFERROR(__xludf.DUMMYFUNCTION("""COMPUTED_VALUE"""),10.0)</f>
        <v>10</v>
      </c>
      <c r="M1391" s="4">
        <f>IFERROR(__xludf.DUMMYFUNCTION("""COMPUTED_VALUE"""),71.0)</f>
        <v>71</v>
      </c>
      <c r="N1391" s="2" t="str">
        <f>IFERROR(__xludf.DUMMYFUNCTION("""COMPUTED_VALUE"""),"FALSO")</f>
        <v>FALSO</v>
      </c>
    </row>
    <row r="1392">
      <c r="A1392" s="2">
        <f>IFERROR(__xludf.DUMMYFUNCTION("""COMPUTED_VALUE"""),1391.0)</f>
        <v>1391</v>
      </c>
      <c r="B1392" s="2" t="str">
        <f>IFERROR(__xludf.DUMMYFUNCTION("""COMPUTED_VALUE"""),"Sofia Lyven")</f>
        <v>Sofia Lyven</v>
      </c>
      <c r="C1392" s="2" t="str">
        <f>IFERROR(__xludf.DUMMYFUNCTION("""COMPUTED_VALUE"""),"slyvenav@tiny.cc")</f>
        <v>slyvenav@tiny.cc</v>
      </c>
      <c r="D1392" s="4">
        <f>IFERROR(__xludf.DUMMYFUNCTION("""COMPUTED_VALUE"""),65.0)</f>
        <v>65</v>
      </c>
      <c r="E1392" s="4">
        <f>IFERROR(__xludf.DUMMYFUNCTION("""COMPUTED_VALUE"""),64.0)</f>
        <v>64</v>
      </c>
      <c r="F1392" s="4">
        <f>IFERROR(__xludf.DUMMYFUNCTION("""COMPUTED_VALUE"""),4.0)</f>
        <v>4</v>
      </c>
      <c r="G1392" s="4">
        <f>IFERROR(__xludf.DUMMYFUNCTION("""COMPUTED_VALUE"""),300.0)</f>
        <v>300</v>
      </c>
      <c r="H1392" s="5">
        <f>IFERROR(__xludf.DUMMYFUNCTION("""COMPUTED_VALUE"""),311.61)</f>
        <v>311.61</v>
      </c>
      <c r="I1392" s="5">
        <f>IFERROR(__xludf.DUMMYFUNCTION("""COMPUTED_VALUE"""),7689.08)</f>
        <v>7689.08</v>
      </c>
      <c r="J1392" s="5">
        <f>IFERROR(__xludf.DUMMYFUNCTION("""COMPUTED_VALUE"""),8374.7)</f>
        <v>8374.7</v>
      </c>
      <c r="K1392" s="5">
        <f>IFERROR(__xludf.DUMMYFUNCTION("""COMPUTED_VALUE"""),6726.1)</f>
        <v>6726.1</v>
      </c>
      <c r="L1392" s="4">
        <f>IFERROR(__xludf.DUMMYFUNCTION("""COMPUTED_VALUE"""),8.0)</f>
        <v>8</v>
      </c>
      <c r="M1392" s="4">
        <f>IFERROR(__xludf.DUMMYFUNCTION("""COMPUTED_VALUE"""),65.0)</f>
        <v>65</v>
      </c>
      <c r="N1392" s="2" t="str">
        <f>IFERROR(__xludf.DUMMYFUNCTION("""COMPUTED_VALUE"""),"VERDADERO")</f>
        <v>VERDADERO</v>
      </c>
    </row>
    <row r="1393">
      <c r="A1393" s="2">
        <f>IFERROR(__xludf.DUMMYFUNCTION("""COMPUTED_VALUE"""),1392.0)</f>
        <v>1392</v>
      </c>
      <c r="B1393" s="2" t="str">
        <f>IFERROR(__xludf.DUMMYFUNCTION("""COMPUTED_VALUE"""),"Sergeant Readman")</f>
        <v>Sergeant Readman</v>
      </c>
      <c r="C1393" s="2" t="str">
        <f>IFERROR(__xludf.DUMMYFUNCTION("""COMPUTED_VALUE"""),"sreadmanaw@shinystat.com")</f>
        <v>sreadmanaw@shinystat.com</v>
      </c>
      <c r="D1393" s="4">
        <f>IFERROR(__xludf.DUMMYFUNCTION("""COMPUTED_VALUE"""),153.0)</f>
        <v>153</v>
      </c>
      <c r="E1393" s="4">
        <f>IFERROR(__xludf.DUMMYFUNCTION("""COMPUTED_VALUE"""),90.0)</f>
        <v>90</v>
      </c>
      <c r="F1393" s="4">
        <f>IFERROR(__xludf.DUMMYFUNCTION("""COMPUTED_VALUE"""),5.0)</f>
        <v>5</v>
      </c>
      <c r="G1393" s="4">
        <f>IFERROR(__xludf.DUMMYFUNCTION("""COMPUTED_VALUE"""),702.0)</f>
        <v>702</v>
      </c>
      <c r="H1393" s="5">
        <f>IFERROR(__xludf.DUMMYFUNCTION("""COMPUTED_VALUE"""),2390.57)</f>
        <v>2390.57</v>
      </c>
      <c r="I1393" s="5">
        <f>IFERROR(__xludf.DUMMYFUNCTION("""COMPUTED_VALUE"""),1514.45)</f>
        <v>1514.45</v>
      </c>
      <c r="J1393" s="5">
        <f>IFERROR(__xludf.DUMMYFUNCTION("""COMPUTED_VALUE"""),3236.08)</f>
        <v>3236.08</v>
      </c>
      <c r="K1393" s="5">
        <f>IFERROR(__xludf.DUMMYFUNCTION("""COMPUTED_VALUE"""),3192.18)</f>
        <v>3192.18</v>
      </c>
      <c r="L1393" s="4">
        <f>IFERROR(__xludf.DUMMYFUNCTION("""COMPUTED_VALUE"""),1.0)</f>
        <v>1</v>
      </c>
      <c r="M1393" s="4">
        <f>IFERROR(__xludf.DUMMYFUNCTION("""COMPUTED_VALUE"""),61.0)</f>
        <v>61</v>
      </c>
      <c r="N1393" s="2" t="str">
        <f>IFERROR(__xludf.DUMMYFUNCTION("""COMPUTED_VALUE"""),"VERDADERO")</f>
        <v>VERDADERO</v>
      </c>
    </row>
    <row r="1394">
      <c r="A1394" s="2">
        <f>IFERROR(__xludf.DUMMYFUNCTION("""COMPUTED_VALUE"""),1393.0)</f>
        <v>1393</v>
      </c>
      <c r="B1394" s="2" t="str">
        <f>IFERROR(__xludf.DUMMYFUNCTION("""COMPUTED_VALUE"""),"Madelina Nanelli")</f>
        <v>Madelina Nanelli</v>
      </c>
      <c r="C1394" s="2" t="str">
        <f>IFERROR(__xludf.DUMMYFUNCTION("""COMPUTED_VALUE"""),"mnanelliax@homestead.com")</f>
        <v>mnanelliax@homestead.com</v>
      </c>
      <c r="D1394" s="4">
        <f>IFERROR(__xludf.DUMMYFUNCTION("""COMPUTED_VALUE"""),5.0)</f>
        <v>5</v>
      </c>
      <c r="E1394" s="4">
        <f>IFERROR(__xludf.DUMMYFUNCTION("""COMPUTED_VALUE"""),81.0)</f>
        <v>81</v>
      </c>
      <c r="F1394" s="4">
        <f>IFERROR(__xludf.DUMMYFUNCTION("""COMPUTED_VALUE"""),2.0)</f>
        <v>2</v>
      </c>
      <c r="G1394" s="4">
        <f>IFERROR(__xludf.DUMMYFUNCTION("""COMPUTED_VALUE"""),93.0)</f>
        <v>93</v>
      </c>
      <c r="H1394" s="5">
        <f>IFERROR(__xludf.DUMMYFUNCTION("""COMPUTED_VALUE"""),5171.8)</f>
        <v>5171.8</v>
      </c>
      <c r="I1394" s="5">
        <f>IFERROR(__xludf.DUMMYFUNCTION("""COMPUTED_VALUE"""),5698.38)</f>
        <v>5698.38</v>
      </c>
      <c r="J1394" s="5">
        <f>IFERROR(__xludf.DUMMYFUNCTION("""COMPUTED_VALUE"""),5574.36)</f>
        <v>5574.36</v>
      </c>
      <c r="K1394" s="5">
        <f>IFERROR(__xludf.DUMMYFUNCTION("""COMPUTED_VALUE"""),6060.12)</f>
        <v>6060.12</v>
      </c>
      <c r="L1394" s="4">
        <f>IFERROR(__xludf.DUMMYFUNCTION("""COMPUTED_VALUE"""),20.0)</f>
        <v>20</v>
      </c>
      <c r="M1394" s="4">
        <f>IFERROR(__xludf.DUMMYFUNCTION("""COMPUTED_VALUE"""),97.0)</f>
        <v>97</v>
      </c>
      <c r="N1394" s="2" t="str">
        <f>IFERROR(__xludf.DUMMYFUNCTION("""COMPUTED_VALUE"""),"VERDADERO")</f>
        <v>VERDADERO</v>
      </c>
    </row>
    <row r="1395">
      <c r="A1395" s="2">
        <f>IFERROR(__xludf.DUMMYFUNCTION("""COMPUTED_VALUE"""),1394.0)</f>
        <v>1394</v>
      </c>
      <c r="B1395" s="2" t="str">
        <f>IFERROR(__xludf.DUMMYFUNCTION("""COMPUTED_VALUE"""),"Julianne Rawsen")</f>
        <v>Julianne Rawsen</v>
      </c>
      <c r="C1395" s="2" t="str">
        <f>IFERROR(__xludf.DUMMYFUNCTION("""COMPUTED_VALUE"""),"jrawsenay@bandcamp.com")</f>
        <v>jrawsenay@bandcamp.com</v>
      </c>
      <c r="D1395" s="4">
        <f>IFERROR(__xludf.DUMMYFUNCTION("""COMPUTED_VALUE"""),116.0)</f>
        <v>116</v>
      </c>
      <c r="E1395" s="4">
        <f>IFERROR(__xludf.DUMMYFUNCTION("""COMPUTED_VALUE"""),13.0)</f>
        <v>13</v>
      </c>
      <c r="F1395" s="4">
        <f>IFERROR(__xludf.DUMMYFUNCTION("""COMPUTED_VALUE"""),6.0)</f>
        <v>6</v>
      </c>
      <c r="G1395" s="4">
        <f>IFERROR(__xludf.DUMMYFUNCTION("""COMPUTED_VALUE"""),189.0)</f>
        <v>189</v>
      </c>
      <c r="H1395" s="5">
        <f>IFERROR(__xludf.DUMMYFUNCTION("""COMPUTED_VALUE"""),8309.09)</f>
        <v>8309.09</v>
      </c>
      <c r="I1395" s="5">
        <f>IFERROR(__xludf.DUMMYFUNCTION("""COMPUTED_VALUE"""),4576.95)</f>
        <v>4576.95</v>
      </c>
      <c r="J1395" s="5">
        <f>IFERROR(__xludf.DUMMYFUNCTION("""COMPUTED_VALUE"""),7247.34)</f>
        <v>7247.34</v>
      </c>
      <c r="K1395" s="5">
        <f>IFERROR(__xludf.DUMMYFUNCTION("""COMPUTED_VALUE"""),3019.48)</f>
        <v>3019.48</v>
      </c>
      <c r="L1395" s="4">
        <f>IFERROR(__xludf.DUMMYFUNCTION("""COMPUTED_VALUE"""),2.0)</f>
        <v>2</v>
      </c>
      <c r="M1395" s="4">
        <f>IFERROR(__xludf.DUMMYFUNCTION("""COMPUTED_VALUE"""),58.0)</f>
        <v>58</v>
      </c>
      <c r="N1395" s="2" t="str">
        <f>IFERROR(__xludf.DUMMYFUNCTION("""COMPUTED_VALUE"""),"VERDADERO")</f>
        <v>VERDADERO</v>
      </c>
    </row>
    <row r="1396">
      <c r="A1396" s="2">
        <f>IFERROR(__xludf.DUMMYFUNCTION("""COMPUTED_VALUE"""),1395.0)</f>
        <v>1395</v>
      </c>
      <c r="B1396" s="2" t="str">
        <f>IFERROR(__xludf.DUMMYFUNCTION("""COMPUTED_VALUE"""),"Norry Hofner")</f>
        <v>Norry Hofner</v>
      </c>
      <c r="C1396" s="2" t="str">
        <f>IFERROR(__xludf.DUMMYFUNCTION("""COMPUTED_VALUE"""),"nhofneraz@aboutads.info")</f>
        <v>nhofneraz@aboutads.info</v>
      </c>
      <c r="D1396" s="4">
        <f>IFERROR(__xludf.DUMMYFUNCTION("""COMPUTED_VALUE"""),57.0)</f>
        <v>57</v>
      </c>
      <c r="E1396" s="4">
        <f>IFERROR(__xludf.DUMMYFUNCTION("""COMPUTED_VALUE"""),64.0)</f>
        <v>64</v>
      </c>
      <c r="F1396" s="4">
        <f>IFERROR(__xludf.DUMMYFUNCTION("""COMPUTED_VALUE"""),4.0)</f>
        <v>4</v>
      </c>
      <c r="G1396" s="4">
        <f>IFERROR(__xludf.DUMMYFUNCTION("""COMPUTED_VALUE"""),910.0)</f>
        <v>910</v>
      </c>
      <c r="H1396" s="5">
        <f>IFERROR(__xludf.DUMMYFUNCTION("""COMPUTED_VALUE"""),168.67)</f>
        <v>168.67</v>
      </c>
      <c r="I1396" s="5">
        <f>IFERROR(__xludf.DUMMYFUNCTION("""COMPUTED_VALUE"""),638.88)</f>
        <v>638.88</v>
      </c>
      <c r="J1396" s="5">
        <f>IFERROR(__xludf.DUMMYFUNCTION("""COMPUTED_VALUE"""),7030.38)</f>
        <v>7030.38</v>
      </c>
      <c r="K1396" s="5">
        <f>IFERROR(__xludf.DUMMYFUNCTION("""COMPUTED_VALUE"""),9479.27)</f>
        <v>9479.27</v>
      </c>
      <c r="L1396" s="4">
        <f>IFERROR(__xludf.DUMMYFUNCTION("""COMPUTED_VALUE"""),10.0)</f>
        <v>10</v>
      </c>
      <c r="M1396" s="4">
        <f>IFERROR(__xludf.DUMMYFUNCTION("""COMPUTED_VALUE"""),26.0)</f>
        <v>26</v>
      </c>
      <c r="N1396" s="2" t="str">
        <f>IFERROR(__xludf.DUMMYFUNCTION("""COMPUTED_VALUE"""),"VERDADERO")</f>
        <v>VERDADERO</v>
      </c>
    </row>
    <row r="1397">
      <c r="A1397" s="2">
        <f>IFERROR(__xludf.DUMMYFUNCTION("""COMPUTED_VALUE"""),1396.0)</f>
        <v>1396</v>
      </c>
      <c r="B1397" s="2" t="str">
        <f>IFERROR(__xludf.DUMMYFUNCTION("""COMPUTED_VALUE"""),"Giacomo Drohun")</f>
        <v>Giacomo Drohun</v>
      </c>
      <c r="C1397" s="2" t="str">
        <f>IFERROR(__xludf.DUMMYFUNCTION("""COMPUTED_VALUE"""),"gdrohunb0@nature.com")</f>
        <v>gdrohunb0@nature.com</v>
      </c>
      <c r="D1397" s="4">
        <f>IFERROR(__xludf.DUMMYFUNCTION("""COMPUTED_VALUE"""),29.0)</f>
        <v>29</v>
      </c>
      <c r="E1397" s="4">
        <f>IFERROR(__xludf.DUMMYFUNCTION("""COMPUTED_VALUE"""),7.0)</f>
        <v>7</v>
      </c>
      <c r="F1397" s="4">
        <f>IFERROR(__xludf.DUMMYFUNCTION("""COMPUTED_VALUE"""),8.0)</f>
        <v>8</v>
      </c>
      <c r="G1397" s="4">
        <f>IFERROR(__xludf.DUMMYFUNCTION("""COMPUTED_VALUE"""),1221.0)</f>
        <v>1221</v>
      </c>
      <c r="H1397" s="5">
        <f>IFERROR(__xludf.DUMMYFUNCTION("""COMPUTED_VALUE"""),9470.79)</f>
        <v>9470.79</v>
      </c>
      <c r="I1397" s="5">
        <f>IFERROR(__xludf.DUMMYFUNCTION("""COMPUTED_VALUE"""),6506.89)</f>
        <v>6506.89</v>
      </c>
      <c r="J1397" s="5">
        <f>IFERROR(__xludf.DUMMYFUNCTION("""COMPUTED_VALUE"""),4975.86)</f>
        <v>4975.86</v>
      </c>
      <c r="K1397" s="5">
        <f>IFERROR(__xludf.DUMMYFUNCTION("""COMPUTED_VALUE"""),1786.67)</f>
        <v>1786.67</v>
      </c>
      <c r="L1397" s="4">
        <f>IFERROR(__xludf.DUMMYFUNCTION("""COMPUTED_VALUE"""),13.0)</f>
        <v>13</v>
      </c>
      <c r="M1397" s="4">
        <f>IFERROR(__xludf.DUMMYFUNCTION("""COMPUTED_VALUE"""),12.0)</f>
        <v>12</v>
      </c>
      <c r="N1397" s="2" t="str">
        <f>IFERROR(__xludf.DUMMYFUNCTION("""COMPUTED_VALUE"""),"VERDADERO")</f>
        <v>VERDADERO</v>
      </c>
    </row>
    <row r="1398">
      <c r="A1398" s="2">
        <f>IFERROR(__xludf.DUMMYFUNCTION("""COMPUTED_VALUE"""),1397.0)</f>
        <v>1397</v>
      </c>
      <c r="B1398" s="2" t="str">
        <f>IFERROR(__xludf.DUMMYFUNCTION("""COMPUTED_VALUE"""),"Erina Foard")</f>
        <v>Erina Foard</v>
      </c>
      <c r="C1398" s="2" t="str">
        <f>IFERROR(__xludf.DUMMYFUNCTION("""COMPUTED_VALUE"""),"efoardb1@opera.com")</f>
        <v>efoardb1@opera.com</v>
      </c>
      <c r="D1398" s="4">
        <f>IFERROR(__xludf.DUMMYFUNCTION("""COMPUTED_VALUE"""),122.0)</f>
        <v>122</v>
      </c>
      <c r="E1398" s="4">
        <f>IFERROR(__xludf.DUMMYFUNCTION("""COMPUTED_VALUE"""),17.0)</f>
        <v>17</v>
      </c>
      <c r="F1398" s="4">
        <f>IFERROR(__xludf.DUMMYFUNCTION("""COMPUTED_VALUE"""),5.0)</f>
        <v>5</v>
      </c>
      <c r="G1398" s="4">
        <f>IFERROR(__xludf.DUMMYFUNCTION("""COMPUTED_VALUE"""),406.0)</f>
        <v>406</v>
      </c>
      <c r="H1398" s="5">
        <f>IFERROR(__xludf.DUMMYFUNCTION("""COMPUTED_VALUE"""),8141.85)</f>
        <v>8141.85</v>
      </c>
      <c r="I1398" s="5">
        <f>IFERROR(__xludf.DUMMYFUNCTION("""COMPUTED_VALUE"""),4383.7)</f>
        <v>4383.7</v>
      </c>
      <c r="J1398" s="5">
        <f>IFERROR(__xludf.DUMMYFUNCTION("""COMPUTED_VALUE"""),7465.41)</f>
        <v>7465.41</v>
      </c>
      <c r="K1398" s="5">
        <f>IFERROR(__xludf.DUMMYFUNCTION("""COMPUTED_VALUE"""),4097.88)</f>
        <v>4097.88</v>
      </c>
      <c r="L1398" s="4">
        <f>IFERROR(__xludf.DUMMYFUNCTION("""COMPUTED_VALUE"""),10.0)</f>
        <v>10</v>
      </c>
      <c r="M1398" s="4">
        <f>IFERROR(__xludf.DUMMYFUNCTION("""COMPUTED_VALUE"""),38.0)</f>
        <v>38</v>
      </c>
      <c r="N1398" s="2" t="str">
        <f>IFERROR(__xludf.DUMMYFUNCTION("""COMPUTED_VALUE"""),"VERDADERO")</f>
        <v>VERDADERO</v>
      </c>
    </row>
    <row r="1399">
      <c r="A1399" s="2">
        <f>IFERROR(__xludf.DUMMYFUNCTION("""COMPUTED_VALUE"""),1398.0)</f>
        <v>1398</v>
      </c>
      <c r="B1399" s="2" t="str">
        <f>IFERROR(__xludf.DUMMYFUNCTION("""COMPUTED_VALUE"""),"Norby Gilsthorpe")</f>
        <v>Norby Gilsthorpe</v>
      </c>
      <c r="C1399" s="2" t="str">
        <f>IFERROR(__xludf.DUMMYFUNCTION("""COMPUTED_VALUE"""),"ngilsthorpeb2@newsvine.com")</f>
        <v>ngilsthorpeb2@newsvine.com</v>
      </c>
      <c r="D1399" s="4">
        <f>IFERROR(__xludf.DUMMYFUNCTION("""COMPUTED_VALUE"""),49.0)</f>
        <v>49</v>
      </c>
      <c r="E1399" s="4">
        <f>IFERROR(__xludf.DUMMYFUNCTION("""COMPUTED_VALUE"""),100.0)</f>
        <v>100</v>
      </c>
      <c r="F1399" s="4">
        <f>IFERROR(__xludf.DUMMYFUNCTION("""COMPUTED_VALUE"""),9.0)</f>
        <v>9</v>
      </c>
      <c r="G1399" s="4">
        <f>IFERROR(__xludf.DUMMYFUNCTION("""COMPUTED_VALUE"""),452.0)</f>
        <v>452</v>
      </c>
      <c r="H1399" s="5">
        <f>IFERROR(__xludf.DUMMYFUNCTION("""COMPUTED_VALUE"""),1268.9)</f>
        <v>1268.9</v>
      </c>
      <c r="I1399" s="5">
        <f>IFERROR(__xludf.DUMMYFUNCTION("""COMPUTED_VALUE"""),3964.89)</f>
        <v>3964.89</v>
      </c>
      <c r="J1399" s="5">
        <f>IFERROR(__xludf.DUMMYFUNCTION("""COMPUTED_VALUE"""),3092.01)</f>
        <v>3092.01</v>
      </c>
      <c r="K1399" s="5">
        <f>IFERROR(__xludf.DUMMYFUNCTION("""COMPUTED_VALUE"""),2374.43)</f>
        <v>2374.43</v>
      </c>
      <c r="L1399" s="4">
        <f>IFERROR(__xludf.DUMMYFUNCTION("""COMPUTED_VALUE"""),15.0)</f>
        <v>15</v>
      </c>
      <c r="M1399" s="4">
        <f>IFERROR(__xludf.DUMMYFUNCTION("""COMPUTED_VALUE"""),6.0)</f>
        <v>6</v>
      </c>
      <c r="N1399" s="2" t="str">
        <f>IFERROR(__xludf.DUMMYFUNCTION("""COMPUTED_VALUE"""),"FALSO")</f>
        <v>FALSO</v>
      </c>
    </row>
    <row r="1400">
      <c r="A1400" s="2">
        <f>IFERROR(__xludf.DUMMYFUNCTION("""COMPUTED_VALUE"""),1399.0)</f>
        <v>1399</v>
      </c>
      <c r="B1400" s="2" t="str">
        <f>IFERROR(__xludf.DUMMYFUNCTION("""COMPUTED_VALUE"""),"Carita Bacher")</f>
        <v>Carita Bacher</v>
      </c>
      <c r="C1400" s="2" t="str">
        <f>IFERROR(__xludf.DUMMYFUNCTION("""COMPUTED_VALUE"""),"cbacherb3@wordpress.org")</f>
        <v>cbacherb3@wordpress.org</v>
      </c>
      <c r="D1400" s="4">
        <f>IFERROR(__xludf.DUMMYFUNCTION("""COMPUTED_VALUE"""),120.0)</f>
        <v>120</v>
      </c>
      <c r="E1400" s="4">
        <f>IFERROR(__xludf.DUMMYFUNCTION("""COMPUTED_VALUE"""),81.0)</f>
        <v>81</v>
      </c>
      <c r="F1400" s="4">
        <f>IFERROR(__xludf.DUMMYFUNCTION("""COMPUTED_VALUE"""),2.0)</f>
        <v>2</v>
      </c>
      <c r="G1400" s="4">
        <f>IFERROR(__xludf.DUMMYFUNCTION("""COMPUTED_VALUE"""),1575.0)</f>
        <v>1575</v>
      </c>
      <c r="H1400" s="5">
        <f>IFERROR(__xludf.DUMMYFUNCTION("""COMPUTED_VALUE"""),8495.31)</f>
        <v>8495.31</v>
      </c>
      <c r="I1400" s="5">
        <f>IFERROR(__xludf.DUMMYFUNCTION("""COMPUTED_VALUE"""),2968.51)</f>
        <v>2968.51</v>
      </c>
      <c r="J1400" s="5">
        <f>IFERROR(__xludf.DUMMYFUNCTION("""COMPUTED_VALUE"""),8855.46)</f>
        <v>8855.46</v>
      </c>
      <c r="K1400" s="5">
        <f>IFERROR(__xludf.DUMMYFUNCTION("""COMPUTED_VALUE"""),7698.7)</f>
        <v>7698.7</v>
      </c>
      <c r="L1400" s="4">
        <f>IFERROR(__xludf.DUMMYFUNCTION("""COMPUTED_VALUE"""),4.0)</f>
        <v>4</v>
      </c>
      <c r="M1400" s="4">
        <f>IFERROR(__xludf.DUMMYFUNCTION("""COMPUTED_VALUE"""),59.0)</f>
        <v>59</v>
      </c>
      <c r="N1400" s="2" t="str">
        <f>IFERROR(__xludf.DUMMYFUNCTION("""COMPUTED_VALUE"""),"VERDADERO")</f>
        <v>VERDADERO</v>
      </c>
    </row>
    <row r="1401">
      <c r="A1401" s="2">
        <f>IFERROR(__xludf.DUMMYFUNCTION("""COMPUTED_VALUE"""),1400.0)</f>
        <v>1400</v>
      </c>
      <c r="B1401" s="2" t="str">
        <f>IFERROR(__xludf.DUMMYFUNCTION("""COMPUTED_VALUE"""),"Libby Oager")</f>
        <v>Libby Oager</v>
      </c>
      <c r="C1401" s="2" t="str">
        <f>IFERROR(__xludf.DUMMYFUNCTION("""COMPUTED_VALUE"""),"loagerb4@amazon.de")</f>
        <v>loagerb4@amazon.de</v>
      </c>
      <c r="D1401" s="4">
        <f>IFERROR(__xludf.DUMMYFUNCTION("""COMPUTED_VALUE"""),55.0)</f>
        <v>55</v>
      </c>
      <c r="E1401" s="4">
        <f>IFERROR(__xludf.DUMMYFUNCTION("""COMPUTED_VALUE"""),17.0)</f>
        <v>17</v>
      </c>
      <c r="F1401" s="4">
        <f>IFERROR(__xludf.DUMMYFUNCTION("""COMPUTED_VALUE"""),5.0)</f>
        <v>5</v>
      </c>
      <c r="G1401" s="4">
        <f>IFERROR(__xludf.DUMMYFUNCTION("""COMPUTED_VALUE"""),1086.0)</f>
        <v>1086</v>
      </c>
      <c r="H1401" s="5">
        <f>IFERROR(__xludf.DUMMYFUNCTION("""COMPUTED_VALUE"""),8479.72)</f>
        <v>8479.72</v>
      </c>
      <c r="I1401" s="5">
        <f>IFERROR(__xludf.DUMMYFUNCTION("""COMPUTED_VALUE"""),2008.78)</f>
        <v>2008.78</v>
      </c>
      <c r="J1401" s="5">
        <f>IFERROR(__xludf.DUMMYFUNCTION("""COMPUTED_VALUE"""),3032.82)</f>
        <v>3032.82</v>
      </c>
      <c r="K1401" s="5">
        <f>IFERROR(__xludf.DUMMYFUNCTION("""COMPUTED_VALUE"""),7969.03)</f>
        <v>7969.03</v>
      </c>
      <c r="L1401" s="4">
        <f>IFERROR(__xludf.DUMMYFUNCTION("""COMPUTED_VALUE"""),8.0)</f>
        <v>8</v>
      </c>
      <c r="M1401" s="4">
        <f>IFERROR(__xludf.DUMMYFUNCTION("""COMPUTED_VALUE"""),69.0)</f>
        <v>69</v>
      </c>
      <c r="N1401" s="2" t="str">
        <f>IFERROR(__xludf.DUMMYFUNCTION("""COMPUTED_VALUE"""),"FALSO")</f>
        <v>FALSO</v>
      </c>
    </row>
    <row r="1402">
      <c r="A1402" s="2">
        <f>IFERROR(__xludf.DUMMYFUNCTION("""COMPUTED_VALUE"""),1401.0)</f>
        <v>1401</v>
      </c>
      <c r="B1402" s="2" t="str">
        <f>IFERROR(__xludf.DUMMYFUNCTION("""COMPUTED_VALUE"""),"Jobi Gidney")</f>
        <v>Jobi Gidney</v>
      </c>
      <c r="C1402" s="2" t="str">
        <f>IFERROR(__xludf.DUMMYFUNCTION("""COMPUTED_VALUE"""),"jgidneyb5@wisc.edu")</f>
        <v>jgidneyb5@wisc.edu</v>
      </c>
      <c r="D1402" s="4">
        <f>IFERROR(__xludf.DUMMYFUNCTION("""COMPUTED_VALUE"""),37.0)</f>
        <v>37</v>
      </c>
      <c r="E1402" s="4">
        <f>IFERROR(__xludf.DUMMYFUNCTION("""COMPUTED_VALUE"""),64.0)</f>
        <v>64</v>
      </c>
      <c r="F1402" s="4">
        <f>IFERROR(__xludf.DUMMYFUNCTION("""COMPUTED_VALUE"""),4.0)</f>
        <v>4</v>
      </c>
      <c r="G1402" s="4">
        <f>IFERROR(__xludf.DUMMYFUNCTION("""COMPUTED_VALUE"""),1133.0)</f>
        <v>1133</v>
      </c>
      <c r="H1402" s="5">
        <f>IFERROR(__xludf.DUMMYFUNCTION("""COMPUTED_VALUE"""),7261.98)</f>
        <v>7261.98</v>
      </c>
      <c r="I1402" s="5">
        <f>IFERROR(__xludf.DUMMYFUNCTION("""COMPUTED_VALUE"""),9025.45)</f>
        <v>9025.45</v>
      </c>
      <c r="J1402" s="5">
        <f>IFERROR(__xludf.DUMMYFUNCTION("""COMPUTED_VALUE"""),904.44)</f>
        <v>904.44</v>
      </c>
      <c r="K1402" s="5">
        <f>IFERROR(__xludf.DUMMYFUNCTION("""COMPUTED_VALUE"""),2891.47)</f>
        <v>2891.47</v>
      </c>
      <c r="L1402" s="4">
        <f>IFERROR(__xludf.DUMMYFUNCTION("""COMPUTED_VALUE"""),20.0)</f>
        <v>20</v>
      </c>
      <c r="M1402" s="4">
        <f>IFERROR(__xludf.DUMMYFUNCTION("""COMPUTED_VALUE"""),63.0)</f>
        <v>63</v>
      </c>
      <c r="N1402" s="2" t="str">
        <f>IFERROR(__xludf.DUMMYFUNCTION("""COMPUTED_VALUE"""),"FALSO")</f>
        <v>FALSO</v>
      </c>
    </row>
    <row r="1403">
      <c r="A1403" s="2">
        <f>IFERROR(__xludf.DUMMYFUNCTION("""COMPUTED_VALUE"""),1402.0)</f>
        <v>1402</v>
      </c>
      <c r="B1403" s="2" t="str">
        <f>IFERROR(__xludf.DUMMYFUNCTION("""COMPUTED_VALUE"""),"Sidonia Opy")</f>
        <v>Sidonia Opy</v>
      </c>
      <c r="C1403" s="2" t="str">
        <f>IFERROR(__xludf.DUMMYFUNCTION("""COMPUTED_VALUE"""),"sopyb6@pen.io")</f>
        <v>sopyb6@pen.io</v>
      </c>
      <c r="D1403" s="4">
        <f>IFERROR(__xludf.DUMMYFUNCTION("""COMPUTED_VALUE"""),29.0)</f>
        <v>29</v>
      </c>
      <c r="E1403" s="4">
        <f>IFERROR(__xludf.DUMMYFUNCTION("""COMPUTED_VALUE"""),90.0)</f>
        <v>90</v>
      </c>
      <c r="F1403" s="4">
        <f>IFERROR(__xludf.DUMMYFUNCTION("""COMPUTED_VALUE"""),5.0)</f>
        <v>5</v>
      </c>
      <c r="G1403" s="4">
        <f>IFERROR(__xludf.DUMMYFUNCTION("""COMPUTED_VALUE"""),1548.0)</f>
        <v>1548</v>
      </c>
      <c r="H1403" s="5">
        <f>IFERROR(__xludf.DUMMYFUNCTION("""COMPUTED_VALUE"""),7479.63)</f>
        <v>7479.63</v>
      </c>
      <c r="I1403" s="5">
        <f>IFERROR(__xludf.DUMMYFUNCTION("""COMPUTED_VALUE"""),1317.24)</f>
        <v>1317.24</v>
      </c>
      <c r="J1403" s="5">
        <f>IFERROR(__xludf.DUMMYFUNCTION("""COMPUTED_VALUE"""),4849.82)</f>
        <v>4849.82</v>
      </c>
      <c r="K1403" s="5">
        <f>IFERROR(__xludf.DUMMYFUNCTION("""COMPUTED_VALUE"""),5395.82)</f>
        <v>5395.82</v>
      </c>
      <c r="L1403" s="4">
        <f>IFERROR(__xludf.DUMMYFUNCTION("""COMPUTED_VALUE"""),11.0)</f>
        <v>11</v>
      </c>
      <c r="M1403" s="4">
        <f>IFERROR(__xludf.DUMMYFUNCTION("""COMPUTED_VALUE"""),9.0)</f>
        <v>9</v>
      </c>
      <c r="N1403" s="2" t="str">
        <f>IFERROR(__xludf.DUMMYFUNCTION("""COMPUTED_VALUE"""),"FALSO")</f>
        <v>FALSO</v>
      </c>
    </row>
    <row r="1404">
      <c r="A1404" s="2">
        <f>IFERROR(__xludf.DUMMYFUNCTION("""COMPUTED_VALUE"""),1403.0)</f>
        <v>1403</v>
      </c>
      <c r="B1404" s="2" t="str">
        <f>IFERROR(__xludf.DUMMYFUNCTION("""COMPUTED_VALUE"""),"Milo Vedmore")</f>
        <v>Milo Vedmore</v>
      </c>
      <c r="C1404" s="2" t="str">
        <f>IFERROR(__xludf.DUMMYFUNCTION("""COMPUTED_VALUE"""),"mvedmoreb7@github.io")</f>
        <v>mvedmoreb7@github.io</v>
      </c>
      <c r="D1404" s="4">
        <f>IFERROR(__xludf.DUMMYFUNCTION("""COMPUTED_VALUE"""),137.0)</f>
        <v>137</v>
      </c>
      <c r="E1404" s="4">
        <f>IFERROR(__xludf.DUMMYFUNCTION("""COMPUTED_VALUE"""),85.0)</f>
        <v>85</v>
      </c>
      <c r="F1404" s="4">
        <f>IFERROR(__xludf.DUMMYFUNCTION("""COMPUTED_VALUE"""),3.0)</f>
        <v>3</v>
      </c>
      <c r="G1404" s="4">
        <f>IFERROR(__xludf.DUMMYFUNCTION("""COMPUTED_VALUE"""),524.0)</f>
        <v>524</v>
      </c>
      <c r="H1404" s="5">
        <f>IFERROR(__xludf.DUMMYFUNCTION("""COMPUTED_VALUE"""),5801.76)</f>
        <v>5801.76</v>
      </c>
      <c r="I1404" s="5">
        <f>IFERROR(__xludf.DUMMYFUNCTION("""COMPUTED_VALUE"""),3129.96)</f>
        <v>3129.96</v>
      </c>
      <c r="J1404" s="5">
        <f>IFERROR(__xludf.DUMMYFUNCTION("""COMPUTED_VALUE"""),6044.77)</f>
        <v>6044.77</v>
      </c>
      <c r="K1404" s="5">
        <f>IFERROR(__xludf.DUMMYFUNCTION("""COMPUTED_VALUE"""),866.0)</f>
        <v>866</v>
      </c>
      <c r="L1404" s="4">
        <f>IFERROR(__xludf.DUMMYFUNCTION("""COMPUTED_VALUE"""),14.0)</f>
        <v>14</v>
      </c>
      <c r="M1404" s="4">
        <f>IFERROR(__xludf.DUMMYFUNCTION("""COMPUTED_VALUE"""),16.0)</f>
        <v>16</v>
      </c>
      <c r="N1404" s="2" t="str">
        <f>IFERROR(__xludf.DUMMYFUNCTION("""COMPUTED_VALUE"""),"VERDADERO")</f>
        <v>VERDADERO</v>
      </c>
    </row>
    <row r="1405">
      <c r="A1405" s="2">
        <f>IFERROR(__xludf.DUMMYFUNCTION("""COMPUTED_VALUE"""),1404.0)</f>
        <v>1404</v>
      </c>
      <c r="B1405" s="2" t="str">
        <f>IFERROR(__xludf.DUMMYFUNCTION("""COMPUTED_VALUE"""),"Raviv McKernan")</f>
        <v>Raviv McKernan</v>
      </c>
      <c r="C1405" s="2" t="str">
        <f>IFERROR(__xludf.DUMMYFUNCTION("""COMPUTED_VALUE"""),"rmckernanb8@google.cn")</f>
        <v>rmckernanb8@google.cn</v>
      </c>
      <c r="D1405" s="4">
        <f>IFERROR(__xludf.DUMMYFUNCTION("""COMPUTED_VALUE"""),94.0)</f>
        <v>94</v>
      </c>
      <c r="E1405" s="4">
        <f>IFERROR(__xludf.DUMMYFUNCTION("""COMPUTED_VALUE"""),44.0)</f>
        <v>44</v>
      </c>
      <c r="F1405" s="4">
        <f>IFERROR(__xludf.DUMMYFUNCTION("""COMPUTED_VALUE"""),9.0)</f>
        <v>9</v>
      </c>
      <c r="G1405" s="4">
        <f>IFERROR(__xludf.DUMMYFUNCTION("""COMPUTED_VALUE"""),119.0)</f>
        <v>119</v>
      </c>
      <c r="H1405" s="5">
        <f>IFERROR(__xludf.DUMMYFUNCTION("""COMPUTED_VALUE"""),2952.91)</f>
        <v>2952.91</v>
      </c>
      <c r="I1405" s="5">
        <f>IFERROR(__xludf.DUMMYFUNCTION("""COMPUTED_VALUE"""),9054.13)</f>
        <v>9054.13</v>
      </c>
      <c r="J1405" s="5">
        <f>IFERROR(__xludf.DUMMYFUNCTION("""COMPUTED_VALUE"""),1493.26)</f>
        <v>1493.26</v>
      </c>
      <c r="K1405" s="5">
        <f>IFERROR(__xludf.DUMMYFUNCTION("""COMPUTED_VALUE"""),300.32)</f>
        <v>300.32</v>
      </c>
      <c r="L1405" s="4">
        <f>IFERROR(__xludf.DUMMYFUNCTION("""COMPUTED_VALUE"""),9.0)</f>
        <v>9</v>
      </c>
      <c r="M1405" s="4">
        <f>IFERROR(__xludf.DUMMYFUNCTION("""COMPUTED_VALUE"""),89.0)</f>
        <v>89</v>
      </c>
      <c r="N1405" s="2" t="str">
        <f>IFERROR(__xludf.DUMMYFUNCTION("""COMPUTED_VALUE"""),"FALSO")</f>
        <v>FALSO</v>
      </c>
    </row>
    <row r="1406">
      <c r="A1406" s="2">
        <f>IFERROR(__xludf.DUMMYFUNCTION("""COMPUTED_VALUE"""),1405.0)</f>
        <v>1405</v>
      </c>
      <c r="B1406" s="2" t="str">
        <f>IFERROR(__xludf.DUMMYFUNCTION("""COMPUTED_VALUE"""),"Carena McKernan")</f>
        <v>Carena McKernan</v>
      </c>
      <c r="C1406" s="2" t="str">
        <f>IFERROR(__xludf.DUMMYFUNCTION("""COMPUTED_VALUE"""),"cmckernanb9@ycombinator.com")</f>
        <v>cmckernanb9@ycombinator.com</v>
      </c>
      <c r="D1406" s="4">
        <f>IFERROR(__xludf.DUMMYFUNCTION("""COMPUTED_VALUE"""),124.0)</f>
        <v>124</v>
      </c>
      <c r="E1406" s="4">
        <f>IFERROR(__xludf.DUMMYFUNCTION("""COMPUTED_VALUE"""),111.0)</f>
        <v>111</v>
      </c>
      <c r="F1406" s="4">
        <f>IFERROR(__xludf.DUMMYFUNCTION("""COMPUTED_VALUE"""),4.0)</f>
        <v>4</v>
      </c>
      <c r="G1406" s="4">
        <f>IFERROR(__xludf.DUMMYFUNCTION("""COMPUTED_VALUE"""),922.0)</f>
        <v>922</v>
      </c>
      <c r="H1406" s="5">
        <f>IFERROR(__xludf.DUMMYFUNCTION("""COMPUTED_VALUE"""),8369.41)</f>
        <v>8369.41</v>
      </c>
      <c r="I1406" s="5">
        <f>IFERROR(__xludf.DUMMYFUNCTION("""COMPUTED_VALUE"""),3128.88)</f>
        <v>3128.88</v>
      </c>
      <c r="J1406" s="5">
        <f>IFERROR(__xludf.DUMMYFUNCTION("""COMPUTED_VALUE"""),9100.38)</f>
        <v>9100.38</v>
      </c>
      <c r="K1406" s="5">
        <f>IFERROR(__xludf.DUMMYFUNCTION("""COMPUTED_VALUE"""),8344.23)</f>
        <v>8344.23</v>
      </c>
      <c r="L1406" s="4">
        <f>IFERROR(__xludf.DUMMYFUNCTION("""COMPUTED_VALUE"""),18.0)</f>
        <v>18</v>
      </c>
      <c r="M1406" s="4">
        <f>IFERROR(__xludf.DUMMYFUNCTION("""COMPUTED_VALUE"""),33.0)</f>
        <v>33</v>
      </c>
      <c r="N1406" s="2" t="str">
        <f>IFERROR(__xludf.DUMMYFUNCTION("""COMPUTED_VALUE"""),"FALSO")</f>
        <v>FALSO</v>
      </c>
    </row>
    <row r="1407">
      <c r="A1407" s="2">
        <f>IFERROR(__xludf.DUMMYFUNCTION("""COMPUTED_VALUE"""),1406.0)</f>
        <v>1406</v>
      </c>
      <c r="B1407" s="2" t="str">
        <f>IFERROR(__xludf.DUMMYFUNCTION("""COMPUTED_VALUE"""),"Leela Groundwater")</f>
        <v>Leela Groundwater</v>
      </c>
      <c r="C1407" s="2" t="str">
        <f>IFERROR(__xludf.DUMMYFUNCTION("""COMPUTED_VALUE"""),"lgroundwaterba@slashdot.org")</f>
        <v>lgroundwaterba@slashdot.org</v>
      </c>
      <c r="D1407" s="4">
        <f>IFERROR(__xludf.DUMMYFUNCTION("""COMPUTED_VALUE"""),124.0)</f>
        <v>124</v>
      </c>
      <c r="E1407" s="4">
        <f>IFERROR(__xludf.DUMMYFUNCTION("""COMPUTED_VALUE"""),39.0)</f>
        <v>39</v>
      </c>
      <c r="F1407" s="4">
        <f>IFERROR(__xludf.DUMMYFUNCTION("""COMPUTED_VALUE"""),11.0)</f>
        <v>11</v>
      </c>
      <c r="G1407" s="4">
        <f>IFERROR(__xludf.DUMMYFUNCTION("""COMPUTED_VALUE"""),1499.0)</f>
        <v>1499</v>
      </c>
      <c r="H1407" s="5">
        <f>IFERROR(__xludf.DUMMYFUNCTION("""COMPUTED_VALUE"""),2876.33)</f>
        <v>2876.33</v>
      </c>
      <c r="I1407" s="5">
        <f>IFERROR(__xludf.DUMMYFUNCTION("""COMPUTED_VALUE"""),2257.77)</f>
        <v>2257.77</v>
      </c>
      <c r="J1407" s="5">
        <f>IFERROR(__xludf.DUMMYFUNCTION("""COMPUTED_VALUE"""),5205.88)</f>
        <v>5205.88</v>
      </c>
      <c r="K1407" s="5">
        <f>IFERROR(__xludf.DUMMYFUNCTION("""COMPUTED_VALUE"""),53.35)</f>
        <v>53.35</v>
      </c>
      <c r="L1407" s="4">
        <f>IFERROR(__xludf.DUMMYFUNCTION("""COMPUTED_VALUE"""),11.0)</f>
        <v>11</v>
      </c>
      <c r="M1407" s="4">
        <f>IFERROR(__xludf.DUMMYFUNCTION("""COMPUTED_VALUE"""),58.0)</f>
        <v>58</v>
      </c>
      <c r="N1407" s="2" t="str">
        <f>IFERROR(__xludf.DUMMYFUNCTION("""COMPUTED_VALUE"""),"FALSO")</f>
        <v>FALSO</v>
      </c>
    </row>
    <row r="1408">
      <c r="A1408" s="2">
        <f>IFERROR(__xludf.DUMMYFUNCTION("""COMPUTED_VALUE"""),1407.0)</f>
        <v>1407</v>
      </c>
      <c r="B1408" s="2" t="str">
        <f>IFERROR(__xludf.DUMMYFUNCTION("""COMPUTED_VALUE"""),"Elsy Grinston")</f>
        <v>Elsy Grinston</v>
      </c>
      <c r="C1408" s="2" t="str">
        <f>IFERROR(__xludf.DUMMYFUNCTION("""COMPUTED_VALUE"""),"egrinstonbb@woothemes.com")</f>
        <v>egrinstonbb@woothemes.com</v>
      </c>
      <c r="D1408" s="4">
        <f>IFERROR(__xludf.DUMMYFUNCTION("""COMPUTED_VALUE"""),125.0)</f>
        <v>125</v>
      </c>
      <c r="E1408" s="4">
        <f>IFERROR(__xludf.DUMMYFUNCTION("""COMPUTED_VALUE"""),81.0)</f>
        <v>81</v>
      </c>
      <c r="F1408" s="4">
        <f>IFERROR(__xludf.DUMMYFUNCTION("""COMPUTED_VALUE"""),2.0)</f>
        <v>2</v>
      </c>
      <c r="G1408" s="4">
        <f>IFERROR(__xludf.DUMMYFUNCTION("""COMPUTED_VALUE"""),184.0)</f>
        <v>184</v>
      </c>
      <c r="H1408" s="5">
        <f>IFERROR(__xludf.DUMMYFUNCTION("""COMPUTED_VALUE"""),5313.38)</f>
        <v>5313.38</v>
      </c>
      <c r="I1408" s="5">
        <f>IFERROR(__xludf.DUMMYFUNCTION("""COMPUTED_VALUE"""),112.59)</f>
        <v>112.59</v>
      </c>
      <c r="J1408" s="5">
        <f>IFERROR(__xludf.DUMMYFUNCTION("""COMPUTED_VALUE"""),290.32)</f>
        <v>290.32</v>
      </c>
      <c r="K1408" s="5">
        <f>IFERROR(__xludf.DUMMYFUNCTION("""COMPUTED_VALUE"""),9256.02)</f>
        <v>9256.02</v>
      </c>
      <c r="L1408" s="4">
        <f>IFERROR(__xludf.DUMMYFUNCTION("""COMPUTED_VALUE"""),18.0)</f>
        <v>18</v>
      </c>
      <c r="M1408" s="4">
        <f>IFERROR(__xludf.DUMMYFUNCTION("""COMPUTED_VALUE"""),4.0)</f>
        <v>4</v>
      </c>
      <c r="N1408" s="2" t="str">
        <f>IFERROR(__xludf.DUMMYFUNCTION("""COMPUTED_VALUE"""),"FALSO")</f>
        <v>FALSO</v>
      </c>
    </row>
    <row r="1409">
      <c r="A1409" s="2">
        <f>IFERROR(__xludf.DUMMYFUNCTION("""COMPUTED_VALUE"""),1408.0)</f>
        <v>1408</v>
      </c>
      <c r="B1409" s="2" t="str">
        <f>IFERROR(__xludf.DUMMYFUNCTION("""COMPUTED_VALUE"""),"Stanislaus McAne")</f>
        <v>Stanislaus McAne</v>
      </c>
      <c r="C1409" s="2" t="str">
        <f>IFERROR(__xludf.DUMMYFUNCTION("""COMPUTED_VALUE"""),"smcanebc@friendfeed.com")</f>
        <v>smcanebc@friendfeed.com</v>
      </c>
      <c r="D1409" s="4">
        <f>IFERROR(__xludf.DUMMYFUNCTION("""COMPUTED_VALUE"""),60.0)</f>
        <v>60</v>
      </c>
      <c r="E1409" s="4">
        <f>IFERROR(__xludf.DUMMYFUNCTION("""COMPUTED_VALUE"""),81.0)</f>
        <v>81</v>
      </c>
      <c r="F1409" s="4">
        <f>IFERROR(__xludf.DUMMYFUNCTION("""COMPUTED_VALUE"""),2.0)</f>
        <v>2</v>
      </c>
      <c r="G1409" s="4">
        <f>IFERROR(__xludf.DUMMYFUNCTION("""COMPUTED_VALUE"""),1047.0)</f>
        <v>1047</v>
      </c>
      <c r="H1409" s="5">
        <f>IFERROR(__xludf.DUMMYFUNCTION("""COMPUTED_VALUE"""),3117.58)</f>
        <v>3117.58</v>
      </c>
      <c r="I1409" s="5">
        <f>IFERROR(__xludf.DUMMYFUNCTION("""COMPUTED_VALUE"""),1415.18)</f>
        <v>1415.18</v>
      </c>
      <c r="J1409" s="5">
        <f>IFERROR(__xludf.DUMMYFUNCTION("""COMPUTED_VALUE"""),4915.34)</f>
        <v>4915.34</v>
      </c>
      <c r="K1409" s="5">
        <f>IFERROR(__xludf.DUMMYFUNCTION("""COMPUTED_VALUE"""),2485.58)</f>
        <v>2485.58</v>
      </c>
      <c r="L1409" s="4">
        <f>IFERROR(__xludf.DUMMYFUNCTION("""COMPUTED_VALUE"""),15.0)</f>
        <v>15</v>
      </c>
      <c r="M1409" s="4">
        <f>IFERROR(__xludf.DUMMYFUNCTION("""COMPUTED_VALUE"""),25.0)</f>
        <v>25</v>
      </c>
      <c r="N1409" s="2" t="str">
        <f>IFERROR(__xludf.DUMMYFUNCTION("""COMPUTED_VALUE"""),"FALSO")</f>
        <v>FALSO</v>
      </c>
    </row>
    <row r="1410">
      <c r="A1410" s="2">
        <f>IFERROR(__xludf.DUMMYFUNCTION("""COMPUTED_VALUE"""),1409.0)</f>
        <v>1409</v>
      </c>
      <c r="B1410" s="2" t="str">
        <f>IFERROR(__xludf.DUMMYFUNCTION("""COMPUTED_VALUE"""),"Gaby Dalwood")</f>
        <v>Gaby Dalwood</v>
      </c>
      <c r="C1410" s="2" t="str">
        <f>IFERROR(__xludf.DUMMYFUNCTION("""COMPUTED_VALUE"""),"gdalwoodbd@mysql.com")</f>
        <v>gdalwoodbd@mysql.com</v>
      </c>
      <c r="D1410" s="4">
        <f>IFERROR(__xludf.DUMMYFUNCTION("""COMPUTED_VALUE"""),28.0)</f>
        <v>28</v>
      </c>
      <c r="E1410" s="4">
        <f>IFERROR(__xludf.DUMMYFUNCTION("""COMPUTED_VALUE"""),107.0)</f>
        <v>107</v>
      </c>
      <c r="F1410" s="4">
        <f>IFERROR(__xludf.DUMMYFUNCTION("""COMPUTED_VALUE"""),5.0)</f>
        <v>5</v>
      </c>
      <c r="G1410" s="4">
        <f>IFERROR(__xludf.DUMMYFUNCTION("""COMPUTED_VALUE"""),1222.0)</f>
        <v>1222</v>
      </c>
      <c r="H1410" s="5">
        <f>IFERROR(__xludf.DUMMYFUNCTION("""COMPUTED_VALUE"""),1296.84)</f>
        <v>1296.84</v>
      </c>
      <c r="I1410" s="5">
        <f>IFERROR(__xludf.DUMMYFUNCTION("""COMPUTED_VALUE"""),6479.93)</f>
        <v>6479.93</v>
      </c>
      <c r="J1410" s="5">
        <f>IFERROR(__xludf.DUMMYFUNCTION("""COMPUTED_VALUE"""),2419.03)</f>
        <v>2419.03</v>
      </c>
      <c r="K1410" s="5">
        <f>IFERROR(__xludf.DUMMYFUNCTION("""COMPUTED_VALUE"""),3842.09)</f>
        <v>3842.09</v>
      </c>
      <c r="L1410" s="4">
        <f>IFERROR(__xludf.DUMMYFUNCTION("""COMPUTED_VALUE"""),11.0)</f>
        <v>11</v>
      </c>
      <c r="M1410" s="4">
        <f>IFERROR(__xludf.DUMMYFUNCTION("""COMPUTED_VALUE"""),79.0)</f>
        <v>79</v>
      </c>
      <c r="N1410" s="2" t="str">
        <f>IFERROR(__xludf.DUMMYFUNCTION("""COMPUTED_VALUE"""),"VERDADERO")</f>
        <v>VERDADERO</v>
      </c>
    </row>
    <row r="1411">
      <c r="A1411" s="2">
        <f>IFERROR(__xludf.DUMMYFUNCTION("""COMPUTED_VALUE"""),1410.0)</f>
        <v>1410</v>
      </c>
      <c r="B1411" s="2" t="str">
        <f>IFERROR(__xludf.DUMMYFUNCTION("""COMPUTED_VALUE"""),"Vitoria Denyer")</f>
        <v>Vitoria Denyer</v>
      </c>
      <c r="C1411" s="2" t="str">
        <f>IFERROR(__xludf.DUMMYFUNCTION("""COMPUTED_VALUE"""),"vdenyerbe@google.ca")</f>
        <v>vdenyerbe@google.ca</v>
      </c>
      <c r="D1411" s="4">
        <f>IFERROR(__xludf.DUMMYFUNCTION("""COMPUTED_VALUE"""),153.0)</f>
        <v>153</v>
      </c>
      <c r="E1411" s="4">
        <f>IFERROR(__xludf.DUMMYFUNCTION("""COMPUTED_VALUE"""),81.0)</f>
        <v>81</v>
      </c>
      <c r="F1411" s="4">
        <f>IFERROR(__xludf.DUMMYFUNCTION("""COMPUTED_VALUE"""),2.0)</f>
        <v>2</v>
      </c>
      <c r="G1411" s="4">
        <f>IFERROR(__xludf.DUMMYFUNCTION("""COMPUTED_VALUE"""),1117.0)</f>
        <v>1117</v>
      </c>
      <c r="H1411" s="5">
        <f>IFERROR(__xludf.DUMMYFUNCTION("""COMPUTED_VALUE"""),2520.32)</f>
        <v>2520.32</v>
      </c>
      <c r="I1411" s="5">
        <f>IFERROR(__xludf.DUMMYFUNCTION("""COMPUTED_VALUE"""),5655.25)</f>
        <v>5655.25</v>
      </c>
      <c r="J1411" s="5">
        <f>IFERROR(__xludf.DUMMYFUNCTION("""COMPUTED_VALUE"""),2541.88)</f>
        <v>2541.88</v>
      </c>
      <c r="K1411" s="5">
        <f>IFERROR(__xludf.DUMMYFUNCTION("""COMPUTED_VALUE"""),4385.63)</f>
        <v>4385.63</v>
      </c>
      <c r="L1411" s="4">
        <f>IFERROR(__xludf.DUMMYFUNCTION("""COMPUTED_VALUE"""),6.0)</f>
        <v>6</v>
      </c>
      <c r="M1411" s="4">
        <f>IFERROR(__xludf.DUMMYFUNCTION("""COMPUTED_VALUE"""),48.0)</f>
        <v>48</v>
      </c>
      <c r="N1411" s="2" t="str">
        <f>IFERROR(__xludf.DUMMYFUNCTION("""COMPUTED_VALUE"""),"VERDADERO")</f>
        <v>VERDADERO</v>
      </c>
    </row>
    <row r="1412">
      <c r="A1412" s="2">
        <f>IFERROR(__xludf.DUMMYFUNCTION("""COMPUTED_VALUE"""),1411.0)</f>
        <v>1411</v>
      </c>
      <c r="B1412" s="2" t="str">
        <f>IFERROR(__xludf.DUMMYFUNCTION("""COMPUTED_VALUE"""),"Wolfgang MacDuff")</f>
        <v>Wolfgang MacDuff</v>
      </c>
      <c r="C1412" s="2" t="str">
        <f>IFERROR(__xludf.DUMMYFUNCTION("""COMPUTED_VALUE"""),"wmacduffbf@wunderground.com")</f>
        <v>wmacduffbf@wunderground.com</v>
      </c>
      <c r="D1412" s="4">
        <f>IFERROR(__xludf.DUMMYFUNCTION("""COMPUTED_VALUE"""),121.0)</f>
        <v>121</v>
      </c>
      <c r="E1412" s="4">
        <f>IFERROR(__xludf.DUMMYFUNCTION("""COMPUTED_VALUE"""),66.0)</f>
        <v>66</v>
      </c>
      <c r="F1412" s="4">
        <f>IFERROR(__xludf.DUMMYFUNCTION("""COMPUTED_VALUE"""),6.0)</f>
        <v>6</v>
      </c>
      <c r="G1412" s="4">
        <f>IFERROR(__xludf.DUMMYFUNCTION("""COMPUTED_VALUE"""),682.0)</f>
        <v>682</v>
      </c>
      <c r="H1412" s="5">
        <f>IFERROR(__xludf.DUMMYFUNCTION("""COMPUTED_VALUE"""),1846.1)</f>
        <v>1846.1</v>
      </c>
      <c r="I1412" s="5">
        <f>IFERROR(__xludf.DUMMYFUNCTION("""COMPUTED_VALUE"""),3117.08)</f>
        <v>3117.08</v>
      </c>
      <c r="J1412" s="5">
        <f>IFERROR(__xludf.DUMMYFUNCTION("""COMPUTED_VALUE"""),9055.03)</f>
        <v>9055.03</v>
      </c>
      <c r="K1412" s="5">
        <f>IFERROR(__xludf.DUMMYFUNCTION("""COMPUTED_VALUE"""),5651.2)</f>
        <v>5651.2</v>
      </c>
      <c r="L1412" s="4">
        <f>IFERROR(__xludf.DUMMYFUNCTION("""COMPUTED_VALUE"""),15.0)</f>
        <v>15</v>
      </c>
      <c r="M1412" s="4">
        <f>IFERROR(__xludf.DUMMYFUNCTION("""COMPUTED_VALUE"""),86.0)</f>
        <v>86</v>
      </c>
      <c r="N1412" s="2" t="str">
        <f>IFERROR(__xludf.DUMMYFUNCTION("""COMPUTED_VALUE"""),"FALSO")</f>
        <v>FALSO</v>
      </c>
    </row>
    <row r="1413">
      <c r="A1413" s="2">
        <f>IFERROR(__xludf.DUMMYFUNCTION("""COMPUTED_VALUE"""),1412.0)</f>
        <v>1412</v>
      </c>
      <c r="B1413" s="2" t="str">
        <f>IFERROR(__xludf.DUMMYFUNCTION("""COMPUTED_VALUE"""),"Janos Alderson")</f>
        <v>Janos Alderson</v>
      </c>
      <c r="C1413" s="2" t="str">
        <f>IFERROR(__xludf.DUMMYFUNCTION("""COMPUTED_VALUE"""),"jaldersonbg@g.co")</f>
        <v>jaldersonbg@g.co</v>
      </c>
      <c r="D1413" s="4">
        <f>IFERROR(__xludf.DUMMYFUNCTION("""COMPUTED_VALUE"""),29.0)</f>
        <v>29</v>
      </c>
      <c r="E1413" s="4">
        <f>IFERROR(__xludf.DUMMYFUNCTION("""COMPUTED_VALUE"""),65.0)</f>
        <v>65</v>
      </c>
      <c r="F1413" s="4">
        <f>IFERROR(__xludf.DUMMYFUNCTION("""COMPUTED_VALUE"""),9.0)</f>
        <v>9</v>
      </c>
      <c r="G1413" s="4">
        <f>IFERROR(__xludf.DUMMYFUNCTION("""COMPUTED_VALUE"""),669.0)</f>
        <v>669</v>
      </c>
      <c r="H1413" s="5">
        <f>IFERROR(__xludf.DUMMYFUNCTION("""COMPUTED_VALUE"""),565.83)</f>
        <v>565.83</v>
      </c>
      <c r="I1413" s="5">
        <f>IFERROR(__xludf.DUMMYFUNCTION("""COMPUTED_VALUE"""),1049.16)</f>
        <v>1049.16</v>
      </c>
      <c r="J1413" s="5">
        <f>IFERROR(__xludf.DUMMYFUNCTION("""COMPUTED_VALUE"""),3905.87)</f>
        <v>3905.87</v>
      </c>
      <c r="K1413" s="5">
        <f>IFERROR(__xludf.DUMMYFUNCTION("""COMPUTED_VALUE"""),653.74)</f>
        <v>653.74</v>
      </c>
      <c r="L1413" s="4">
        <f>IFERROR(__xludf.DUMMYFUNCTION("""COMPUTED_VALUE"""),5.0)</f>
        <v>5</v>
      </c>
      <c r="M1413" s="4">
        <f>IFERROR(__xludf.DUMMYFUNCTION("""COMPUTED_VALUE"""),62.0)</f>
        <v>62</v>
      </c>
      <c r="N1413" s="2" t="str">
        <f>IFERROR(__xludf.DUMMYFUNCTION("""COMPUTED_VALUE"""),"FALSO")</f>
        <v>FALSO</v>
      </c>
    </row>
    <row r="1414">
      <c r="A1414" s="2">
        <f>IFERROR(__xludf.DUMMYFUNCTION("""COMPUTED_VALUE"""),1413.0)</f>
        <v>1413</v>
      </c>
      <c r="B1414" s="2" t="str">
        <f>IFERROR(__xludf.DUMMYFUNCTION("""COMPUTED_VALUE"""),"Diena Gilyott")</f>
        <v>Diena Gilyott</v>
      </c>
      <c r="C1414" s="2" t="str">
        <f>IFERROR(__xludf.DUMMYFUNCTION("""COMPUTED_VALUE"""),"dgilyottbh@netvibes.com")</f>
        <v>dgilyottbh@netvibes.com</v>
      </c>
      <c r="D1414" s="4">
        <f>IFERROR(__xludf.DUMMYFUNCTION("""COMPUTED_VALUE"""),48.0)</f>
        <v>48</v>
      </c>
      <c r="E1414" s="4">
        <f>IFERROR(__xludf.DUMMYFUNCTION("""COMPUTED_VALUE"""),81.0)</f>
        <v>81</v>
      </c>
      <c r="F1414" s="4">
        <f>IFERROR(__xludf.DUMMYFUNCTION("""COMPUTED_VALUE"""),2.0)</f>
        <v>2</v>
      </c>
      <c r="G1414" s="4">
        <f>IFERROR(__xludf.DUMMYFUNCTION("""COMPUTED_VALUE"""),985.0)</f>
        <v>985</v>
      </c>
      <c r="H1414" s="5">
        <f>IFERROR(__xludf.DUMMYFUNCTION("""COMPUTED_VALUE"""),6369.22)</f>
        <v>6369.22</v>
      </c>
      <c r="I1414" s="5">
        <f>IFERROR(__xludf.DUMMYFUNCTION("""COMPUTED_VALUE"""),8792.92)</f>
        <v>8792.92</v>
      </c>
      <c r="J1414" s="5">
        <f>IFERROR(__xludf.DUMMYFUNCTION("""COMPUTED_VALUE"""),2525.47)</f>
        <v>2525.47</v>
      </c>
      <c r="K1414" s="5">
        <f>IFERROR(__xludf.DUMMYFUNCTION("""COMPUTED_VALUE"""),2510.61)</f>
        <v>2510.61</v>
      </c>
      <c r="L1414" s="4">
        <f>IFERROR(__xludf.DUMMYFUNCTION("""COMPUTED_VALUE"""),6.0)</f>
        <v>6</v>
      </c>
      <c r="M1414" s="4">
        <f>IFERROR(__xludf.DUMMYFUNCTION("""COMPUTED_VALUE"""),66.0)</f>
        <v>66</v>
      </c>
      <c r="N1414" s="2" t="str">
        <f>IFERROR(__xludf.DUMMYFUNCTION("""COMPUTED_VALUE"""),"FALSO")</f>
        <v>FALSO</v>
      </c>
    </row>
    <row r="1415">
      <c r="A1415" s="2">
        <f>IFERROR(__xludf.DUMMYFUNCTION("""COMPUTED_VALUE"""),1414.0)</f>
        <v>1414</v>
      </c>
      <c r="B1415" s="2" t="str">
        <f>IFERROR(__xludf.DUMMYFUNCTION("""COMPUTED_VALUE"""),"Kelley Malin")</f>
        <v>Kelley Malin</v>
      </c>
      <c r="C1415" s="2" t="str">
        <f>IFERROR(__xludf.DUMMYFUNCTION("""COMPUTED_VALUE"""),"kmalinbi@elegantthemes.com")</f>
        <v>kmalinbi@elegantthemes.com</v>
      </c>
      <c r="D1415" s="4">
        <f>IFERROR(__xludf.DUMMYFUNCTION("""COMPUTED_VALUE"""),29.0)</f>
        <v>29</v>
      </c>
      <c r="E1415" s="4">
        <f>IFERROR(__xludf.DUMMYFUNCTION("""COMPUTED_VALUE"""),111.0)</f>
        <v>111</v>
      </c>
      <c r="F1415" s="4">
        <f>IFERROR(__xludf.DUMMYFUNCTION("""COMPUTED_VALUE"""),4.0)</f>
        <v>4</v>
      </c>
      <c r="G1415" s="4">
        <f>IFERROR(__xludf.DUMMYFUNCTION("""COMPUTED_VALUE"""),10.0)</f>
        <v>10</v>
      </c>
      <c r="H1415" s="5">
        <f>IFERROR(__xludf.DUMMYFUNCTION("""COMPUTED_VALUE"""),5619.18)</f>
        <v>5619.18</v>
      </c>
      <c r="I1415" s="5">
        <f>IFERROR(__xludf.DUMMYFUNCTION("""COMPUTED_VALUE"""),7279.28)</f>
        <v>7279.28</v>
      </c>
      <c r="J1415" s="5">
        <f>IFERROR(__xludf.DUMMYFUNCTION("""COMPUTED_VALUE"""),373.48)</f>
        <v>373.48</v>
      </c>
      <c r="K1415" s="5">
        <f>IFERROR(__xludf.DUMMYFUNCTION("""COMPUTED_VALUE"""),6662.19)</f>
        <v>6662.19</v>
      </c>
      <c r="L1415" s="4">
        <f>IFERROR(__xludf.DUMMYFUNCTION("""COMPUTED_VALUE"""),15.0)</f>
        <v>15</v>
      </c>
      <c r="M1415" s="4">
        <f>IFERROR(__xludf.DUMMYFUNCTION("""COMPUTED_VALUE"""),25.0)</f>
        <v>25</v>
      </c>
      <c r="N1415" s="2" t="str">
        <f>IFERROR(__xludf.DUMMYFUNCTION("""COMPUTED_VALUE"""),"FALSO")</f>
        <v>FALSO</v>
      </c>
    </row>
    <row r="1416">
      <c r="A1416" s="2">
        <f>IFERROR(__xludf.DUMMYFUNCTION("""COMPUTED_VALUE"""),1415.0)</f>
        <v>1415</v>
      </c>
      <c r="B1416" s="2" t="str">
        <f>IFERROR(__xludf.DUMMYFUNCTION("""COMPUTED_VALUE"""),"Dilan Smithers")</f>
        <v>Dilan Smithers</v>
      </c>
      <c r="C1416" s="2" t="str">
        <f>IFERROR(__xludf.DUMMYFUNCTION("""COMPUTED_VALUE"""),"dsmithersbj@netvibes.com")</f>
        <v>dsmithersbj@netvibes.com</v>
      </c>
      <c r="D1416" s="4">
        <f>IFERROR(__xludf.DUMMYFUNCTION("""COMPUTED_VALUE"""),142.0)</f>
        <v>142</v>
      </c>
      <c r="E1416" s="4">
        <f>IFERROR(__xludf.DUMMYFUNCTION("""COMPUTED_VALUE"""),30.0)</f>
        <v>30</v>
      </c>
      <c r="F1416" s="4">
        <f>IFERROR(__xludf.DUMMYFUNCTION("""COMPUTED_VALUE"""),11.0)</f>
        <v>11</v>
      </c>
      <c r="G1416" s="4">
        <f>IFERROR(__xludf.DUMMYFUNCTION("""COMPUTED_VALUE"""),1402.0)</f>
        <v>1402</v>
      </c>
      <c r="H1416" s="5">
        <f>IFERROR(__xludf.DUMMYFUNCTION("""COMPUTED_VALUE"""),1930.07)</f>
        <v>1930.07</v>
      </c>
      <c r="I1416" s="5">
        <f>IFERROR(__xludf.DUMMYFUNCTION("""COMPUTED_VALUE"""),4149.51)</f>
        <v>4149.51</v>
      </c>
      <c r="J1416" s="5">
        <f>IFERROR(__xludf.DUMMYFUNCTION("""COMPUTED_VALUE"""),607.23)</f>
        <v>607.23</v>
      </c>
      <c r="K1416" s="5">
        <f>IFERROR(__xludf.DUMMYFUNCTION("""COMPUTED_VALUE"""),3320.85)</f>
        <v>3320.85</v>
      </c>
      <c r="L1416" s="4">
        <f>IFERROR(__xludf.DUMMYFUNCTION("""COMPUTED_VALUE"""),18.0)</f>
        <v>18</v>
      </c>
      <c r="M1416" s="4">
        <f>IFERROR(__xludf.DUMMYFUNCTION("""COMPUTED_VALUE"""),46.0)</f>
        <v>46</v>
      </c>
      <c r="N1416" s="2" t="str">
        <f>IFERROR(__xludf.DUMMYFUNCTION("""COMPUTED_VALUE"""),"FALSO")</f>
        <v>FALSO</v>
      </c>
    </row>
    <row r="1417">
      <c r="A1417" s="2">
        <f>IFERROR(__xludf.DUMMYFUNCTION("""COMPUTED_VALUE"""),1416.0)</f>
        <v>1416</v>
      </c>
      <c r="B1417" s="2" t="str">
        <f>IFERROR(__xludf.DUMMYFUNCTION("""COMPUTED_VALUE"""),"Anna O'Grada")</f>
        <v>Anna O'Grada</v>
      </c>
      <c r="C1417" s="2" t="str">
        <f>IFERROR(__xludf.DUMMYFUNCTION("""COMPUTED_VALUE"""),"aogradabk@is.gd")</f>
        <v>aogradabk@is.gd</v>
      </c>
      <c r="D1417" s="4">
        <f>IFERROR(__xludf.DUMMYFUNCTION("""COMPUTED_VALUE"""),37.0)</f>
        <v>37</v>
      </c>
      <c r="E1417" s="4">
        <f>IFERROR(__xludf.DUMMYFUNCTION("""COMPUTED_VALUE"""),66.0)</f>
        <v>66</v>
      </c>
      <c r="F1417" s="4">
        <f>IFERROR(__xludf.DUMMYFUNCTION("""COMPUTED_VALUE"""),6.0)</f>
        <v>6</v>
      </c>
      <c r="G1417" s="4">
        <f>IFERROR(__xludf.DUMMYFUNCTION("""COMPUTED_VALUE"""),738.0)</f>
        <v>738</v>
      </c>
      <c r="H1417" s="5">
        <f>IFERROR(__xludf.DUMMYFUNCTION("""COMPUTED_VALUE"""),2094.78)</f>
        <v>2094.78</v>
      </c>
      <c r="I1417" s="5">
        <f>IFERROR(__xludf.DUMMYFUNCTION("""COMPUTED_VALUE"""),3555.42)</f>
        <v>3555.42</v>
      </c>
      <c r="J1417" s="5">
        <f>IFERROR(__xludf.DUMMYFUNCTION("""COMPUTED_VALUE"""),3828.68)</f>
        <v>3828.68</v>
      </c>
      <c r="K1417" s="5">
        <f>IFERROR(__xludf.DUMMYFUNCTION("""COMPUTED_VALUE"""),2916.56)</f>
        <v>2916.56</v>
      </c>
      <c r="L1417" s="4">
        <f>IFERROR(__xludf.DUMMYFUNCTION("""COMPUTED_VALUE"""),5.0)</f>
        <v>5</v>
      </c>
      <c r="M1417" s="4">
        <f>IFERROR(__xludf.DUMMYFUNCTION("""COMPUTED_VALUE"""),28.0)</f>
        <v>28</v>
      </c>
      <c r="N1417" s="2" t="str">
        <f>IFERROR(__xludf.DUMMYFUNCTION("""COMPUTED_VALUE"""),"VERDADERO")</f>
        <v>VERDADERO</v>
      </c>
    </row>
    <row r="1418">
      <c r="A1418" s="2">
        <f>IFERROR(__xludf.DUMMYFUNCTION("""COMPUTED_VALUE"""),1417.0)</f>
        <v>1417</v>
      </c>
      <c r="B1418" s="2" t="str">
        <f>IFERROR(__xludf.DUMMYFUNCTION("""COMPUTED_VALUE"""),"Pip Camplin")</f>
        <v>Pip Camplin</v>
      </c>
      <c r="C1418" s="2" t="str">
        <f>IFERROR(__xludf.DUMMYFUNCTION("""COMPUTED_VALUE"""),"pcamplinbl@reddit.com")</f>
        <v>pcamplinbl@reddit.com</v>
      </c>
      <c r="D1418" s="4">
        <f>IFERROR(__xludf.DUMMYFUNCTION("""COMPUTED_VALUE"""),137.0)</f>
        <v>137</v>
      </c>
      <c r="E1418" s="4">
        <f>IFERROR(__xludf.DUMMYFUNCTION("""COMPUTED_VALUE"""),30.0)</f>
        <v>30</v>
      </c>
      <c r="F1418" s="4">
        <f>IFERROR(__xludf.DUMMYFUNCTION("""COMPUTED_VALUE"""),11.0)</f>
        <v>11</v>
      </c>
      <c r="G1418" s="4">
        <f>IFERROR(__xludf.DUMMYFUNCTION("""COMPUTED_VALUE"""),1547.0)</f>
        <v>1547</v>
      </c>
      <c r="H1418" s="5">
        <f>IFERROR(__xludf.DUMMYFUNCTION("""COMPUTED_VALUE"""),2981.12)</f>
        <v>2981.12</v>
      </c>
      <c r="I1418" s="5">
        <f>IFERROR(__xludf.DUMMYFUNCTION("""COMPUTED_VALUE"""),7576.39)</f>
        <v>7576.39</v>
      </c>
      <c r="J1418" s="5">
        <f>IFERROR(__xludf.DUMMYFUNCTION("""COMPUTED_VALUE"""),8612.46)</f>
        <v>8612.46</v>
      </c>
      <c r="K1418" s="5">
        <f>IFERROR(__xludf.DUMMYFUNCTION("""COMPUTED_VALUE"""),4755.48)</f>
        <v>4755.48</v>
      </c>
      <c r="L1418" s="4">
        <f>IFERROR(__xludf.DUMMYFUNCTION("""COMPUTED_VALUE"""),3.0)</f>
        <v>3</v>
      </c>
      <c r="M1418" s="4">
        <f>IFERROR(__xludf.DUMMYFUNCTION("""COMPUTED_VALUE"""),48.0)</f>
        <v>48</v>
      </c>
      <c r="N1418" s="2" t="str">
        <f>IFERROR(__xludf.DUMMYFUNCTION("""COMPUTED_VALUE"""),"FALSO")</f>
        <v>FALSO</v>
      </c>
    </row>
    <row r="1419">
      <c r="A1419" s="2">
        <f>IFERROR(__xludf.DUMMYFUNCTION("""COMPUTED_VALUE"""),1418.0)</f>
        <v>1418</v>
      </c>
      <c r="B1419" s="2" t="str">
        <f>IFERROR(__xludf.DUMMYFUNCTION("""COMPUTED_VALUE"""),"Manya Karchowski")</f>
        <v>Manya Karchowski</v>
      </c>
      <c r="C1419" s="2" t="str">
        <f>IFERROR(__xludf.DUMMYFUNCTION("""COMPUTED_VALUE"""),"mkarchowskibm@utexas.edu")</f>
        <v>mkarchowskibm@utexas.edu</v>
      </c>
      <c r="D1419" s="4">
        <f>IFERROR(__xludf.DUMMYFUNCTION("""COMPUTED_VALUE"""),124.0)</f>
        <v>124</v>
      </c>
      <c r="E1419" s="4">
        <f>IFERROR(__xludf.DUMMYFUNCTION("""COMPUTED_VALUE"""),9.0)</f>
        <v>9</v>
      </c>
      <c r="F1419" s="4">
        <f>IFERROR(__xludf.DUMMYFUNCTION("""COMPUTED_VALUE"""),5.0)</f>
        <v>5</v>
      </c>
      <c r="G1419" s="4">
        <f>IFERROR(__xludf.DUMMYFUNCTION("""COMPUTED_VALUE"""),952.0)</f>
        <v>952</v>
      </c>
      <c r="H1419" s="5">
        <f>IFERROR(__xludf.DUMMYFUNCTION("""COMPUTED_VALUE"""),2053.74)</f>
        <v>2053.74</v>
      </c>
      <c r="I1419" s="5">
        <f>IFERROR(__xludf.DUMMYFUNCTION("""COMPUTED_VALUE"""),6331.71)</f>
        <v>6331.71</v>
      </c>
      <c r="J1419" s="5">
        <f>IFERROR(__xludf.DUMMYFUNCTION("""COMPUTED_VALUE"""),4446.59)</f>
        <v>4446.59</v>
      </c>
      <c r="K1419" s="5">
        <f>IFERROR(__xludf.DUMMYFUNCTION("""COMPUTED_VALUE"""),6035.48)</f>
        <v>6035.48</v>
      </c>
      <c r="L1419" s="4">
        <f>IFERROR(__xludf.DUMMYFUNCTION("""COMPUTED_VALUE"""),17.0)</f>
        <v>17</v>
      </c>
      <c r="M1419" s="4">
        <f>IFERROR(__xludf.DUMMYFUNCTION("""COMPUTED_VALUE"""),56.0)</f>
        <v>56</v>
      </c>
      <c r="N1419" s="2" t="str">
        <f>IFERROR(__xludf.DUMMYFUNCTION("""COMPUTED_VALUE"""),"VERDADERO")</f>
        <v>VERDADERO</v>
      </c>
    </row>
    <row r="1420">
      <c r="A1420" s="2">
        <f>IFERROR(__xludf.DUMMYFUNCTION("""COMPUTED_VALUE"""),1419.0)</f>
        <v>1419</v>
      </c>
      <c r="B1420" s="2" t="str">
        <f>IFERROR(__xludf.DUMMYFUNCTION("""COMPUTED_VALUE"""),"Zacharia Harce")</f>
        <v>Zacharia Harce</v>
      </c>
      <c r="C1420" s="2" t="str">
        <f>IFERROR(__xludf.DUMMYFUNCTION("""COMPUTED_VALUE"""),"zharcebn@amazon.de")</f>
        <v>zharcebn@amazon.de</v>
      </c>
      <c r="D1420" s="4">
        <f>IFERROR(__xludf.DUMMYFUNCTION("""COMPUTED_VALUE"""),158.0)</f>
        <v>158</v>
      </c>
      <c r="E1420" s="4">
        <f>IFERROR(__xludf.DUMMYFUNCTION("""COMPUTED_VALUE"""),64.0)</f>
        <v>64</v>
      </c>
      <c r="F1420" s="4">
        <f>IFERROR(__xludf.DUMMYFUNCTION("""COMPUTED_VALUE"""),4.0)</f>
        <v>4</v>
      </c>
      <c r="G1420" s="4">
        <f>IFERROR(__xludf.DUMMYFUNCTION("""COMPUTED_VALUE"""),440.0)</f>
        <v>440</v>
      </c>
      <c r="H1420" s="5">
        <f>IFERROR(__xludf.DUMMYFUNCTION("""COMPUTED_VALUE"""),2558.13)</f>
        <v>2558.13</v>
      </c>
      <c r="I1420" s="5">
        <f>IFERROR(__xludf.DUMMYFUNCTION("""COMPUTED_VALUE"""),2281.15)</f>
        <v>2281.15</v>
      </c>
      <c r="J1420" s="5">
        <f>IFERROR(__xludf.DUMMYFUNCTION("""COMPUTED_VALUE"""),2355.4)</f>
        <v>2355.4</v>
      </c>
      <c r="K1420" s="5">
        <f>IFERROR(__xludf.DUMMYFUNCTION("""COMPUTED_VALUE"""),2232.96)</f>
        <v>2232.96</v>
      </c>
      <c r="L1420" s="4">
        <f>IFERROR(__xludf.DUMMYFUNCTION("""COMPUTED_VALUE"""),16.0)</f>
        <v>16</v>
      </c>
      <c r="M1420" s="4">
        <f>IFERROR(__xludf.DUMMYFUNCTION("""COMPUTED_VALUE"""),8.0)</f>
        <v>8</v>
      </c>
      <c r="N1420" s="2" t="str">
        <f>IFERROR(__xludf.DUMMYFUNCTION("""COMPUTED_VALUE"""),"VERDADERO")</f>
        <v>VERDADERO</v>
      </c>
    </row>
    <row r="1421">
      <c r="A1421" s="2">
        <f>IFERROR(__xludf.DUMMYFUNCTION("""COMPUTED_VALUE"""),1420.0)</f>
        <v>1420</v>
      </c>
      <c r="B1421" s="2" t="str">
        <f>IFERROR(__xludf.DUMMYFUNCTION("""COMPUTED_VALUE"""),"Lilly Kynston")</f>
        <v>Lilly Kynston</v>
      </c>
      <c r="C1421" s="2" t="str">
        <f>IFERROR(__xludf.DUMMYFUNCTION("""COMPUTED_VALUE"""),"lkynstonbo@cafepress.com")</f>
        <v>lkynstonbo@cafepress.com</v>
      </c>
      <c r="D1421" s="4">
        <f>IFERROR(__xludf.DUMMYFUNCTION("""COMPUTED_VALUE"""),29.0)</f>
        <v>29</v>
      </c>
      <c r="E1421" s="4">
        <f>IFERROR(__xludf.DUMMYFUNCTION("""COMPUTED_VALUE"""),119.0)</f>
        <v>119</v>
      </c>
      <c r="F1421" s="4">
        <f>IFERROR(__xludf.DUMMYFUNCTION("""COMPUTED_VALUE"""),1.0)</f>
        <v>1</v>
      </c>
      <c r="G1421" s="4">
        <f>IFERROR(__xludf.DUMMYFUNCTION("""COMPUTED_VALUE"""),292.0)</f>
        <v>292</v>
      </c>
      <c r="H1421" s="5">
        <f>IFERROR(__xludf.DUMMYFUNCTION("""COMPUTED_VALUE"""),2062.81)</f>
        <v>2062.81</v>
      </c>
      <c r="I1421" s="5">
        <f>IFERROR(__xludf.DUMMYFUNCTION("""COMPUTED_VALUE"""),8819.12)</f>
        <v>8819.12</v>
      </c>
      <c r="J1421" s="5">
        <f>IFERROR(__xludf.DUMMYFUNCTION("""COMPUTED_VALUE"""),6643.51)</f>
        <v>6643.51</v>
      </c>
      <c r="K1421" s="5">
        <f>IFERROR(__xludf.DUMMYFUNCTION("""COMPUTED_VALUE"""),9656.89)</f>
        <v>9656.89</v>
      </c>
      <c r="L1421" s="4">
        <f>IFERROR(__xludf.DUMMYFUNCTION("""COMPUTED_VALUE"""),19.0)</f>
        <v>19</v>
      </c>
      <c r="M1421" s="4">
        <f>IFERROR(__xludf.DUMMYFUNCTION("""COMPUTED_VALUE"""),38.0)</f>
        <v>38</v>
      </c>
      <c r="N1421" s="2" t="str">
        <f>IFERROR(__xludf.DUMMYFUNCTION("""COMPUTED_VALUE"""),"FALSO")</f>
        <v>FALSO</v>
      </c>
    </row>
    <row r="1422">
      <c r="A1422" s="2">
        <f>IFERROR(__xludf.DUMMYFUNCTION("""COMPUTED_VALUE"""),1421.0)</f>
        <v>1421</v>
      </c>
      <c r="B1422" s="2" t="str">
        <f>IFERROR(__xludf.DUMMYFUNCTION("""COMPUTED_VALUE"""),"Dare Hitscher")</f>
        <v>Dare Hitscher</v>
      </c>
      <c r="C1422" s="2" t="str">
        <f>IFERROR(__xludf.DUMMYFUNCTION("""COMPUTED_VALUE"""),"dhitscherbp@yellowpages.com")</f>
        <v>dhitscherbp@yellowpages.com</v>
      </c>
      <c r="D1422" s="4">
        <f>IFERROR(__xludf.DUMMYFUNCTION("""COMPUTED_VALUE"""),122.0)</f>
        <v>122</v>
      </c>
      <c r="E1422" s="4">
        <f>IFERROR(__xludf.DUMMYFUNCTION("""COMPUTED_VALUE"""),90.0)</f>
        <v>90</v>
      </c>
      <c r="F1422" s="4">
        <f>IFERROR(__xludf.DUMMYFUNCTION("""COMPUTED_VALUE"""),5.0)</f>
        <v>5</v>
      </c>
      <c r="G1422" s="4">
        <f>IFERROR(__xludf.DUMMYFUNCTION("""COMPUTED_VALUE"""),1467.0)</f>
        <v>1467</v>
      </c>
      <c r="H1422" s="5">
        <f>IFERROR(__xludf.DUMMYFUNCTION("""COMPUTED_VALUE"""),5169.05)</f>
        <v>5169.05</v>
      </c>
      <c r="I1422" s="5">
        <f>IFERROR(__xludf.DUMMYFUNCTION("""COMPUTED_VALUE"""),7419.56)</f>
        <v>7419.56</v>
      </c>
      <c r="J1422" s="5">
        <f>IFERROR(__xludf.DUMMYFUNCTION("""COMPUTED_VALUE"""),4984.0)</f>
        <v>4984</v>
      </c>
      <c r="K1422" s="5">
        <f>IFERROR(__xludf.DUMMYFUNCTION("""COMPUTED_VALUE"""),6913.63)</f>
        <v>6913.63</v>
      </c>
      <c r="L1422" s="4">
        <f>IFERROR(__xludf.DUMMYFUNCTION("""COMPUTED_VALUE"""),5.0)</f>
        <v>5</v>
      </c>
      <c r="M1422" s="4">
        <f>IFERROR(__xludf.DUMMYFUNCTION("""COMPUTED_VALUE"""),17.0)</f>
        <v>17</v>
      </c>
      <c r="N1422" s="2" t="str">
        <f>IFERROR(__xludf.DUMMYFUNCTION("""COMPUTED_VALUE"""),"FALSO")</f>
        <v>FALSO</v>
      </c>
    </row>
    <row r="1423">
      <c r="A1423" s="2">
        <f>IFERROR(__xludf.DUMMYFUNCTION("""COMPUTED_VALUE"""),1422.0)</f>
        <v>1422</v>
      </c>
      <c r="B1423" s="2" t="str">
        <f>IFERROR(__xludf.DUMMYFUNCTION("""COMPUTED_VALUE"""),"Debby Pimblotte")</f>
        <v>Debby Pimblotte</v>
      </c>
      <c r="C1423" s="2" t="str">
        <f>IFERROR(__xludf.DUMMYFUNCTION("""COMPUTED_VALUE"""),"dpimblottebq@youku.com")</f>
        <v>dpimblottebq@youku.com</v>
      </c>
      <c r="D1423" s="4">
        <f>IFERROR(__xludf.DUMMYFUNCTION("""COMPUTED_VALUE"""),65.0)</f>
        <v>65</v>
      </c>
      <c r="E1423" s="4">
        <f>IFERROR(__xludf.DUMMYFUNCTION("""COMPUTED_VALUE"""),58.0)</f>
        <v>58</v>
      </c>
      <c r="F1423" s="4">
        <f>IFERROR(__xludf.DUMMYFUNCTION("""COMPUTED_VALUE"""),3.0)</f>
        <v>3</v>
      </c>
      <c r="G1423" s="4">
        <f>IFERROR(__xludf.DUMMYFUNCTION("""COMPUTED_VALUE"""),72.0)</f>
        <v>72</v>
      </c>
      <c r="H1423" s="5">
        <f>IFERROR(__xludf.DUMMYFUNCTION("""COMPUTED_VALUE"""),852.78)</f>
        <v>852.78</v>
      </c>
      <c r="I1423" s="5">
        <f>IFERROR(__xludf.DUMMYFUNCTION("""COMPUTED_VALUE"""),9057.83)</f>
        <v>9057.83</v>
      </c>
      <c r="J1423" s="5">
        <f>IFERROR(__xludf.DUMMYFUNCTION("""COMPUTED_VALUE"""),5514.07)</f>
        <v>5514.07</v>
      </c>
      <c r="K1423" s="5">
        <f>IFERROR(__xludf.DUMMYFUNCTION("""COMPUTED_VALUE"""),4213.49)</f>
        <v>4213.49</v>
      </c>
      <c r="L1423" s="4">
        <f>IFERROR(__xludf.DUMMYFUNCTION("""COMPUTED_VALUE"""),13.0)</f>
        <v>13</v>
      </c>
      <c r="M1423" s="4">
        <f>IFERROR(__xludf.DUMMYFUNCTION("""COMPUTED_VALUE"""),22.0)</f>
        <v>22</v>
      </c>
      <c r="N1423" s="2" t="str">
        <f>IFERROR(__xludf.DUMMYFUNCTION("""COMPUTED_VALUE"""),"VERDADERO")</f>
        <v>VERDADERO</v>
      </c>
    </row>
    <row r="1424">
      <c r="A1424" s="2">
        <f>IFERROR(__xludf.DUMMYFUNCTION("""COMPUTED_VALUE"""),1423.0)</f>
        <v>1423</v>
      </c>
      <c r="B1424" s="2" t="str">
        <f>IFERROR(__xludf.DUMMYFUNCTION("""COMPUTED_VALUE"""),"Maudie Rusted")</f>
        <v>Maudie Rusted</v>
      </c>
      <c r="C1424" s="2" t="str">
        <f>IFERROR(__xludf.DUMMYFUNCTION("""COMPUTED_VALUE"""),"mrustedbr@army.mil")</f>
        <v>mrustedbr@army.mil</v>
      </c>
      <c r="D1424" s="4">
        <f>IFERROR(__xludf.DUMMYFUNCTION("""COMPUTED_VALUE"""),65.0)</f>
        <v>65</v>
      </c>
      <c r="E1424" s="4">
        <f>IFERROR(__xludf.DUMMYFUNCTION("""COMPUTED_VALUE"""),107.0)</f>
        <v>107</v>
      </c>
      <c r="F1424" s="4">
        <f>IFERROR(__xludf.DUMMYFUNCTION("""COMPUTED_VALUE"""),5.0)</f>
        <v>5</v>
      </c>
      <c r="G1424" s="4">
        <f>IFERROR(__xludf.DUMMYFUNCTION("""COMPUTED_VALUE"""),313.0)</f>
        <v>313</v>
      </c>
      <c r="H1424" s="5">
        <f>IFERROR(__xludf.DUMMYFUNCTION("""COMPUTED_VALUE"""),3828.06)</f>
        <v>3828.06</v>
      </c>
      <c r="I1424" s="5">
        <f>IFERROR(__xludf.DUMMYFUNCTION("""COMPUTED_VALUE"""),2664.5)</f>
        <v>2664.5</v>
      </c>
      <c r="J1424" s="5">
        <f>IFERROR(__xludf.DUMMYFUNCTION("""COMPUTED_VALUE"""),6801.8)</f>
        <v>6801.8</v>
      </c>
      <c r="K1424" s="5">
        <f>IFERROR(__xludf.DUMMYFUNCTION("""COMPUTED_VALUE"""),2806.13)</f>
        <v>2806.13</v>
      </c>
      <c r="L1424" s="4">
        <f>IFERROR(__xludf.DUMMYFUNCTION("""COMPUTED_VALUE"""),6.0)</f>
        <v>6</v>
      </c>
      <c r="M1424" s="4">
        <f>IFERROR(__xludf.DUMMYFUNCTION("""COMPUTED_VALUE"""),79.0)</f>
        <v>79</v>
      </c>
      <c r="N1424" s="2" t="str">
        <f>IFERROR(__xludf.DUMMYFUNCTION("""COMPUTED_VALUE"""),"FALSO")</f>
        <v>FALSO</v>
      </c>
    </row>
    <row r="1425">
      <c r="A1425" s="2">
        <f>IFERROR(__xludf.DUMMYFUNCTION("""COMPUTED_VALUE"""),1424.0)</f>
        <v>1424</v>
      </c>
      <c r="B1425" s="2" t="str">
        <f>IFERROR(__xludf.DUMMYFUNCTION("""COMPUTED_VALUE"""),"Sol Kaszper")</f>
        <v>Sol Kaszper</v>
      </c>
      <c r="C1425" s="2" t="str">
        <f>IFERROR(__xludf.DUMMYFUNCTION("""COMPUTED_VALUE"""),"skaszperbs@godaddy.com")</f>
        <v>skaszperbs@godaddy.com</v>
      </c>
      <c r="D1425" s="4">
        <f>IFERROR(__xludf.DUMMYFUNCTION("""COMPUTED_VALUE"""),121.0)</f>
        <v>121</v>
      </c>
      <c r="E1425" s="4">
        <f>IFERROR(__xludf.DUMMYFUNCTION("""COMPUTED_VALUE"""),119.0)</f>
        <v>119</v>
      </c>
      <c r="F1425" s="4">
        <f>IFERROR(__xludf.DUMMYFUNCTION("""COMPUTED_VALUE"""),10.0)</f>
        <v>10</v>
      </c>
      <c r="G1425" s="4">
        <f>IFERROR(__xludf.DUMMYFUNCTION("""COMPUTED_VALUE"""),1480.0)</f>
        <v>1480</v>
      </c>
      <c r="H1425" s="5">
        <f>IFERROR(__xludf.DUMMYFUNCTION("""COMPUTED_VALUE"""),6924.41)</f>
        <v>6924.41</v>
      </c>
      <c r="I1425" s="5">
        <f>IFERROR(__xludf.DUMMYFUNCTION("""COMPUTED_VALUE"""),5112.05)</f>
        <v>5112.05</v>
      </c>
      <c r="J1425" s="5">
        <f>IFERROR(__xludf.DUMMYFUNCTION("""COMPUTED_VALUE"""),5818.51)</f>
        <v>5818.51</v>
      </c>
      <c r="K1425" s="5">
        <f>IFERROR(__xludf.DUMMYFUNCTION("""COMPUTED_VALUE"""),5811.46)</f>
        <v>5811.46</v>
      </c>
      <c r="L1425" s="4">
        <f>IFERROR(__xludf.DUMMYFUNCTION("""COMPUTED_VALUE"""),4.0)</f>
        <v>4</v>
      </c>
      <c r="M1425" s="4">
        <f>IFERROR(__xludf.DUMMYFUNCTION("""COMPUTED_VALUE"""),66.0)</f>
        <v>66</v>
      </c>
      <c r="N1425" s="2" t="str">
        <f>IFERROR(__xludf.DUMMYFUNCTION("""COMPUTED_VALUE"""),"FALSO")</f>
        <v>FALSO</v>
      </c>
    </row>
    <row r="1426">
      <c r="A1426" s="2">
        <f>IFERROR(__xludf.DUMMYFUNCTION("""COMPUTED_VALUE"""),1425.0)</f>
        <v>1425</v>
      </c>
      <c r="B1426" s="2" t="str">
        <f>IFERROR(__xludf.DUMMYFUNCTION("""COMPUTED_VALUE"""),"Tobin Youd")</f>
        <v>Tobin Youd</v>
      </c>
      <c r="C1426" s="2" t="str">
        <f>IFERROR(__xludf.DUMMYFUNCTION("""COMPUTED_VALUE"""),"tyoudbt@usatoday.com")</f>
        <v>tyoudbt@usatoday.com</v>
      </c>
      <c r="D1426" s="4">
        <f>IFERROR(__xludf.DUMMYFUNCTION("""COMPUTED_VALUE"""),61.0)</f>
        <v>61</v>
      </c>
      <c r="E1426" s="4">
        <f>IFERROR(__xludf.DUMMYFUNCTION("""COMPUTED_VALUE"""),29.0)</f>
        <v>29</v>
      </c>
      <c r="F1426" s="4">
        <f>IFERROR(__xludf.DUMMYFUNCTION("""COMPUTED_VALUE"""),11.0)</f>
        <v>11</v>
      </c>
      <c r="G1426" s="4">
        <f>IFERROR(__xludf.DUMMYFUNCTION("""COMPUTED_VALUE"""),1303.0)</f>
        <v>1303</v>
      </c>
      <c r="H1426" s="5">
        <f>IFERROR(__xludf.DUMMYFUNCTION("""COMPUTED_VALUE"""),5583.48)</f>
        <v>5583.48</v>
      </c>
      <c r="I1426" s="5">
        <f>IFERROR(__xludf.DUMMYFUNCTION("""COMPUTED_VALUE"""),5837.56)</f>
        <v>5837.56</v>
      </c>
      <c r="J1426" s="5">
        <f>IFERROR(__xludf.DUMMYFUNCTION("""COMPUTED_VALUE"""),7125.83)</f>
        <v>7125.83</v>
      </c>
      <c r="K1426" s="5">
        <f>IFERROR(__xludf.DUMMYFUNCTION("""COMPUTED_VALUE"""),8778.58)</f>
        <v>8778.58</v>
      </c>
      <c r="L1426" s="4">
        <f>IFERROR(__xludf.DUMMYFUNCTION("""COMPUTED_VALUE"""),20.0)</f>
        <v>20</v>
      </c>
      <c r="M1426" s="4">
        <f>IFERROR(__xludf.DUMMYFUNCTION("""COMPUTED_VALUE"""),25.0)</f>
        <v>25</v>
      </c>
      <c r="N1426" s="2" t="str">
        <f>IFERROR(__xludf.DUMMYFUNCTION("""COMPUTED_VALUE"""),"VERDADERO")</f>
        <v>VERDADERO</v>
      </c>
    </row>
    <row r="1427">
      <c r="A1427" s="2">
        <f>IFERROR(__xludf.DUMMYFUNCTION("""COMPUTED_VALUE"""),1426.0)</f>
        <v>1426</v>
      </c>
      <c r="B1427" s="2" t="str">
        <f>IFERROR(__xludf.DUMMYFUNCTION("""COMPUTED_VALUE"""),"Randy Seak")</f>
        <v>Randy Seak</v>
      </c>
      <c r="C1427" s="2" t="str">
        <f>IFERROR(__xludf.DUMMYFUNCTION("""COMPUTED_VALUE"""),"rseakbu@jigsy.com")</f>
        <v>rseakbu@jigsy.com</v>
      </c>
      <c r="D1427" s="4">
        <f>IFERROR(__xludf.DUMMYFUNCTION("""COMPUTED_VALUE"""),120.0)</f>
        <v>120</v>
      </c>
      <c r="E1427" s="4">
        <f>IFERROR(__xludf.DUMMYFUNCTION("""COMPUTED_VALUE"""),11.0)</f>
        <v>11</v>
      </c>
      <c r="F1427" s="4">
        <f>IFERROR(__xludf.DUMMYFUNCTION("""COMPUTED_VALUE"""),13.0)</f>
        <v>13</v>
      </c>
      <c r="G1427" s="4">
        <f>IFERROR(__xludf.DUMMYFUNCTION("""COMPUTED_VALUE"""),1447.0)</f>
        <v>1447</v>
      </c>
      <c r="H1427" s="5">
        <f>IFERROR(__xludf.DUMMYFUNCTION("""COMPUTED_VALUE"""),8363.86)</f>
        <v>8363.86</v>
      </c>
      <c r="I1427" s="5">
        <f>IFERROR(__xludf.DUMMYFUNCTION("""COMPUTED_VALUE"""),5169.47)</f>
        <v>5169.47</v>
      </c>
      <c r="J1427" s="5">
        <f>IFERROR(__xludf.DUMMYFUNCTION("""COMPUTED_VALUE"""),5885.14)</f>
        <v>5885.14</v>
      </c>
      <c r="K1427" s="5">
        <f>IFERROR(__xludf.DUMMYFUNCTION("""COMPUTED_VALUE"""),9496.92)</f>
        <v>9496.92</v>
      </c>
      <c r="L1427" s="4">
        <f>IFERROR(__xludf.DUMMYFUNCTION("""COMPUTED_VALUE"""),14.0)</f>
        <v>14</v>
      </c>
      <c r="M1427" s="4">
        <f>IFERROR(__xludf.DUMMYFUNCTION("""COMPUTED_VALUE"""),7.0)</f>
        <v>7</v>
      </c>
      <c r="N1427" s="2" t="str">
        <f>IFERROR(__xludf.DUMMYFUNCTION("""COMPUTED_VALUE"""),"VERDADERO")</f>
        <v>VERDADERO</v>
      </c>
    </row>
    <row r="1428">
      <c r="A1428" s="2">
        <f>IFERROR(__xludf.DUMMYFUNCTION("""COMPUTED_VALUE"""),1427.0)</f>
        <v>1427</v>
      </c>
      <c r="B1428" s="2" t="str">
        <f>IFERROR(__xludf.DUMMYFUNCTION("""COMPUTED_VALUE"""),"Nestor Gercke")</f>
        <v>Nestor Gercke</v>
      </c>
      <c r="C1428" s="2" t="str">
        <f>IFERROR(__xludf.DUMMYFUNCTION("""COMPUTED_VALUE"""),"ngerckebv@omniture.com")</f>
        <v>ngerckebv@omniture.com</v>
      </c>
      <c r="D1428" s="4">
        <f>IFERROR(__xludf.DUMMYFUNCTION("""COMPUTED_VALUE"""),57.0)</f>
        <v>57</v>
      </c>
      <c r="E1428" s="4">
        <f>IFERROR(__xludf.DUMMYFUNCTION("""COMPUTED_VALUE"""),23.0)</f>
        <v>23</v>
      </c>
      <c r="F1428" s="4">
        <f>IFERROR(__xludf.DUMMYFUNCTION("""COMPUTED_VALUE"""),5.0)</f>
        <v>5</v>
      </c>
      <c r="G1428" s="4">
        <f>IFERROR(__xludf.DUMMYFUNCTION("""COMPUTED_VALUE"""),998.0)</f>
        <v>998</v>
      </c>
      <c r="H1428" s="5">
        <f>IFERROR(__xludf.DUMMYFUNCTION("""COMPUTED_VALUE"""),3650.12)</f>
        <v>3650.12</v>
      </c>
      <c r="I1428" s="5">
        <f>IFERROR(__xludf.DUMMYFUNCTION("""COMPUTED_VALUE"""),6769.21)</f>
        <v>6769.21</v>
      </c>
      <c r="J1428" s="5">
        <f>IFERROR(__xludf.DUMMYFUNCTION("""COMPUTED_VALUE"""),4389.13)</f>
        <v>4389.13</v>
      </c>
      <c r="K1428" s="5">
        <f>IFERROR(__xludf.DUMMYFUNCTION("""COMPUTED_VALUE"""),3838.93)</f>
        <v>3838.93</v>
      </c>
      <c r="L1428" s="4">
        <f>IFERROR(__xludf.DUMMYFUNCTION("""COMPUTED_VALUE"""),13.0)</f>
        <v>13</v>
      </c>
      <c r="M1428" s="4">
        <f>IFERROR(__xludf.DUMMYFUNCTION("""COMPUTED_VALUE"""),28.0)</f>
        <v>28</v>
      </c>
      <c r="N1428" s="2" t="str">
        <f>IFERROR(__xludf.DUMMYFUNCTION("""COMPUTED_VALUE"""),"FALSO")</f>
        <v>FALSO</v>
      </c>
    </row>
    <row r="1429">
      <c r="A1429" s="2">
        <f>IFERROR(__xludf.DUMMYFUNCTION("""COMPUTED_VALUE"""),1428.0)</f>
        <v>1428</v>
      </c>
      <c r="B1429" s="2" t="str">
        <f>IFERROR(__xludf.DUMMYFUNCTION("""COMPUTED_VALUE"""),"Godart Gerner")</f>
        <v>Godart Gerner</v>
      </c>
      <c r="C1429" s="2" t="str">
        <f>IFERROR(__xludf.DUMMYFUNCTION("""COMPUTED_VALUE"""),"ggernerbw@scribd.com")</f>
        <v>ggernerbw@scribd.com</v>
      </c>
      <c r="D1429" s="4">
        <f>IFERROR(__xludf.DUMMYFUNCTION("""COMPUTED_VALUE"""),124.0)</f>
        <v>124</v>
      </c>
      <c r="E1429" s="4">
        <f>IFERROR(__xludf.DUMMYFUNCTION("""COMPUTED_VALUE"""),69.0)</f>
        <v>69</v>
      </c>
      <c r="F1429" s="4">
        <f>IFERROR(__xludf.DUMMYFUNCTION("""COMPUTED_VALUE"""),6.0)</f>
        <v>6</v>
      </c>
      <c r="G1429" s="4">
        <f>IFERROR(__xludf.DUMMYFUNCTION("""COMPUTED_VALUE"""),311.0)</f>
        <v>311</v>
      </c>
      <c r="H1429" s="5">
        <f>IFERROR(__xludf.DUMMYFUNCTION("""COMPUTED_VALUE"""),4504.62)</f>
        <v>4504.62</v>
      </c>
      <c r="I1429" s="5">
        <f>IFERROR(__xludf.DUMMYFUNCTION("""COMPUTED_VALUE"""),295.08)</f>
        <v>295.08</v>
      </c>
      <c r="J1429" s="5">
        <f>IFERROR(__xludf.DUMMYFUNCTION("""COMPUTED_VALUE"""),6523.73)</f>
        <v>6523.73</v>
      </c>
      <c r="K1429" s="5">
        <f>IFERROR(__xludf.DUMMYFUNCTION("""COMPUTED_VALUE"""),9815.02)</f>
        <v>9815.02</v>
      </c>
      <c r="L1429" s="4">
        <f>IFERROR(__xludf.DUMMYFUNCTION("""COMPUTED_VALUE"""),14.0)</f>
        <v>14</v>
      </c>
      <c r="M1429" s="4">
        <f>IFERROR(__xludf.DUMMYFUNCTION("""COMPUTED_VALUE"""),91.0)</f>
        <v>91</v>
      </c>
      <c r="N1429" s="2" t="str">
        <f>IFERROR(__xludf.DUMMYFUNCTION("""COMPUTED_VALUE"""),"FALSO")</f>
        <v>FALSO</v>
      </c>
    </row>
    <row r="1430">
      <c r="A1430" s="2">
        <f>IFERROR(__xludf.DUMMYFUNCTION("""COMPUTED_VALUE"""),1429.0)</f>
        <v>1429</v>
      </c>
      <c r="B1430" s="2" t="str">
        <f>IFERROR(__xludf.DUMMYFUNCTION("""COMPUTED_VALUE"""),"Anet Fierro")</f>
        <v>Anet Fierro</v>
      </c>
      <c r="C1430" s="2" t="str">
        <f>IFERROR(__xludf.DUMMYFUNCTION("""COMPUTED_VALUE"""),"afierrobx@simplemachines.org")</f>
        <v>afierrobx@simplemachines.org</v>
      </c>
      <c r="D1430" s="4">
        <f>IFERROR(__xludf.DUMMYFUNCTION("""COMPUTED_VALUE"""),29.0)</f>
        <v>29</v>
      </c>
      <c r="E1430" s="4">
        <f>IFERROR(__xludf.DUMMYFUNCTION("""COMPUTED_VALUE"""),63.0)</f>
        <v>63</v>
      </c>
      <c r="F1430" s="4">
        <f>IFERROR(__xludf.DUMMYFUNCTION("""COMPUTED_VALUE"""),4.0)</f>
        <v>4</v>
      </c>
      <c r="G1430" s="4">
        <f>IFERROR(__xludf.DUMMYFUNCTION("""COMPUTED_VALUE"""),1524.0)</f>
        <v>1524</v>
      </c>
      <c r="H1430" s="5">
        <f>IFERROR(__xludf.DUMMYFUNCTION("""COMPUTED_VALUE"""),6708.9)</f>
        <v>6708.9</v>
      </c>
      <c r="I1430" s="5">
        <f>IFERROR(__xludf.DUMMYFUNCTION("""COMPUTED_VALUE"""),2974.75)</f>
        <v>2974.75</v>
      </c>
      <c r="J1430" s="5">
        <f>IFERROR(__xludf.DUMMYFUNCTION("""COMPUTED_VALUE"""),3091.21)</f>
        <v>3091.21</v>
      </c>
      <c r="K1430" s="5">
        <f>IFERROR(__xludf.DUMMYFUNCTION("""COMPUTED_VALUE"""),6353.81)</f>
        <v>6353.81</v>
      </c>
      <c r="L1430" s="4">
        <f>IFERROR(__xludf.DUMMYFUNCTION("""COMPUTED_VALUE"""),5.0)</f>
        <v>5</v>
      </c>
      <c r="M1430" s="4">
        <f>IFERROR(__xludf.DUMMYFUNCTION("""COMPUTED_VALUE"""),92.0)</f>
        <v>92</v>
      </c>
      <c r="N1430" s="2" t="str">
        <f>IFERROR(__xludf.DUMMYFUNCTION("""COMPUTED_VALUE"""),"FALSO")</f>
        <v>FALSO</v>
      </c>
    </row>
    <row r="1431">
      <c r="A1431" s="2">
        <f>IFERROR(__xludf.DUMMYFUNCTION("""COMPUTED_VALUE"""),1430.0)</f>
        <v>1430</v>
      </c>
      <c r="B1431" s="2" t="str">
        <f>IFERROR(__xludf.DUMMYFUNCTION("""COMPUTED_VALUE"""),"Herbie Maffey")</f>
        <v>Herbie Maffey</v>
      </c>
      <c r="C1431" s="2" t="str">
        <f>IFERROR(__xludf.DUMMYFUNCTION("""COMPUTED_VALUE"""),"hmaffeyby@irs.gov")</f>
        <v>hmaffeyby@irs.gov</v>
      </c>
      <c r="D1431" s="4">
        <f>IFERROR(__xludf.DUMMYFUNCTION("""COMPUTED_VALUE"""),29.0)</f>
        <v>29</v>
      </c>
      <c r="E1431" s="4">
        <f>IFERROR(__xludf.DUMMYFUNCTION("""COMPUTED_VALUE"""),65.0)</f>
        <v>65</v>
      </c>
      <c r="F1431" s="4">
        <f>IFERROR(__xludf.DUMMYFUNCTION("""COMPUTED_VALUE"""),9.0)</f>
        <v>9</v>
      </c>
      <c r="G1431" s="4">
        <f>IFERROR(__xludf.DUMMYFUNCTION("""COMPUTED_VALUE"""),879.0)</f>
        <v>879</v>
      </c>
      <c r="H1431" s="5">
        <f>IFERROR(__xludf.DUMMYFUNCTION("""COMPUTED_VALUE"""),6136.68)</f>
        <v>6136.68</v>
      </c>
      <c r="I1431" s="5">
        <f>IFERROR(__xludf.DUMMYFUNCTION("""COMPUTED_VALUE"""),5781.65)</f>
        <v>5781.65</v>
      </c>
      <c r="J1431" s="5">
        <f>IFERROR(__xludf.DUMMYFUNCTION("""COMPUTED_VALUE"""),85.92)</f>
        <v>85.92</v>
      </c>
      <c r="K1431" s="5">
        <f>IFERROR(__xludf.DUMMYFUNCTION("""COMPUTED_VALUE"""),3694.32)</f>
        <v>3694.32</v>
      </c>
      <c r="L1431" s="4">
        <f>IFERROR(__xludf.DUMMYFUNCTION("""COMPUTED_VALUE"""),5.0)</f>
        <v>5</v>
      </c>
      <c r="M1431" s="4">
        <f>IFERROR(__xludf.DUMMYFUNCTION("""COMPUTED_VALUE"""),69.0)</f>
        <v>69</v>
      </c>
      <c r="N1431" s="2" t="str">
        <f>IFERROR(__xludf.DUMMYFUNCTION("""COMPUTED_VALUE"""),"VERDADERO")</f>
        <v>VERDADERO</v>
      </c>
    </row>
    <row r="1432">
      <c r="A1432" s="2">
        <f>IFERROR(__xludf.DUMMYFUNCTION("""COMPUTED_VALUE"""),1431.0)</f>
        <v>1431</v>
      </c>
      <c r="B1432" s="2" t="str">
        <f>IFERROR(__xludf.DUMMYFUNCTION("""COMPUTED_VALUE"""),"Anabel Silversmidt")</f>
        <v>Anabel Silversmidt</v>
      </c>
      <c r="C1432" s="2" t="str">
        <f>IFERROR(__xludf.DUMMYFUNCTION("""COMPUTED_VALUE"""),"asilversmidtbz@exblog.jp")</f>
        <v>asilversmidtbz@exblog.jp</v>
      </c>
      <c r="D1432" s="4">
        <f>IFERROR(__xludf.DUMMYFUNCTION("""COMPUTED_VALUE"""),29.0)</f>
        <v>29</v>
      </c>
      <c r="E1432" s="4">
        <f>IFERROR(__xludf.DUMMYFUNCTION("""COMPUTED_VALUE"""),25.0)</f>
        <v>25</v>
      </c>
      <c r="F1432" s="4">
        <f>IFERROR(__xludf.DUMMYFUNCTION("""COMPUTED_VALUE"""),4.0)</f>
        <v>4</v>
      </c>
      <c r="G1432" s="4">
        <f>IFERROR(__xludf.DUMMYFUNCTION("""COMPUTED_VALUE"""),1581.0)</f>
        <v>1581</v>
      </c>
      <c r="H1432" s="5">
        <f>IFERROR(__xludf.DUMMYFUNCTION("""COMPUTED_VALUE"""),7630.34)</f>
        <v>7630.34</v>
      </c>
      <c r="I1432" s="5">
        <f>IFERROR(__xludf.DUMMYFUNCTION("""COMPUTED_VALUE"""),2787.85)</f>
        <v>2787.85</v>
      </c>
      <c r="J1432" s="5">
        <f>IFERROR(__xludf.DUMMYFUNCTION("""COMPUTED_VALUE"""),7863.4)</f>
        <v>7863.4</v>
      </c>
      <c r="K1432" s="5">
        <f>IFERROR(__xludf.DUMMYFUNCTION("""COMPUTED_VALUE"""),6508.83)</f>
        <v>6508.83</v>
      </c>
      <c r="L1432" s="4">
        <f>IFERROR(__xludf.DUMMYFUNCTION("""COMPUTED_VALUE"""),4.0)</f>
        <v>4</v>
      </c>
      <c r="M1432" s="4">
        <f>IFERROR(__xludf.DUMMYFUNCTION("""COMPUTED_VALUE"""),11.0)</f>
        <v>11</v>
      </c>
      <c r="N1432" s="2" t="str">
        <f>IFERROR(__xludf.DUMMYFUNCTION("""COMPUTED_VALUE"""),"VERDADERO")</f>
        <v>VERDADERO</v>
      </c>
    </row>
    <row r="1433">
      <c r="A1433" s="2">
        <f>IFERROR(__xludf.DUMMYFUNCTION("""COMPUTED_VALUE"""),1432.0)</f>
        <v>1432</v>
      </c>
      <c r="B1433" s="2" t="str">
        <f>IFERROR(__xludf.DUMMYFUNCTION("""COMPUTED_VALUE"""),"Dominique Jagiela")</f>
        <v>Dominique Jagiela</v>
      </c>
      <c r="C1433" s="2" t="str">
        <f>IFERROR(__xludf.DUMMYFUNCTION("""COMPUTED_VALUE"""),"djagielac0@diigo.com")</f>
        <v>djagielac0@diigo.com</v>
      </c>
      <c r="D1433" s="4">
        <f>IFERROR(__xludf.DUMMYFUNCTION("""COMPUTED_VALUE"""),29.0)</f>
        <v>29</v>
      </c>
      <c r="E1433" s="4">
        <f>IFERROR(__xludf.DUMMYFUNCTION("""COMPUTED_VALUE"""),57.0)</f>
        <v>57</v>
      </c>
      <c r="F1433" s="4">
        <f>IFERROR(__xludf.DUMMYFUNCTION("""COMPUTED_VALUE"""),5.0)</f>
        <v>5</v>
      </c>
      <c r="G1433" s="4">
        <f>IFERROR(__xludf.DUMMYFUNCTION("""COMPUTED_VALUE"""),841.0)</f>
        <v>841</v>
      </c>
      <c r="H1433" s="5">
        <f>IFERROR(__xludf.DUMMYFUNCTION("""COMPUTED_VALUE"""),9551.61)</f>
        <v>9551.61</v>
      </c>
      <c r="I1433" s="5">
        <f>IFERROR(__xludf.DUMMYFUNCTION("""COMPUTED_VALUE"""),3810.67)</f>
        <v>3810.67</v>
      </c>
      <c r="J1433" s="5">
        <f>IFERROR(__xludf.DUMMYFUNCTION("""COMPUTED_VALUE"""),3341.66)</f>
        <v>3341.66</v>
      </c>
      <c r="K1433" s="5">
        <f>IFERROR(__xludf.DUMMYFUNCTION("""COMPUTED_VALUE"""),8299.95)</f>
        <v>8299.95</v>
      </c>
      <c r="L1433" s="4">
        <f>IFERROR(__xludf.DUMMYFUNCTION("""COMPUTED_VALUE"""),20.0)</f>
        <v>20</v>
      </c>
      <c r="M1433" s="4">
        <f>IFERROR(__xludf.DUMMYFUNCTION("""COMPUTED_VALUE"""),53.0)</f>
        <v>53</v>
      </c>
      <c r="N1433" s="2" t="str">
        <f>IFERROR(__xludf.DUMMYFUNCTION("""COMPUTED_VALUE"""),"VERDADERO")</f>
        <v>VERDADERO</v>
      </c>
    </row>
    <row r="1434">
      <c r="A1434" s="2">
        <f>IFERROR(__xludf.DUMMYFUNCTION("""COMPUTED_VALUE"""),1433.0)</f>
        <v>1433</v>
      </c>
      <c r="B1434" s="2" t="str">
        <f>IFERROR(__xludf.DUMMYFUNCTION("""COMPUTED_VALUE"""),"Thatcher Orum")</f>
        <v>Thatcher Orum</v>
      </c>
      <c r="C1434" s="2" t="str">
        <f>IFERROR(__xludf.DUMMYFUNCTION("""COMPUTED_VALUE"""),"torumc1@sfgate.com")</f>
        <v>torumc1@sfgate.com</v>
      </c>
      <c r="D1434" s="4">
        <f>IFERROR(__xludf.DUMMYFUNCTION("""COMPUTED_VALUE"""),120.0)</f>
        <v>120</v>
      </c>
      <c r="E1434" s="4">
        <f>IFERROR(__xludf.DUMMYFUNCTION("""COMPUTED_VALUE"""),117.0)</f>
        <v>117</v>
      </c>
      <c r="F1434" s="4">
        <f>IFERROR(__xludf.DUMMYFUNCTION("""COMPUTED_VALUE"""),4.0)</f>
        <v>4</v>
      </c>
      <c r="G1434" s="4">
        <f>IFERROR(__xludf.DUMMYFUNCTION("""COMPUTED_VALUE"""),554.0)</f>
        <v>554</v>
      </c>
      <c r="H1434" s="5">
        <f>IFERROR(__xludf.DUMMYFUNCTION("""COMPUTED_VALUE"""),9967.51)</f>
        <v>9967.51</v>
      </c>
      <c r="I1434" s="5">
        <f>IFERROR(__xludf.DUMMYFUNCTION("""COMPUTED_VALUE"""),431.02)</f>
        <v>431.02</v>
      </c>
      <c r="J1434" s="5">
        <f>IFERROR(__xludf.DUMMYFUNCTION("""COMPUTED_VALUE"""),9474.57)</f>
        <v>9474.57</v>
      </c>
      <c r="K1434" s="5">
        <f>IFERROR(__xludf.DUMMYFUNCTION("""COMPUTED_VALUE"""),6356.49)</f>
        <v>6356.49</v>
      </c>
      <c r="L1434" s="4">
        <f>IFERROR(__xludf.DUMMYFUNCTION("""COMPUTED_VALUE"""),1.0)</f>
        <v>1</v>
      </c>
      <c r="M1434" s="4">
        <f>IFERROR(__xludf.DUMMYFUNCTION("""COMPUTED_VALUE"""),42.0)</f>
        <v>42</v>
      </c>
      <c r="N1434" s="2" t="str">
        <f>IFERROR(__xludf.DUMMYFUNCTION("""COMPUTED_VALUE"""),"VERDADERO")</f>
        <v>VERDADERO</v>
      </c>
    </row>
    <row r="1435">
      <c r="A1435" s="2">
        <f>IFERROR(__xludf.DUMMYFUNCTION("""COMPUTED_VALUE"""),1434.0)</f>
        <v>1434</v>
      </c>
      <c r="B1435" s="2" t="str">
        <f>IFERROR(__xludf.DUMMYFUNCTION("""COMPUTED_VALUE"""),"Loni O'Cannovane")</f>
        <v>Loni O'Cannovane</v>
      </c>
      <c r="C1435" s="2" t="str">
        <f>IFERROR(__xludf.DUMMYFUNCTION("""COMPUTED_VALUE"""),"locannovanec2@mayoclinic.com")</f>
        <v>locannovanec2@mayoclinic.com</v>
      </c>
      <c r="D1435" s="4">
        <f>IFERROR(__xludf.DUMMYFUNCTION("""COMPUTED_VALUE"""),29.0)</f>
        <v>29</v>
      </c>
      <c r="E1435" s="4">
        <f>IFERROR(__xludf.DUMMYFUNCTION("""COMPUTED_VALUE"""),81.0)</f>
        <v>81</v>
      </c>
      <c r="F1435" s="4">
        <f>IFERROR(__xludf.DUMMYFUNCTION("""COMPUTED_VALUE"""),2.0)</f>
        <v>2</v>
      </c>
      <c r="G1435" s="4">
        <f>IFERROR(__xludf.DUMMYFUNCTION("""COMPUTED_VALUE"""),1038.0)</f>
        <v>1038</v>
      </c>
      <c r="H1435" s="5">
        <f>IFERROR(__xludf.DUMMYFUNCTION("""COMPUTED_VALUE"""),5488.63)</f>
        <v>5488.63</v>
      </c>
      <c r="I1435" s="5">
        <f>IFERROR(__xludf.DUMMYFUNCTION("""COMPUTED_VALUE"""),1658.75)</f>
        <v>1658.75</v>
      </c>
      <c r="J1435" s="5">
        <f>IFERROR(__xludf.DUMMYFUNCTION("""COMPUTED_VALUE"""),8592.76)</f>
        <v>8592.76</v>
      </c>
      <c r="K1435" s="5">
        <f>IFERROR(__xludf.DUMMYFUNCTION("""COMPUTED_VALUE"""),671.51)</f>
        <v>671.51</v>
      </c>
      <c r="L1435" s="4">
        <f>IFERROR(__xludf.DUMMYFUNCTION("""COMPUTED_VALUE"""),15.0)</f>
        <v>15</v>
      </c>
      <c r="M1435" s="4">
        <f>IFERROR(__xludf.DUMMYFUNCTION("""COMPUTED_VALUE"""),50.0)</f>
        <v>50</v>
      </c>
      <c r="N1435" s="2" t="str">
        <f>IFERROR(__xludf.DUMMYFUNCTION("""COMPUTED_VALUE"""),"FALSO")</f>
        <v>FALSO</v>
      </c>
    </row>
    <row r="1436">
      <c r="A1436" s="2">
        <f>IFERROR(__xludf.DUMMYFUNCTION("""COMPUTED_VALUE"""),1435.0)</f>
        <v>1435</v>
      </c>
      <c r="B1436" s="2" t="str">
        <f>IFERROR(__xludf.DUMMYFUNCTION("""COMPUTED_VALUE"""),"Parke Tettley")</f>
        <v>Parke Tettley</v>
      </c>
      <c r="C1436" s="2" t="str">
        <f>IFERROR(__xludf.DUMMYFUNCTION("""COMPUTED_VALUE"""),"ptettleyc3@cbc.ca")</f>
        <v>ptettleyc3@cbc.ca</v>
      </c>
      <c r="D1436" s="4">
        <f>IFERROR(__xludf.DUMMYFUNCTION("""COMPUTED_VALUE"""),120.0)</f>
        <v>120</v>
      </c>
      <c r="E1436" s="4">
        <f>IFERROR(__xludf.DUMMYFUNCTION("""COMPUTED_VALUE"""),64.0)</f>
        <v>64</v>
      </c>
      <c r="F1436" s="4">
        <f>IFERROR(__xludf.DUMMYFUNCTION("""COMPUTED_VALUE"""),4.0)</f>
        <v>4</v>
      </c>
      <c r="G1436" s="4">
        <f>IFERROR(__xludf.DUMMYFUNCTION("""COMPUTED_VALUE"""),165.0)</f>
        <v>165</v>
      </c>
      <c r="H1436" s="5">
        <f>IFERROR(__xludf.DUMMYFUNCTION("""COMPUTED_VALUE"""),1979.8)</f>
        <v>1979.8</v>
      </c>
      <c r="I1436" s="5">
        <f>IFERROR(__xludf.DUMMYFUNCTION("""COMPUTED_VALUE"""),1515.16)</f>
        <v>1515.16</v>
      </c>
      <c r="J1436" s="5">
        <f>IFERROR(__xludf.DUMMYFUNCTION("""COMPUTED_VALUE"""),3075.45)</f>
        <v>3075.45</v>
      </c>
      <c r="K1436" s="5">
        <f>IFERROR(__xludf.DUMMYFUNCTION("""COMPUTED_VALUE"""),1743.32)</f>
        <v>1743.32</v>
      </c>
      <c r="L1436" s="4">
        <f>IFERROR(__xludf.DUMMYFUNCTION("""COMPUTED_VALUE"""),18.0)</f>
        <v>18</v>
      </c>
      <c r="M1436" s="4">
        <f>IFERROR(__xludf.DUMMYFUNCTION("""COMPUTED_VALUE"""),54.0)</f>
        <v>54</v>
      </c>
      <c r="N1436" s="2" t="str">
        <f>IFERROR(__xludf.DUMMYFUNCTION("""COMPUTED_VALUE"""),"FALSO")</f>
        <v>FALSO</v>
      </c>
    </row>
    <row r="1437">
      <c r="A1437" s="2">
        <f>IFERROR(__xludf.DUMMYFUNCTION("""COMPUTED_VALUE"""),1436.0)</f>
        <v>1436</v>
      </c>
      <c r="B1437" s="2" t="str">
        <f>IFERROR(__xludf.DUMMYFUNCTION("""COMPUTED_VALUE"""),"Carla Philippeaux")</f>
        <v>Carla Philippeaux</v>
      </c>
      <c r="C1437" s="2" t="str">
        <f>IFERROR(__xludf.DUMMYFUNCTION("""COMPUTED_VALUE"""),"cphilippeauxc4@jugem.jp")</f>
        <v>cphilippeauxc4@jugem.jp</v>
      </c>
      <c r="D1437" s="4">
        <f>IFERROR(__xludf.DUMMYFUNCTION("""COMPUTED_VALUE"""),29.0)</f>
        <v>29</v>
      </c>
      <c r="E1437" s="4">
        <f>IFERROR(__xludf.DUMMYFUNCTION("""COMPUTED_VALUE"""),107.0)</f>
        <v>107</v>
      </c>
      <c r="F1437" s="4">
        <f>IFERROR(__xludf.DUMMYFUNCTION("""COMPUTED_VALUE"""),5.0)</f>
        <v>5</v>
      </c>
      <c r="G1437" s="4">
        <f>IFERROR(__xludf.DUMMYFUNCTION("""COMPUTED_VALUE"""),1274.0)</f>
        <v>1274</v>
      </c>
      <c r="H1437" s="5">
        <f>IFERROR(__xludf.DUMMYFUNCTION("""COMPUTED_VALUE"""),1091.49)</f>
        <v>1091.49</v>
      </c>
      <c r="I1437" s="5">
        <f>IFERROR(__xludf.DUMMYFUNCTION("""COMPUTED_VALUE"""),4288.27)</f>
        <v>4288.27</v>
      </c>
      <c r="J1437" s="5">
        <f>IFERROR(__xludf.DUMMYFUNCTION("""COMPUTED_VALUE"""),1887.22)</f>
        <v>1887.22</v>
      </c>
      <c r="K1437" s="5">
        <f>IFERROR(__xludf.DUMMYFUNCTION("""COMPUTED_VALUE"""),4470.28)</f>
        <v>4470.28</v>
      </c>
      <c r="L1437" s="4">
        <f>IFERROR(__xludf.DUMMYFUNCTION("""COMPUTED_VALUE"""),11.0)</f>
        <v>11</v>
      </c>
      <c r="M1437" s="4">
        <f>IFERROR(__xludf.DUMMYFUNCTION("""COMPUTED_VALUE"""),4.0)</f>
        <v>4</v>
      </c>
      <c r="N1437" s="2" t="str">
        <f>IFERROR(__xludf.DUMMYFUNCTION("""COMPUTED_VALUE"""),"VERDADERO")</f>
        <v>VERDADERO</v>
      </c>
    </row>
    <row r="1438">
      <c r="A1438" s="2">
        <f>IFERROR(__xludf.DUMMYFUNCTION("""COMPUTED_VALUE"""),1437.0)</f>
        <v>1437</v>
      </c>
      <c r="B1438" s="2" t="str">
        <f>IFERROR(__xludf.DUMMYFUNCTION("""COMPUTED_VALUE"""),"Skippy Chadbourn")</f>
        <v>Skippy Chadbourn</v>
      </c>
      <c r="C1438" s="2" t="str">
        <f>IFERROR(__xludf.DUMMYFUNCTION("""COMPUTED_VALUE"""),"schadbournc5@discovery.com")</f>
        <v>schadbournc5@discovery.com</v>
      </c>
      <c r="D1438" s="4">
        <f>IFERROR(__xludf.DUMMYFUNCTION("""COMPUTED_VALUE"""),157.0)</f>
        <v>157</v>
      </c>
      <c r="E1438" s="4">
        <f>IFERROR(__xludf.DUMMYFUNCTION("""COMPUTED_VALUE"""),81.0)</f>
        <v>81</v>
      </c>
      <c r="F1438" s="4">
        <f>IFERROR(__xludf.DUMMYFUNCTION("""COMPUTED_VALUE"""),2.0)</f>
        <v>2</v>
      </c>
      <c r="G1438" s="4">
        <f>IFERROR(__xludf.DUMMYFUNCTION("""COMPUTED_VALUE"""),355.0)</f>
        <v>355</v>
      </c>
      <c r="H1438" s="5">
        <f>IFERROR(__xludf.DUMMYFUNCTION("""COMPUTED_VALUE"""),5662.69)</f>
        <v>5662.69</v>
      </c>
      <c r="I1438" s="5">
        <f>IFERROR(__xludf.DUMMYFUNCTION("""COMPUTED_VALUE"""),4807.88)</f>
        <v>4807.88</v>
      </c>
      <c r="J1438" s="5">
        <f>IFERROR(__xludf.DUMMYFUNCTION("""COMPUTED_VALUE"""),8465.69)</f>
        <v>8465.69</v>
      </c>
      <c r="K1438" s="5">
        <f>IFERROR(__xludf.DUMMYFUNCTION("""COMPUTED_VALUE"""),4575.14)</f>
        <v>4575.14</v>
      </c>
      <c r="L1438" s="4">
        <f>IFERROR(__xludf.DUMMYFUNCTION("""COMPUTED_VALUE"""),19.0)</f>
        <v>19</v>
      </c>
      <c r="M1438" s="4">
        <f>IFERROR(__xludf.DUMMYFUNCTION("""COMPUTED_VALUE"""),69.0)</f>
        <v>69</v>
      </c>
      <c r="N1438" s="2" t="str">
        <f>IFERROR(__xludf.DUMMYFUNCTION("""COMPUTED_VALUE"""),"FALSO")</f>
        <v>FALSO</v>
      </c>
    </row>
    <row r="1439">
      <c r="A1439" s="2">
        <f>IFERROR(__xludf.DUMMYFUNCTION("""COMPUTED_VALUE"""),1438.0)</f>
        <v>1438</v>
      </c>
      <c r="B1439" s="2" t="str">
        <f>IFERROR(__xludf.DUMMYFUNCTION("""COMPUTED_VALUE"""),"Raviv Paterson")</f>
        <v>Raviv Paterson</v>
      </c>
      <c r="C1439" s="2" t="str">
        <f>IFERROR(__xludf.DUMMYFUNCTION("""COMPUTED_VALUE"""),"rpatersonc6@blogs.com")</f>
        <v>rpatersonc6@blogs.com</v>
      </c>
      <c r="D1439" s="4">
        <f>IFERROR(__xludf.DUMMYFUNCTION("""COMPUTED_VALUE"""),49.0)</f>
        <v>49</v>
      </c>
      <c r="E1439" s="4">
        <f>IFERROR(__xludf.DUMMYFUNCTION("""COMPUTED_VALUE"""),66.0)</f>
        <v>66</v>
      </c>
      <c r="F1439" s="4">
        <f>IFERROR(__xludf.DUMMYFUNCTION("""COMPUTED_VALUE"""),6.0)</f>
        <v>6</v>
      </c>
      <c r="G1439" s="4">
        <f>IFERROR(__xludf.DUMMYFUNCTION("""COMPUTED_VALUE"""),939.0)</f>
        <v>939</v>
      </c>
      <c r="H1439" s="5">
        <f>IFERROR(__xludf.DUMMYFUNCTION("""COMPUTED_VALUE"""),376.97)</f>
        <v>376.97</v>
      </c>
      <c r="I1439" s="5">
        <f>IFERROR(__xludf.DUMMYFUNCTION("""COMPUTED_VALUE"""),5705.32)</f>
        <v>5705.32</v>
      </c>
      <c r="J1439" s="5">
        <f>IFERROR(__xludf.DUMMYFUNCTION("""COMPUTED_VALUE"""),3628.91)</f>
        <v>3628.91</v>
      </c>
      <c r="K1439" s="5">
        <f>IFERROR(__xludf.DUMMYFUNCTION("""COMPUTED_VALUE"""),3140.27)</f>
        <v>3140.27</v>
      </c>
      <c r="L1439" s="4">
        <f>IFERROR(__xludf.DUMMYFUNCTION("""COMPUTED_VALUE"""),19.0)</f>
        <v>19</v>
      </c>
      <c r="M1439" s="4">
        <f>IFERROR(__xludf.DUMMYFUNCTION("""COMPUTED_VALUE"""),61.0)</f>
        <v>61</v>
      </c>
      <c r="N1439" s="2" t="str">
        <f>IFERROR(__xludf.DUMMYFUNCTION("""COMPUTED_VALUE"""),"FALSO")</f>
        <v>FALSO</v>
      </c>
    </row>
    <row r="1440">
      <c r="A1440" s="2">
        <f>IFERROR(__xludf.DUMMYFUNCTION("""COMPUTED_VALUE"""),1439.0)</f>
        <v>1439</v>
      </c>
      <c r="B1440" s="2" t="str">
        <f>IFERROR(__xludf.DUMMYFUNCTION("""COMPUTED_VALUE"""),"Fred Capener")</f>
        <v>Fred Capener</v>
      </c>
      <c r="C1440" s="2" t="str">
        <f>IFERROR(__xludf.DUMMYFUNCTION("""COMPUTED_VALUE"""),"fcapenerc7@yolasite.com")</f>
        <v>fcapenerc7@yolasite.com</v>
      </c>
      <c r="D1440" s="4">
        <f>IFERROR(__xludf.DUMMYFUNCTION("""COMPUTED_VALUE"""),29.0)</f>
        <v>29</v>
      </c>
      <c r="E1440" s="4">
        <f>IFERROR(__xludf.DUMMYFUNCTION("""COMPUTED_VALUE"""),66.0)</f>
        <v>66</v>
      </c>
      <c r="F1440" s="4">
        <f>IFERROR(__xludf.DUMMYFUNCTION("""COMPUTED_VALUE"""),6.0)</f>
        <v>6</v>
      </c>
      <c r="G1440" s="4">
        <f>IFERROR(__xludf.DUMMYFUNCTION("""COMPUTED_VALUE"""),43.0)</f>
        <v>43</v>
      </c>
      <c r="H1440" s="5">
        <f>IFERROR(__xludf.DUMMYFUNCTION("""COMPUTED_VALUE"""),6251.76)</f>
        <v>6251.76</v>
      </c>
      <c r="I1440" s="5">
        <f>IFERROR(__xludf.DUMMYFUNCTION("""COMPUTED_VALUE"""),7595.05)</f>
        <v>7595.05</v>
      </c>
      <c r="J1440" s="5">
        <f>IFERROR(__xludf.DUMMYFUNCTION("""COMPUTED_VALUE"""),5558.47)</f>
        <v>5558.47</v>
      </c>
      <c r="K1440" s="5">
        <f>IFERROR(__xludf.DUMMYFUNCTION("""COMPUTED_VALUE"""),5595.04)</f>
        <v>5595.04</v>
      </c>
      <c r="L1440" s="4">
        <f>IFERROR(__xludf.DUMMYFUNCTION("""COMPUTED_VALUE"""),18.0)</f>
        <v>18</v>
      </c>
      <c r="M1440" s="4">
        <f>IFERROR(__xludf.DUMMYFUNCTION("""COMPUTED_VALUE"""),17.0)</f>
        <v>17</v>
      </c>
      <c r="N1440" s="2" t="str">
        <f>IFERROR(__xludf.DUMMYFUNCTION("""COMPUTED_VALUE"""),"FALSO")</f>
        <v>FALSO</v>
      </c>
    </row>
    <row r="1441">
      <c r="A1441" s="2">
        <f>IFERROR(__xludf.DUMMYFUNCTION("""COMPUTED_VALUE"""),1440.0)</f>
        <v>1440</v>
      </c>
      <c r="B1441" s="2" t="str">
        <f>IFERROR(__xludf.DUMMYFUNCTION("""COMPUTED_VALUE"""),"Andy Newlove")</f>
        <v>Andy Newlove</v>
      </c>
      <c r="C1441" s="2" t="str">
        <f>IFERROR(__xludf.DUMMYFUNCTION("""COMPUTED_VALUE"""),"anewlovec8@is.gd")</f>
        <v>anewlovec8@is.gd</v>
      </c>
      <c r="D1441" s="4">
        <f>IFERROR(__xludf.DUMMYFUNCTION("""COMPUTED_VALUE"""),153.0)</f>
        <v>153</v>
      </c>
      <c r="E1441" s="4">
        <f>IFERROR(__xludf.DUMMYFUNCTION("""COMPUTED_VALUE"""),67.0)</f>
        <v>67</v>
      </c>
      <c r="F1441" s="4">
        <f>IFERROR(__xludf.DUMMYFUNCTION("""COMPUTED_VALUE"""),7.0)</f>
        <v>7</v>
      </c>
      <c r="G1441" s="4">
        <f>IFERROR(__xludf.DUMMYFUNCTION("""COMPUTED_VALUE"""),1322.0)</f>
        <v>1322</v>
      </c>
      <c r="H1441" s="5">
        <f>IFERROR(__xludf.DUMMYFUNCTION("""COMPUTED_VALUE"""),7728.88)</f>
        <v>7728.88</v>
      </c>
      <c r="I1441" s="5">
        <f>IFERROR(__xludf.DUMMYFUNCTION("""COMPUTED_VALUE"""),3837.37)</f>
        <v>3837.37</v>
      </c>
      <c r="J1441" s="5">
        <f>IFERROR(__xludf.DUMMYFUNCTION("""COMPUTED_VALUE"""),6671.96)</f>
        <v>6671.96</v>
      </c>
      <c r="K1441" s="5">
        <f>IFERROR(__xludf.DUMMYFUNCTION("""COMPUTED_VALUE"""),8572.13)</f>
        <v>8572.13</v>
      </c>
      <c r="L1441" s="4">
        <f>IFERROR(__xludf.DUMMYFUNCTION("""COMPUTED_VALUE"""),17.0)</f>
        <v>17</v>
      </c>
      <c r="M1441" s="4">
        <f>IFERROR(__xludf.DUMMYFUNCTION("""COMPUTED_VALUE"""),16.0)</f>
        <v>16</v>
      </c>
      <c r="N1441" s="2" t="str">
        <f>IFERROR(__xludf.DUMMYFUNCTION("""COMPUTED_VALUE"""),"FALSO")</f>
        <v>FALSO</v>
      </c>
    </row>
    <row r="1442">
      <c r="A1442" s="2">
        <f>IFERROR(__xludf.DUMMYFUNCTION("""COMPUTED_VALUE"""),1441.0)</f>
        <v>1441</v>
      </c>
      <c r="B1442" s="2" t="str">
        <f>IFERROR(__xludf.DUMMYFUNCTION("""COMPUTED_VALUE"""),"Meris Dowdeswell")</f>
        <v>Meris Dowdeswell</v>
      </c>
      <c r="C1442" s="2" t="str">
        <f>IFERROR(__xludf.DUMMYFUNCTION("""COMPUTED_VALUE"""),"mdowdeswellc9@quantcast.com")</f>
        <v>mdowdeswellc9@quantcast.com</v>
      </c>
      <c r="D1442" s="4">
        <f>IFERROR(__xludf.DUMMYFUNCTION("""COMPUTED_VALUE"""),17.0)</f>
        <v>17</v>
      </c>
      <c r="E1442" s="4">
        <f>IFERROR(__xludf.DUMMYFUNCTION("""COMPUTED_VALUE"""),9.0)</f>
        <v>9</v>
      </c>
      <c r="F1442" s="4">
        <f>IFERROR(__xludf.DUMMYFUNCTION("""COMPUTED_VALUE"""),10.0)</f>
        <v>10</v>
      </c>
      <c r="G1442" s="4">
        <f>IFERROR(__xludf.DUMMYFUNCTION("""COMPUTED_VALUE"""),1239.0)</f>
        <v>1239</v>
      </c>
      <c r="H1442" s="5">
        <f>IFERROR(__xludf.DUMMYFUNCTION("""COMPUTED_VALUE"""),3935.2)</f>
        <v>3935.2</v>
      </c>
      <c r="I1442" s="5">
        <f>IFERROR(__xludf.DUMMYFUNCTION("""COMPUTED_VALUE"""),7678.87)</f>
        <v>7678.87</v>
      </c>
      <c r="J1442" s="5">
        <f>IFERROR(__xludf.DUMMYFUNCTION("""COMPUTED_VALUE"""),6742.28)</f>
        <v>6742.28</v>
      </c>
      <c r="K1442" s="5">
        <f>IFERROR(__xludf.DUMMYFUNCTION("""COMPUTED_VALUE"""),4111.47)</f>
        <v>4111.47</v>
      </c>
      <c r="L1442" s="4">
        <f>IFERROR(__xludf.DUMMYFUNCTION("""COMPUTED_VALUE"""),14.0)</f>
        <v>14</v>
      </c>
      <c r="M1442" s="4">
        <f>IFERROR(__xludf.DUMMYFUNCTION("""COMPUTED_VALUE"""),6.0)</f>
        <v>6</v>
      </c>
      <c r="N1442" s="2" t="str">
        <f>IFERROR(__xludf.DUMMYFUNCTION("""COMPUTED_VALUE"""),"FALSO")</f>
        <v>FALSO</v>
      </c>
    </row>
    <row r="1443">
      <c r="A1443" s="2">
        <f>IFERROR(__xludf.DUMMYFUNCTION("""COMPUTED_VALUE"""),1442.0)</f>
        <v>1442</v>
      </c>
      <c r="B1443" s="2" t="str">
        <f>IFERROR(__xludf.DUMMYFUNCTION("""COMPUTED_VALUE"""),"Benedick Mees")</f>
        <v>Benedick Mees</v>
      </c>
      <c r="C1443" s="2" t="str">
        <f>IFERROR(__xludf.DUMMYFUNCTION("""COMPUTED_VALUE"""),"bmeesca@com.com")</f>
        <v>bmeesca@com.com</v>
      </c>
      <c r="D1443" s="4">
        <f>IFERROR(__xludf.DUMMYFUNCTION("""COMPUTED_VALUE"""),43.0)</f>
        <v>43</v>
      </c>
      <c r="E1443" s="4">
        <f>IFERROR(__xludf.DUMMYFUNCTION("""COMPUTED_VALUE"""),81.0)</f>
        <v>81</v>
      </c>
      <c r="F1443" s="4">
        <f>IFERROR(__xludf.DUMMYFUNCTION("""COMPUTED_VALUE"""),2.0)</f>
        <v>2</v>
      </c>
      <c r="G1443" s="4">
        <f>IFERROR(__xludf.DUMMYFUNCTION("""COMPUTED_VALUE"""),212.0)</f>
        <v>212</v>
      </c>
      <c r="H1443" s="5">
        <f>IFERROR(__xludf.DUMMYFUNCTION("""COMPUTED_VALUE"""),1575.93)</f>
        <v>1575.93</v>
      </c>
      <c r="I1443" s="5">
        <f>IFERROR(__xludf.DUMMYFUNCTION("""COMPUTED_VALUE"""),8093.4)</f>
        <v>8093.4</v>
      </c>
      <c r="J1443" s="5">
        <f>IFERROR(__xludf.DUMMYFUNCTION("""COMPUTED_VALUE"""),1367.41)</f>
        <v>1367.41</v>
      </c>
      <c r="K1443" s="5">
        <f>IFERROR(__xludf.DUMMYFUNCTION("""COMPUTED_VALUE"""),8099.67)</f>
        <v>8099.67</v>
      </c>
      <c r="L1443" s="4">
        <f>IFERROR(__xludf.DUMMYFUNCTION("""COMPUTED_VALUE"""),3.0)</f>
        <v>3</v>
      </c>
      <c r="M1443" s="4">
        <f>IFERROR(__xludf.DUMMYFUNCTION("""COMPUTED_VALUE"""),64.0)</f>
        <v>64</v>
      </c>
      <c r="N1443" s="2" t="str">
        <f>IFERROR(__xludf.DUMMYFUNCTION("""COMPUTED_VALUE"""),"VERDADERO")</f>
        <v>VERDADERO</v>
      </c>
    </row>
    <row r="1444">
      <c r="A1444" s="2">
        <f>IFERROR(__xludf.DUMMYFUNCTION("""COMPUTED_VALUE"""),1443.0)</f>
        <v>1443</v>
      </c>
      <c r="B1444" s="2" t="str">
        <f>IFERROR(__xludf.DUMMYFUNCTION("""COMPUTED_VALUE"""),"Alvira Levett")</f>
        <v>Alvira Levett</v>
      </c>
      <c r="C1444" s="2" t="str">
        <f>IFERROR(__xludf.DUMMYFUNCTION("""COMPUTED_VALUE"""),"alevettcb@nps.gov")</f>
        <v>alevettcb@nps.gov</v>
      </c>
      <c r="D1444" s="4">
        <f>IFERROR(__xludf.DUMMYFUNCTION("""COMPUTED_VALUE"""),46.0)</f>
        <v>46</v>
      </c>
      <c r="E1444" s="4">
        <f>IFERROR(__xludf.DUMMYFUNCTION("""COMPUTED_VALUE"""),81.0)</f>
        <v>81</v>
      </c>
      <c r="F1444" s="4">
        <f>IFERROR(__xludf.DUMMYFUNCTION("""COMPUTED_VALUE"""),2.0)</f>
        <v>2</v>
      </c>
      <c r="G1444" s="4">
        <f>IFERROR(__xludf.DUMMYFUNCTION("""COMPUTED_VALUE"""),1007.0)</f>
        <v>1007</v>
      </c>
      <c r="H1444" s="5">
        <f>IFERROR(__xludf.DUMMYFUNCTION("""COMPUTED_VALUE"""),7014.74)</f>
        <v>7014.74</v>
      </c>
      <c r="I1444" s="5">
        <f>IFERROR(__xludf.DUMMYFUNCTION("""COMPUTED_VALUE"""),6629.98)</f>
        <v>6629.98</v>
      </c>
      <c r="J1444" s="5">
        <f>IFERROR(__xludf.DUMMYFUNCTION("""COMPUTED_VALUE"""),638.29)</f>
        <v>638.29</v>
      </c>
      <c r="K1444" s="5">
        <f>IFERROR(__xludf.DUMMYFUNCTION("""COMPUTED_VALUE"""),7312.49)</f>
        <v>7312.49</v>
      </c>
      <c r="L1444" s="4">
        <f>IFERROR(__xludf.DUMMYFUNCTION("""COMPUTED_VALUE"""),2.0)</f>
        <v>2</v>
      </c>
      <c r="M1444" s="4">
        <f>IFERROR(__xludf.DUMMYFUNCTION("""COMPUTED_VALUE"""),33.0)</f>
        <v>33</v>
      </c>
      <c r="N1444" s="2" t="str">
        <f>IFERROR(__xludf.DUMMYFUNCTION("""COMPUTED_VALUE"""),"VERDADERO")</f>
        <v>VERDADERO</v>
      </c>
    </row>
    <row r="1445">
      <c r="A1445" s="2">
        <f>IFERROR(__xludf.DUMMYFUNCTION("""COMPUTED_VALUE"""),1444.0)</f>
        <v>1444</v>
      </c>
      <c r="B1445" s="2" t="str">
        <f>IFERROR(__xludf.DUMMYFUNCTION("""COMPUTED_VALUE"""),"Ardelle Cardoe")</f>
        <v>Ardelle Cardoe</v>
      </c>
      <c r="C1445" s="2" t="str">
        <f>IFERROR(__xludf.DUMMYFUNCTION("""COMPUTED_VALUE"""),"acardoecc@mail.ru")</f>
        <v>acardoecc@mail.ru</v>
      </c>
      <c r="D1445" s="4">
        <f>IFERROR(__xludf.DUMMYFUNCTION("""COMPUTED_VALUE"""),122.0)</f>
        <v>122</v>
      </c>
      <c r="E1445" s="4">
        <f>IFERROR(__xludf.DUMMYFUNCTION("""COMPUTED_VALUE"""),118.0)</f>
        <v>118</v>
      </c>
      <c r="F1445" s="4">
        <f>IFERROR(__xludf.DUMMYFUNCTION("""COMPUTED_VALUE"""),9.0)</f>
        <v>9</v>
      </c>
      <c r="G1445" s="4">
        <f>IFERROR(__xludf.DUMMYFUNCTION("""COMPUTED_VALUE"""),1074.0)</f>
        <v>1074</v>
      </c>
      <c r="H1445" s="5">
        <f>IFERROR(__xludf.DUMMYFUNCTION("""COMPUTED_VALUE"""),3648.96)</f>
        <v>3648.96</v>
      </c>
      <c r="I1445" s="5">
        <f>IFERROR(__xludf.DUMMYFUNCTION("""COMPUTED_VALUE"""),4870.5)</f>
        <v>4870.5</v>
      </c>
      <c r="J1445" s="5">
        <f>IFERROR(__xludf.DUMMYFUNCTION("""COMPUTED_VALUE"""),4596.18)</f>
        <v>4596.18</v>
      </c>
      <c r="K1445" s="5">
        <f>IFERROR(__xludf.DUMMYFUNCTION("""COMPUTED_VALUE"""),2415.97)</f>
        <v>2415.97</v>
      </c>
      <c r="L1445" s="4">
        <f>IFERROR(__xludf.DUMMYFUNCTION("""COMPUTED_VALUE"""),7.0)</f>
        <v>7</v>
      </c>
      <c r="M1445" s="4">
        <f>IFERROR(__xludf.DUMMYFUNCTION("""COMPUTED_VALUE"""),7.0)</f>
        <v>7</v>
      </c>
      <c r="N1445" s="2" t="str">
        <f>IFERROR(__xludf.DUMMYFUNCTION("""COMPUTED_VALUE"""),"VERDADERO")</f>
        <v>VERDADERO</v>
      </c>
    </row>
    <row r="1446">
      <c r="A1446" s="2">
        <f>IFERROR(__xludf.DUMMYFUNCTION("""COMPUTED_VALUE"""),1445.0)</f>
        <v>1445</v>
      </c>
      <c r="B1446" s="2" t="str">
        <f>IFERROR(__xludf.DUMMYFUNCTION("""COMPUTED_VALUE"""),"Remy Dunnett")</f>
        <v>Remy Dunnett</v>
      </c>
      <c r="C1446" s="2" t="str">
        <f>IFERROR(__xludf.DUMMYFUNCTION("""COMPUTED_VALUE"""),"rdunnettcd@ezinearticles.com")</f>
        <v>rdunnettcd@ezinearticles.com</v>
      </c>
      <c r="D1446" s="4">
        <f>IFERROR(__xludf.DUMMYFUNCTION("""COMPUTED_VALUE"""),29.0)</f>
        <v>29</v>
      </c>
      <c r="E1446" s="4">
        <f>IFERROR(__xludf.DUMMYFUNCTION("""COMPUTED_VALUE"""),64.0)</f>
        <v>64</v>
      </c>
      <c r="F1446" s="4">
        <f>IFERROR(__xludf.DUMMYFUNCTION("""COMPUTED_VALUE"""),4.0)</f>
        <v>4</v>
      </c>
      <c r="G1446" s="4">
        <f>IFERROR(__xludf.DUMMYFUNCTION("""COMPUTED_VALUE"""),904.0)</f>
        <v>904</v>
      </c>
      <c r="H1446" s="5">
        <f>IFERROR(__xludf.DUMMYFUNCTION("""COMPUTED_VALUE"""),1605.01)</f>
        <v>1605.01</v>
      </c>
      <c r="I1446" s="5">
        <f>IFERROR(__xludf.DUMMYFUNCTION("""COMPUTED_VALUE"""),7425.56)</f>
        <v>7425.56</v>
      </c>
      <c r="J1446" s="5">
        <f>IFERROR(__xludf.DUMMYFUNCTION("""COMPUTED_VALUE"""),4812.19)</f>
        <v>4812.19</v>
      </c>
      <c r="K1446" s="5">
        <f>IFERROR(__xludf.DUMMYFUNCTION("""COMPUTED_VALUE"""),9509.59)</f>
        <v>9509.59</v>
      </c>
      <c r="L1446" s="4">
        <f>IFERROR(__xludf.DUMMYFUNCTION("""COMPUTED_VALUE"""),8.0)</f>
        <v>8</v>
      </c>
      <c r="M1446" s="4">
        <f>IFERROR(__xludf.DUMMYFUNCTION("""COMPUTED_VALUE"""),68.0)</f>
        <v>68</v>
      </c>
      <c r="N1446" s="2" t="str">
        <f>IFERROR(__xludf.DUMMYFUNCTION("""COMPUTED_VALUE"""),"VERDADERO")</f>
        <v>VERDADERO</v>
      </c>
    </row>
    <row r="1447">
      <c r="A1447" s="2">
        <f>IFERROR(__xludf.DUMMYFUNCTION("""COMPUTED_VALUE"""),1446.0)</f>
        <v>1446</v>
      </c>
      <c r="B1447" s="2" t="str">
        <f>IFERROR(__xludf.DUMMYFUNCTION("""COMPUTED_VALUE"""),"Joey Mackiewicz")</f>
        <v>Joey Mackiewicz</v>
      </c>
      <c r="C1447" s="2" t="str">
        <f>IFERROR(__xludf.DUMMYFUNCTION("""COMPUTED_VALUE"""),"jmackiewiczce@economist.com")</f>
        <v>jmackiewiczce@economist.com</v>
      </c>
      <c r="D1447" s="4">
        <f>IFERROR(__xludf.DUMMYFUNCTION("""COMPUTED_VALUE"""),65.0)</f>
        <v>65</v>
      </c>
      <c r="E1447" s="4">
        <f>IFERROR(__xludf.DUMMYFUNCTION("""COMPUTED_VALUE"""),81.0)</f>
        <v>81</v>
      </c>
      <c r="F1447" s="4">
        <f>IFERROR(__xludf.DUMMYFUNCTION("""COMPUTED_VALUE"""),2.0)</f>
        <v>2</v>
      </c>
      <c r="G1447" s="4">
        <f>IFERROR(__xludf.DUMMYFUNCTION("""COMPUTED_VALUE"""),1093.0)</f>
        <v>1093</v>
      </c>
      <c r="H1447" s="5">
        <f>IFERROR(__xludf.DUMMYFUNCTION("""COMPUTED_VALUE"""),1399.8)</f>
        <v>1399.8</v>
      </c>
      <c r="I1447" s="5">
        <f>IFERROR(__xludf.DUMMYFUNCTION("""COMPUTED_VALUE"""),8952.19)</f>
        <v>8952.19</v>
      </c>
      <c r="J1447" s="5">
        <f>IFERROR(__xludf.DUMMYFUNCTION("""COMPUTED_VALUE"""),5892.35)</f>
        <v>5892.35</v>
      </c>
      <c r="K1447" s="5">
        <f>IFERROR(__xludf.DUMMYFUNCTION("""COMPUTED_VALUE"""),2551.7)</f>
        <v>2551.7</v>
      </c>
      <c r="L1447" s="4">
        <f>IFERROR(__xludf.DUMMYFUNCTION("""COMPUTED_VALUE"""),6.0)</f>
        <v>6</v>
      </c>
      <c r="M1447" s="4">
        <f>IFERROR(__xludf.DUMMYFUNCTION("""COMPUTED_VALUE"""),3.0)</f>
        <v>3</v>
      </c>
      <c r="N1447" s="2" t="str">
        <f>IFERROR(__xludf.DUMMYFUNCTION("""COMPUTED_VALUE"""),"VERDADERO")</f>
        <v>VERDADERO</v>
      </c>
    </row>
    <row r="1448">
      <c r="A1448" s="2">
        <f>IFERROR(__xludf.DUMMYFUNCTION("""COMPUTED_VALUE"""),1447.0)</f>
        <v>1447</v>
      </c>
      <c r="B1448" s="2" t="str">
        <f>IFERROR(__xludf.DUMMYFUNCTION("""COMPUTED_VALUE"""),"Magdalen Brizland")</f>
        <v>Magdalen Brizland</v>
      </c>
      <c r="C1448" s="2" t="str">
        <f>IFERROR(__xludf.DUMMYFUNCTION("""COMPUTED_VALUE"""),"mbrizlandcf@ow.ly")</f>
        <v>mbrizlandcf@ow.ly</v>
      </c>
      <c r="D1448" s="4">
        <f>IFERROR(__xludf.DUMMYFUNCTION("""COMPUTED_VALUE"""),57.0)</f>
        <v>57</v>
      </c>
      <c r="E1448" s="4">
        <f>IFERROR(__xludf.DUMMYFUNCTION("""COMPUTED_VALUE"""),57.0)</f>
        <v>57</v>
      </c>
      <c r="F1448" s="4">
        <f>IFERROR(__xludf.DUMMYFUNCTION("""COMPUTED_VALUE"""),5.0)</f>
        <v>5</v>
      </c>
      <c r="G1448" s="4">
        <f>IFERROR(__xludf.DUMMYFUNCTION("""COMPUTED_VALUE"""),258.0)</f>
        <v>258</v>
      </c>
      <c r="H1448" s="5">
        <f>IFERROR(__xludf.DUMMYFUNCTION("""COMPUTED_VALUE"""),4925.94)</f>
        <v>4925.94</v>
      </c>
      <c r="I1448" s="5">
        <f>IFERROR(__xludf.DUMMYFUNCTION("""COMPUTED_VALUE"""),4523.69)</f>
        <v>4523.69</v>
      </c>
      <c r="J1448" s="5">
        <f>IFERROR(__xludf.DUMMYFUNCTION("""COMPUTED_VALUE"""),4755.76)</f>
        <v>4755.76</v>
      </c>
      <c r="K1448" s="5">
        <f>IFERROR(__xludf.DUMMYFUNCTION("""COMPUTED_VALUE"""),5553.49)</f>
        <v>5553.49</v>
      </c>
      <c r="L1448" s="4">
        <f>IFERROR(__xludf.DUMMYFUNCTION("""COMPUTED_VALUE"""),1.0)</f>
        <v>1</v>
      </c>
      <c r="M1448" s="4">
        <f>IFERROR(__xludf.DUMMYFUNCTION("""COMPUTED_VALUE"""),34.0)</f>
        <v>34</v>
      </c>
      <c r="N1448" s="2" t="str">
        <f>IFERROR(__xludf.DUMMYFUNCTION("""COMPUTED_VALUE"""),"FALSO")</f>
        <v>FALSO</v>
      </c>
    </row>
    <row r="1449">
      <c r="A1449" s="2">
        <f>IFERROR(__xludf.DUMMYFUNCTION("""COMPUTED_VALUE"""),1448.0)</f>
        <v>1448</v>
      </c>
      <c r="B1449" s="2" t="str">
        <f>IFERROR(__xludf.DUMMYFUNCTION("""COMPUTED_VALUE"""),"Mariele Martynikhin")</f>
        <v>Mariele Martynikhin</v>
      </c>
      <c r="C1449" s="2" t="str">
        <f>IFERROR(__xludf.DUMMYFUNCTION("""COMPUTED_VALUE"""),"mmartynikhincg@istockphoto.com")</f>
        <v>mmartynikhincg@istockphoto.com</v>
      </c>
      <c r="D1449" s="4">
        <f>IFERROR(__xludf.DUMMYFUNCTION("""COMPUTED_VALUE"""),29.0)</f>
        <v>29</v>
      </c>
      <c r="E1449" s="4">
        <f>IFERROR(__xludf.DUMMYFUNCTION("""COMPUTED_VALUE"""),111.0)</f>
        <v>111</v>
      </c>
      <c r="F1449" s="4">
        <f>IFERROR(__xludf.DUMMYFUNCTION("""COMPUTED_VALUE"""),4.0)</f>
        <v>4</v>
      </c>
      <c r="G1449" s="4">
        <f>IFERROR(__xludf.DUMMYFUNCTION("""COMPUTED_VALUE"""),302.0)</f>
        <v>302</v>
      </c>
      <c r="H1449" s="5">
        <f>IFERROR(__xludf.DUMMYFUNCTION("""COMPUTED_VALUE"""),2389.19)</f>
        <v>2389.19</v>
      </c>
      <c r="I1449" s="5">
        <f>IFERROR(__xludf.DUMMYFUNCTION("""COMPUTED_VALUE"""),282.15)</f>
        <v>282.15</v>
      </c>
      <c r="J1449" s="5">
        <f>IFERROR(__xludf.DUMMYFUNCTION("""COMPUTED_VALUE"""),342.5)</f>
        <v>342.5</v>
      </c>
      <c r="K1449" s="5">
        <f>IFERROR(__xludf.DUMMYFUNCTION("""COMPUTED_VALUE"""),5344.24)</f>
        <v>5344.24</v>
      </c>
      <c r="L1449" s="4">
        <f>IFERROR(__xludf.DUMMYFUNCTION("""COMPUTED_VALUE"""),19.0)</f>
        <v>19</v>
      </c>
      <c r="M1449" s="4">
        <f>IFERROR(__xludf.DUMMYFUNCTION("""COMPUTED_VALUE"""),87.0)</f>
        <v>87</v>
      </c>
      <c r="N1449" s="2" t="str">
        <f>IFERROR(__xludf.DUMMYFUNCTION("""COMPUTED_VALUE"""),"FALSO")</f>
        <v>FALSO</v>
      </c>
    </row>
    <row r="1450">
      <c r="A1450" s="2">
        <f>IFERROR(__xludf.DUMMYFUNCTION("""COMPUTED_VALUE"""),1449.0)</f>
        <v>1449</v>
      </c>
      <c r="B1450" s="2" t="str">
        <f>IFERROR(__xludf.DUMMYFUNCTION("""COMPUTED_VALUE"""),"Valaria Goburn")</f>
        <v>Valaria Goburn</v>
      </c>
      <c r="C1450" s="2" t="str">
        <f>IFERROR(__xludf.DUMMYFUNCTION("""COMPUTED_VALUE"""),"vgoburnch@netlog.com")</f>
        <v>vgoburnch@netlog.com</v>
      </c>
      <c r="D1450" s="4">
        <f>IFERROR(__xludf.DUMMYFUNCTION("""COMPUTED_VALUE"""),49.0)</f>
        <v>49</v>
      </c>
      <c r="E1450" s="4">
        <f>IFERROR(__xludf.DUMMYFUNCTION("""COMPUTED_VALUE"""),21.0)</f>
        <v>21</v>
      </c>
      <c r="F1450" s="4">
        <f>IFERROR(__xludf.DUMMYFUNCTION("""COMPUTED_VALUE"""),12.0)</f>
        <v>12</v>
      </c>
      <c r="G1450" s="4">
        <f>IFERROR(__xludf.DUMMYFUNCTION("""COMPUTED_VALUE"""),948.0)</f>
        <v>948</v>
      </c>
      <c r="H1450" s="5">
        <f>IFERROR(__xludf.DUMMYFUNCTION("""COMPUTED_VALUE"""),3787.69)</f>
        <v>3787.69</v>
      </c>
      <c r="I1450" s="5">
        <f>IFERROR(__xludf.DUMMYFUNCTION("""COMPUTED_VALUE"""),975.3)</f>
        <v>975.3</v>
      </c>
      <c r="J1450" s="5">
        <f>IFERROR(__xludf.DUMMYFUNCTION("""COMPUTED_VALUE"""),3850.5)</f>
        <v>3850.5</v>
      </c>
      <c r="K1450" s="5">
        <f>IFERROR(__xludf.DUMMYFUNCTION("""COMPUTED_VALUE"""),6215.84)</f>
        <v>6215.84</v>
      </c>
      <c r="L1450" s="4">
        <f>IFERROR(__xludf.DUMMYFUNCTION("""COMPUTED_VALUE"""),11.0)</f>
        <v>11</v>
      </c>
      <c r="M1450" s="4">
        <f>IFERROR(__xludf.DUMMYFUNCTION("""COMPUTED_VALUE"""),32.0)</f>
        <v>32</v>
      </c>
      <c r="N1450" s="2" t="str">
        <f>IFERROR(__xludf.DUMMYFUNCTION("""COMPUTED_VALUE"""),"FALSO")</f>
        <v>FALSO</v>
      </c>
    </row>
    <row r="1451">
      <c r="A1451" s="2">
        <f>IFERROR(__xludf.DUMMYFUNCTION("""COMPUTED_VALUE"""),1450.0)</f>
        <v>1450</v>
      </c>
      <c r="B1451" s="2" t="str">
        <f>IFERROR(__xludf.DUMMYFUNCTION("""COMPUTED_VALUE"""),"Joelle McTeague")</f>
        <v>Joelle McTeague</v>
      </c>
      <c r="C1451" s="2" t="str">
        <f>IFERROR(__xludf.DUMMYFUNCTION("""COMPUTED_VALUE"""),"jmcteagueci@weibo.com")</f>
        <v>jmcteagueci@weibo.com</v>
      </c>
      <c r="D1451" s="4">
        <f>IFERROR(__xludf.DUMMYFUNCTION("""COMPUTED_VALUE"""),124.0)</f>
        <v>124</v>
      </c>
      <c r="E1451" s="4">
        <f>IFERROR(__xludf.DUMMYFUNCTION("""COMPUTED_VALUE"""),46.0)</f>
        <v>46</v>
      </c>
      <c r="F1451" s="4">
        <f>IFERROR(__xludf.DUMMYFUNCTION("""COMPUTED_VALUE"""),5.0)</f>
        <v>5</v>
      </c>
      <c r="G1451" s="4">
        <f>IFERROR(__xludf.DUMMYFUNCTION("""COMPUTED_VALUE"""),326.0)</f>
        <v>326</v>
      </c>
      <c r="H1451" s="5">
        <f>IFERROR(__xludf.DUMMYFUNCTION("""COMPUTED_VALUE"""),4727.36)</f>
        <v>4727.36</v>
      </c>
      <c r="I1451" s="5">
        <f>IFERROR(__xludf.DUMMYFUNCTION("""COMPUTED_VALUE"""),6529.35)</f>
        <v>6529.35</v>
      </c>
      <c r="J1451" s="5">
        <f>IFERROR(__xludf.DUMMYFUNCTION("""COMPUTED_VALUE"""),2440.25)</f>
        <v>2440.25</v>
      </c>
      <c r="K1451" s="5">
        <f>IFERROR(__xludf.DUMMYFUNCTION("""COMPUTED_VALUE"""),4650.35)</f>
        <v>4650.35</v>
      </c>
      <c r="L1451" s="4">
        <f>IFERROR(__xludf.DUMMYFUNCTION("""COMPUTED_VALUE"""),16.0)</f>
        <v>16</v>
      </c>
      <c r="M1451" s="4">
        <f>IFERROR(__xludf.DUMMYFUNCTION("""COMPUTED_VALUE"""),97.0)</f>
        <v>97</v>
      </c>
      <c r="N1451" s="2" t="str">
        <f>IFERROR(__xludf.DUMMYFUNCTION("""COMPUTED_VALUE"""),"VERDADERO")</f>
        <v>VERDADERO</v>
      </c>
    </row>
    <row r="1452">
      <c r="A1452" s="2">
        <f>IFERROR(__xludf.DUMMYFUNCTION("""COMPUTED_VALUE"""),1451.0)</f>
        <v>1451</v>
      </c>
      <c r="B1452" s="2" t="str">
        <f>IFERROR(__xludf.DUMMYFUNCTION("""COMPUTED_VALUE"""),"Otha Drummond")</f>
        <v>Otha Drummond</v>
      </c>
      <c r="C1452" s="2" t="str">
        <f>IFERROR(__xludf.DUMMYFUNCTION("""COMPUTED_VALUE"""),"odrummondcj@vk.com")</f>
        <v>odrummondcj@vk.com</v>
      </c>
      <c r="D1452" s="4">
        <f>IFERROR(__xludf.DUMMYFUNCTION("""COMPUTED_VALUE"""),18.0)</f>
        <v>18</v>
      </c>
      <c r="E1452" s="4">
        <f>IFERROR(__xludf.DUMMYFUNCTION("""COMPUTED_VALUE"""),81.0)</f>
        <v>81</v>
      </c>
      <c r="F1452" s="4">
        <f>IFERROR(__xludf.DUMMYFUNCTION("""COMPUTED_VALUE"""),2.0)</f>
        <v>2</v>
      </c>
      <c r="G1452" s="4">
        <f>IFERROR(__xludf.DUMMYFUNCTION("""COMPUTED_VALUE"""),660.0)</f>
        <v>660</v>
      </c>
      <c r="H1452" s="5">
        <f>IFERROR(__xludf.DUMMYFUNCTION("""COMPUTED_VALUE"""),8398.58)</f>
        <v>8398.58</v>
      </c>
      <c r="I1452" s="5">
        <f>IFERROR(__xludf.DUMMYFUNCTION("""COMPUTED_VALUE"""),5152.63)</f>
        <v>5152.63</v>
      </c>
      <c r="J1452" s="5">
        <f>IFERROR(__xludf.DUMMYFUNCTION("""COMPUTED_VALUE"""),8460.29)</f>
        <v>8460.29</v>
      </c>
      <c r="K1452" s="5">
        <f>IFERROR(__xludf.DUMMYFUNCTION("""COMPUTED_VALUE"""),7508.61)</f>
        <v>7508.61</v>
      </c>
      <c r="L1452" s="4">
        <f>IFERROR(__xludf.DUMMYFUNCTION("""COMPUTED_VALUE"""),7.0)</f>
        <v>7</v>
      </c>
      <c r="M1452" s="4">
        <f>IFERROR(__xludf.DUMMYFUNCTION("""COMPUTED_VALUE"""),46.0)</f>
        <v>46</v>
      </c>
      <c r="N1452" s="2" t="str">
        <f>IFERROR(__xludf.DUMMYFUNCTION("""COMPUTED_VALUE"""),"VERDADERO")</f>
        <v>VERDADERO</v>
      </c>
    </row>
    <row r="1453">
      <c r="A1453" s="2">
        <f>IFERROR(__xludf.DUMMYFUNCTION("""COMPUTED_VALUE"""),1452.0)</f>
        <v>1452</v>
      </c>
      <c r="B1453" s="2" t="str">
        <f>IFERROR(__xludf.DUMMYFUNCTION("""COMPUTED_VALUE"""),"Ruthy McKissack")</f>
        <v>Ruthy McKissack</v>
      </c>
      <c r="C1453" s="2" t="str">
        <f>IFERROR(__xludf.DUMMYFUNCTION("""COMPUTED_VALUE"""),"rmckissackck@rediff.com")</f>
        <v>rmckissackck@rediff.com</v>
      </c>
      <c r="D1453" s="4">
        <f>IFERROR(__xludf.DUMMYFUNCTION("""COMPUTED_VALUE"""),49.0)</f>
        <v>49</v>
      </c>
      <c r="E1453" s="4">
        <f>IFERROR(__xludf.DUMMYFUNCTION("""COMPUTED_VALUE"""),81.0)</f>
        <v>81</v>
      </c>
      <c r="F1453" s="4">
        <f>IFERROR(__xludf.DUMMYFUNCTION("""COMPUTED_VALUE"""),2.0)</f>
        <v>2</v>
      </c>
      <c r="G1453" s="4">
        <f>IFERROR(__xludf.DUMMYFUNCTION("""COMPUTED_VALUE"""),1071.0)</f>
        <v>1071</v>
      </c>
      <c r="H1453" s="5">
        <f>IFERROR(__xludf.DUMMYFUNCTION("""COMPUTED_VALUE"""),1281.32)</f>
        <v>1281.32</v>
      </c>
      <c r="I1453" s="5">
        <f>IFERROR(__xludf.DUMMYFUNCTION("""COMPUTED_VALUE"""),6563.14)</f>
        <v>6563.14</v>
      </c>
      <c r="J1453" s="5">
        <f>IFERROR(__xludf.DUMMYFUNCTION("""COMPUTED_VALUE"""),8530.42)</f>
        <v>8530.42</v>
      </c>
      <c r="K1453" s="5">
        <f>IFERROR(__xludf.DUMMYFUNCTION("""COMPUTED_VALUE"""),5886.73)</f>
        <v>5886.73</v>
      </c>
      <c r="L1453" s="4">
        <f>IFERROR(__xludf.DUMMYFUNCTION("""COMPUTED_VALUE"""),1.0)</f>
        <v>1</v>
      </c>
      <c r="M1453" s="4">
        <f>IFERROR(__xludf.DUMMYFUNCTION("""COMPUTED_VALUE"""),29.0)</f>
        <v>29</v>
      </c>
      <c r="N1453" s="2" t="str">
        <f>IFERROR(__xludf.DUMMYFUNCTION("""COMPUTED_VALUE"""),"VERDADERO")</f>
        <v>VERDADERO</v>
      </c>
    </row>
    <row r="1454">
      <c r="A1454" s="2">
        <f>IFERROR(__xludf.DUMMYFUNCTION("""COMPUTED_VALUE"""),1453.0)</f>
        <v>1453</v>
      </c>
      <c r="B1454" s="2" t="str">
        <f>IFERROR(__xludf.DUMMYFUNCTION("""COMPUTED_VALUE"""),"Yolanthe Guerrero")</f>
        <v>Yolanthe Guerrero</v>
      </c>
      <c r="C1454" s="2" t="str">
        <f>IFERROR(__xludf.DUMMYFUNCTION("""COMPUTED_VALUE"""),"yguerrerocl@posterous.com")</f>
        <v>yguerrerocl@posterous.com</v>
      </c>
      <c r="D1454" s="4">
        <f>IFERROR(__xludf.DUMMYFUNCTION("""COMPUTED_VALUE"""),29.0)</f>
        <v>29</v>
      </c>
      <c r="E1454" s="4">
        <f>IFERROR(__xludf.DUMMYFUNCTION("""COMPUTED_VALUE"""),21.0)</f>
        <v>21</v>
      </c>
      <c r="F1454" s="4">
        <f>IFERROR(__xludf.DUMMYFUNCTION("""COMPUTED_VALUE"""),12.0)</f>
        <v>12</v>
      </c>
      <c r="G1454" s="4">
        <f>IFERROR(__xludf.DUMMYFUNCTION("""COMPUTED_VALUE"""),278.0)</f>
        <v>278</v>
      </c>
      <c r="H1454" s="5">
        <f>IFERROR(__xludf.DUMMYFUNCTION("""COMPUTED_VALUE"""),4432.25)</f>
        <v>4432.25</v>
      </c>
      <c r="I1454" s="5">
        <f>IFERROR(__xludf.DUMMYFUNCTION("""COMPUTED_VALUE"""),2672.45)</f>
        <v>2672.45</v>
      </c>
      <c r="J1454" s="5">
        <f>IFERROR(__xludf.DUMMYFUNCTION("""COMPUTED_VALUE"""),5649.81)</f>
        <v>5649.81</v>
      </c>
      <c r="K1454" s="5">
        <f>IFERROR(__xludf.DUMMYFUNCTION("""COMPUTED_VALUE"""),9148.35)</f>
        <v>9148.35</v>
      </c>
      <c r="L1454" s="4">
        <f>IFERROR(__xludf.DUMMYFUNCTION("""COMPUTED_VALUE"""),20.0)</f>
        <v>20</v>
      </c>
      <c r="M1454" s="4">
        <f>IFERROR(__xludf.DUMMYFUNCTION("""COMPUTED_VALUE"""),23.0)</f>
        <v>23</v>
      </c>
      <c r="N1454" s="2" t="str">
        <f>IFERROR(__xludf.DUMMYFUNCTION("""COMPUTED_VALUE"""),"VERDADERO")</f>
        <v>VERDADERO</v>
      </c>
    </row>
    <row r="1455">
      <c r="A1455" s="2">
        <f>IFERROR(__xludf.DUMMYFUNCTION("""COMPUTED_VALUE"""),1454.0)</f>
        <v>1454</v>
      </c>
      <c r="B1455" s="2" t="str">
        <f>IFERROR(__xludf.DUMMYFUNCTION("""COMPUTED_VALUE"""),"Kelley Alexandrou")</f>
        <v>Kelley Alexandrou</v>
      </c>
      <c r="C1455" s="2" t="str">
        <f>IFERROR(__xludf.DUMMYFUNCTION("""COMPUTED_VALUE"""),"kalexandroucm@nhs.uk")</f>
        <v>kalexandroucm@nhs.uk</v>
      </c>
      <c r="D1455" s="4">
        <f>IFERROR(__xludf.DUMMYFUNCTION("""COMPUTED_VALUE"""),72.0)</f>
        <v>72</v>
      </c>
      <c r="E1455" s="4">
        <f>IFERROR(__xludf.DUMMYFUNCTION("""COMPUTED_VALUE"""),6.0)</f>
        <v>6</v>
      </c>
      <c r="F1455" s="4">
        <f>IFERROR(__xludf.DUMMYFUNCTION("""COMPUTED_VALUE"""),13.0)</f>
        <v>13</v>
      </c>
      <c r="G1455" s="4">
        <f>IFERROR(__xludf.DUMMYFUNCTION("""COMPUTED_VALUE"""),881.0)</f>
        <v>881</v>
      </c>
      <c r="H1455" s="5">
        <f>IFERROR(__xludf.DUMMYFUNCTION("""COMPUTED_VALUE"""),7982.64)</f>
        <v>7982.64</v>
      </c>
      <c r="I1455" s="5">
        <f>IFERROR(__xludf.DUMMYFUNCTION("""COMPUTED_VALUE"""),3619.83)</f>
        <v>3619.83</v>
      </c>
      <c r="J1455" s="5">
        <f>IFERROR(__xludf.DUMMYFUNCTION("""COMPUTED_VALUE"""),3675.0)</f>
        <v>3675</v>
      </c>
      <c r="K1455" s="5">
        <f>IFERROR(__xludf.DUMMYFUNCTION("""COMPUTED_VALUE"""),3943.24)</f>
        <v>3943.24</v>
      </c>
      <c r="L1455" s="4">
        <f>IFERROR(__xludf.DUMMYFUNCTION("""COMPUTED_VALUE"""),9.0)</f>
        <v>9</v>
      </c>
      <c r="M1455" s="4">
        <f>IFERROR(__xludf.DUMMYFUNCTION("""COMPUTED_VALUE"""),10.0)</f>
        <v>10</v>
      </c>
      <c r="N1455" s="2" t="str">
        <f>IFERROR(__xludf.DUMMYFUNCTION("""COMPUTED_VALUE"""),"FALSO")</f>
        <v>FALSO</v>
      </c>
    </row>
    <row r="1456">
      <c r="A1456" s="2">
        <f>IFERROR(__xludf.DUMMYFUNCTION("""COMPUTED_VALUE"""),1455.0)</f>
        <v>1455</v>
      </c>
      <c r="B1456" s="2" t="str">
        <f>IFERROR(__xludf.DUMMYFUNCTION("""COMPUTED_VALUE"""),"Marie-jeanne Burgoin")</f>
        <v>Marie-jeanne Burgoin</v>
      </c>
      <c r="C1456" s="2" t="str">
        <f>IFERROR(__xludf.DUMMYFUNCTION("""COMPUTED_VALUE"""),"mburgoincn@squidoo.com")</f>
        <v>mburgoincn@squidoo.com</v>
      </c>
      <c r="D1456" s="4">
        <f>IFERROR(__xludf.DUMMYFUNCTION("""COMPUTED_VALUE"""),65.0)</f>
        <v>65</v>
      </c>
      <c r="E1456" s="4">
        <f>IFERROR(__xludf.DUMMYFUNCTION("""COMPUTED_VALUE"""),29.0)</f>
        <v>29</v>
      </c>
      <c r="F1456" s="4">
        <f>IFERROR(__xludf.DUMMYFUNCTION("""COMPUTED_VALUE"""),11.0)</f>
        <v>11</v>
      </c>
      <c r="G1456" s="4">
        <f>IFERROR(__xludf.DUMMYFUNCTION("""COMPUTED_VALUE"""),243.0)</f>
        <v>243</v>
      </c>
      <c r="H1456" s="5">
        <f>IFERROR(__xludf.DUMMYFUNCTION("""COMPUTED_VALUE"""),4286.81)</f>
        <v>4286.81</v>
      </c>
      <c r="I1456" s="5">
        <f>IFERROR(__xludf.DUMMYFUNCTION("""COMPUTED_VALUE"""),8574.1)</f>
        <v>8574.1</v>
      </c>
      <c r="J1456" s="5">
        <f>IFERROR(__xludf.DUMMYFUNCTION("""COMPUTED_VALUE"""),3749.84)</f>
        <v>3749.84</v>
      </c>
      <c r="K1456" s="5">
        <f>IFERROR(__xludf.DUMMYFUNCTION("""COMPUTED_VALUE"""),3770.44)</f>
        <v>3770.44</v>
      </c>
      <c r="L1456" s="4">
        <f>IFERROR(__xludf.DUMMYFUNCTION("""COMPUTED_VALUE"""),5.0)</f>
        <v>5</v>
      </c>
      <c r="M1456" s="4">
        <f>IFERROR(__xludf.DUMMYFUNCTION("""COMPUTED_VALUE"""),45.0)</f>
        <v>45</v>
      </c>
      <c r="N1456" s="2" t="str">
        <f>IFERROR(__xludf.DUMMYFUNCTION("""COMPUTED_VALUE"""),"FALSO")</f>
        <v>FALSO</v>
      </c>
    </row>
    <row r="1457">
      <c r="A1457" s="2">
        <f>IFERROR(__xludf.DUMMYFUNCTION("""COMPUTED_VALUE"""),1456.0)</f>
        <v>1456</v>
      </c>
      <c r="B1457" s="2" t="str">
        <f>IFERROR(__xludf.DUMMYFUNCTION("""COMPUTED_VALUE"""),"Merissa Faichney")</f>
        <v>Merissa Faichney</v>
      </c>
      <c r="C1457" s="2" t="str">
        <f>IFERROR(__xludf.DUMMYFUNCTION("""COMPUTED_VALUE"""),"mfaichneyco@wikispaces.com")</f>
        <v>mfaichneyco@wikispaces.com</v>
      </c>
      <c r="D1457" s="4">
        <f>IFERROR(__xludf.DUMMYFUNCTION("""COMPUTED_VALUE"""),65.0)</f>
        <v>65</v>
      </c>
      <c r="E1457" s="4">
        <f>IFERROR(__xludf.DUMMYFUNCTION("""COMPUTED_VALUE"""),81.0)</f>
        <v>81</v>
      </c>
      <c r="F1457" s="4">
        <f>IFERROR(__xludf.DUMMYFUNCTION("""COMPUTED_VALUE"""),2.0)</f>
        <v>2</v>
      </c>
      <c r="G1457" s="4">
        <f>IFERROR(__xludf.DUMMYFUNCTION("""COMPUTED_VALUE"""),1358.0)</f>
        <v>1358</v>
      </c>
      <c r="H1457" s="5">
        <f>IFERROR(__xludf.DUMMYFUNCTION("""COMPUTED_VALUE"""),2329.32)</f>
        <v>2329.32</v>
      </c>
      <c r="I1457" s="5">
        <f>IFERROR(__xludf.DUMMYFUNCTION("""COMPUTED_VALUE"""),5302.02)</f>
        <v>5302.02</v>
      </c>
      <c r="J1457" s="5">
        <f>IFERROR(__xludf.DUMMYFUNCTION("""COMPUTED_VALUE"""),6022.15)</f>
        <v>6022.15</v>
      </c>
      <c r="K1457" s="5">
        <f>IFERROR(__xludf.DUMMYFUNCTION("""COMPUTED_VALUE"""),7214.67)</f>
        <v>7214.67</v>
      </c>
      <c r="L1457" s="4">
        <f>IFERROR(__xludf.DUMMYFUNCTION("""COMPUTED_VALUE"""),13.0)</f>
        <v>13</v>
      </c>
      <c r="M1457" s="4">
        <f>IFERROR(__xludf.DUMMYFUNCTION("""COMPUTED_VALUE"""),83.0)</f>
        <v>83</v>
      </c>
      <c r="N1457" s="2" t="str">
        <f>IFERROR(__xludf.DUMMYFUNCTION("""COMPUTED_VALUE"""),"FALSO")</f>
        <v>FALSO</v>
      </c>
    </row>
    <row r="1458">
      <c r="A1458" s="2">
        <f>IFERROR(__xludf.DUMMYFUNCTION("""COMPUTED_VALUE"""),1457.0)</f>
        <v>1457</v>
      </c>
      <c r="B1458" s="2" t="str">
        <f>IFERROR(__xludf.DUMMYFUNCTION("""COMPUTED_VALUE"""),"Brett Wholesworth")</f>
        <v>Brett Wholesworth</v>
      </c>
      <c r="C1458" s="2" t="str">
        <f>IFERROR(__xludf.DUMMYFUNCTION("""COMPUTED_VALUE"""),"bwholesworthcp@hao123.com")</f>
        <v>bwholesworthcp@hao123.com</v>
      </c>
      <c r="D1458" s="4">
        <f>IFERROR(__xludf.DUMMYFUNCTION("""COMPUTED_VALUE"""),120.0)</f>
        <v>120</v>
      </c>
      <c r="E1458" s="4">
        <f>IFERROR(__xludf.DUMMYFUNCTION("""COMPUTED_VALUE"""),48.0)</f>
        <v>48</v>
      </c>
      <c r="F1458" s="4">
        <f>IFERROR(__xludf.DUMMYFUNCTION("""COMPUTED_VALUE"""),4.0)</f>
        <v>4</v>
      </c>
      <c r="G1458" s="4">
        <f>IFERROR(__xludf.DUMMYFUNCTION("""COMPUTED_VALUE"""),1537.0)</f>
        <v>1537</v>
      </c>
      <c r="H1458" s="5">
        <f>IFERROR(__xludf.DUMMYFUNCTION("""COMPUTED_VALUE"""),463.16)</f>
        <v>463.16</v>
      </c>
      <c r="I1458" s="5">
        <f>IFERROR(__xludf.DUMMYFUNCTION("""COMPUTED_VALUE"""),3077.37)</f>
        <v>3077.37</v>
      </c>
      <c r="J1458" s="5">
        <f>IFERROR(__xludf.DUMMYFUNCTION("""COMPUTED_VALUE"""),8131.49)</f>
        <v>8131.49</v>
      </c>
      <c r="K1458" s="5">
        <f>IFERROR(__xludf.DUMMYFUNCTION("""COMPUTED_VALUE"""),9476.96)</f>
        <v>9476.96</v>
      </c>
      <c r="L1458" s="4">
        <f>IFERROR(__xludf.DUMMYFUNCTION("""COMPUTED_VALUE"""),9.0)</f>
        <v>9</v>
      </c>
      <c r="M1458" s="4">
        <f>IFERROR(__xludf.DUMMYFUNCTION("""COMPUTED_VALUE"""),100.0)</f>
        <v>100</v>
      </c>
      <c r="N1458" s="2" t="str">
        <f>IFERROR(__xludf.DUMMYFUNCTION("""COMPUTED_VALUE"""),"VERDADERO")</f>
        <v>VERDADERO</v>
      </c>
    </row>
    <row r="1459">
      <c r="A1459" s="2">
        <f>IFERROR(__xludf.DUMMYFUNCTION("""COMPUTED_VALUE"""),1458.0)</f>
        <v>1458</v>
      </c>
      <c r="B1459" s="2" t="str">
        <f>IFERROR(__xludf.DUMMYFUNCTION("""COMPUTED_VALUE"""),"Ezra Howell")</f>
        <v>Ezra Howell</v>
      </c>
      <c r="C1459" s="2" t="str">
        <f>IFERROR(__xludf.DUMMYFUNCTION("""COMPUTED_VALUE"""),"ehowellcq@youtube.com")</f>
        <v>ehowellcq@youtube.com</v>
      </c>
      <c r="D1459" s="4">
        <f>IFERROR(__xludf.DUMMYFUNCTION("""COMPUTED_VALUE"""),29.0)</f>
        <v>29</v>
      </c>
      <c r="E1459" s="4">
        <f>IFERROR(__xludf.DUMMYFUNCTION("""COMPUTED_VALUE"""),77.0)</f>
        <v>77</v>
      </c>
      <c r="F1459" s="4">
        <f>IFERROR(__xludf.DUMMYFUNCTION("""COMPUTED_VALUE"""),10.0)</f>
        <v>10</v>
      </c>
      <c r="G1459" s="4">
        <f>IFERROR(__xludf.DUMMYFUNCTION("""COMPUTED_VALUE"""),1289.0)</f>
        <v>1289</v>
      </c>
      <c r="H1459" s="5">
        <f>IFERROR(__xludf.DUMMYFUNCTION("""COMPUTED_VALUE"""),9752.13)</f>
        <v>9752.13</v>
      </c>
      <c r="I1459" s="5">
        <f>IFERROR(__xludf.DUMMYFUNCTION("""COMPUTED_VALUE"""),1414.8)</f>
        <v>1414.8</v>
      </c>
      <c r="J1459" s="5">
        <f>IFERROR(__xludf.DUMMYFUNCTION("""COMPUTED_VALUE"""),9925.71)</f>
        <v>9925.71</v>
      </c>
      <c r="K1459" s="5">
        <f>IFERROR(__xludf.DUMMYFUNCTION("""COMPUTED_VALUE"""),9628.83)</f>
        <v>9628.83</v>
      </c>
      <c r="L1459" s="4">
        <f>IFERROR(__xludf.DUMMYFUNCTION("""COMPUTED_VALUE"""),19.0)</f>
        <v>19</v>
      </c>
      <c r="M1459" s="4">
        <f>IFERROR(__xludf.DUMMYFUNCTION("""COMPUTED_VALUE"""),16.0)</f>
        <v>16</v>
      </c>
      <c r="N1459" s="2" t="str">
        <f>IFERROR(__xludf.DUMMYFUNCTION("""COMPUTED_VALUE"""),"VERDADERO")</f>
        <v>VERDADERO</v>
      </c>
    </row>
    <row r="1460">
      <c r="A1460" s="2">
        <f>IFERROR(__xludf.DUMMYFUNCTION("""COMPUTED_VALUE"""),1459.0)</f>
        <v>1459</v>
      </c>
      <c r="B1460" s="2" t="str">
        <f>IFERROR(__xludf.DUMMYFUNCTION("""COMPUTED_VALUE"""),"Allys Spiller")</f>
        <v>Allys Spiller</v>
      </c>
      <c r="C1460" s="2" t="str">
        <f>IFERROR(__xludf.DUMMYFUNCTION("""COMPUTED_VALUE"""),"aspillercr@aol.com")</f>
        <v>aspillercr@aol.com</v>
      </c>
      <c r="D1460" s="4">
        <f>IFERROR(__xludf.DUMMYFUNCTION("""COMPUTED_VALUE"""),153.0)</f>
        <v>153</v>
      </c>
      <c r="E1460" s="4">
        <f>IFERROR(__xludf.DUMMYFUNCTION("""COMPUTED_VALUE"""),81.0)</f>
        <v>81</v>
      </c>
      <c r="F1460" s="4">
        <f>IFERROR(__xludf.DUMMYFUNCTION("""COMPUTED_VALUE"""),2.0)</f>
        <v>2</v>
      </c>
      <c r="G1460" s="4">
        <f>IFERROR(__xludf.DUMMYFUNCTION("""COMPUTED_VALUE"""),744.0)</f>
        <v>744</v>
      </c>
      <c r="H1460" s="5">
        <f>IFERROR(__xludf.DUMMYFUNCTION("""COMPUTED_VALUE"""),638.76)</f>
        <v>638.76</v>
      </c>
      <c r="I1460" s="5">
        <f>IFERROR(__xludf.DUMMYFUNCTION("""COMPUTED_VALUE"""),8093.9)</f>
        <v>8093.9</v>
      </c>
      <c r="J1460" s="5">
        <f>IFERROR(__xludf.DUMMYFUNCTION("""COMPUTED_VALUE"""),1701.63)</f>
        <v>1701.63</v>
      </c>
      <c r="K1460" s="5">
        <f>IFERROR(__xludf.DUMMYFUNCTION("""COMPUTED_VALUE"""),71.21)</f>
        <v>71.21</v>
      </c>
      <c r="L1460" s="4">
        <f>IFERROR(__xludf.DUMMYFUNCTION("""COMPUTED_VALUE"""),14.0)</f>
        <v>14</v>
      </c>
      <c r="M1460" s="4">
        <f>IFERROR(__xludf.DUMMYFUNCTION("""COMPUTED_VALUE"""),4.0)</f>
        <v>4</v>
      </c>
      <c r="N1460" s="2" t="str">
        <f>IFERROR(__xludf.DUMMYFUNCTION("""COMPUTED_VALUE"""),"VERDADERO")</f>
        <v>VERDADERO</v>
      </c>
    </row>
    <row r="1461">
      <c r="A1461" s="2">
        <f>IFERROR(__xludf.DUMMYFUNCTION("""COMPUTED_VALUE"""),1460.0)</f>
        <v>1460</v>
      </c>
      <c r="B1461" s="2" t="str">
        <f>IFERROR(__xludf.DUMMYFUNCTION("""COMPUTED_VALUE"""),"Junina Size")</f>
        <v>Junina Size</v>
      </c>
      <c r="C1461" s="2" t="str">
        <f>IFERROR(__xludf.DUMMYFUNCTION("""COMPUTED_VALUE"""),"jsizecs@nationalgeographic.com")</f>
        <v>jsizecs@nationalgeographic.com</v>
      </c>
      <c r="D1461" s="4">
        <f>IFERROR(__xludf.DUMMYFUNCTION("""COMPUTED_VALUE"""),65.0)</f>
        <v>65</v>
      </c>
      <c r="E1461" s="4">
        <f>IFERROR(__xludf.DUMMYFUNCTION("""COMPUTED_VALUE"""),29.0)</f>
        <v>29</v>
      </c>
      <c r="F1461" s="4">
        <f>IFERROR(__xludf.DUMMYFUNCTION("""COMPUTED_VALUE"""),11.0)</f>
        <v>11</v>
      </c>
      <c r="G1461" s="4">
        <f>IFERROR(__xludf.DUMMYFUNCTION("""COMPUTED_VALUE"""),718.0)</f>
        <v>718</v>
      </c>
      <c r="H1461" s="5">
        <f>IFERROR(__xludf.DUMMYFUNCTION("""COMPUTED_VALUE"""),4398.16)</f>
        <v>4398.16</v>
      </c>
      <c r="I1461" s="5">
        <f>IFERROR(__xludf.DUMMYFUNCTION("""COMPUTED_VALUE"""),519.04)</f>
        <v>519.04</v>
      </c>
      <c r="J1461" s="5">
        <f>IFERROR(__xludf.DUMMYFUNCTION("""COMPUTED_VALUE"""),4072.96)</f>
        <v>4072.96</v>
      </c>
      <c r="K1461" s="5">
        <f>IFERROR(__xludf.DUMMYFUNCTION("""COMPUTED_VALUE"""),4176.01)</f>
        <v>4176.01</v>
      </c>
      <c r="L1461" s="4">
        <f>IFERROR(__xludf.DUMMYFUNCTION("""COMPUTED_VALUE"""),20.0)</f>
        <v>20</v>
      </c>
      <c r="M1461" s="4">
        <f>IFERROR(__xludf.DUMMYFUNCTION("""COMPUTED_VALUE"""),2.0)</f>
        <v>2</v>
      </c>
      <c r="N1461" s="2" t="str">
        <f>IFERROR(__xludf.DUMMYFUNCTION("""COMPUTED_VALUE"""),"VERDADERO")</f>
        <v>VERDADERO</v>
      </c>
    </row>
    <row r="1462">
      <c r="A1462" s="2">
        <f>IFERROR(__xludf.DUMMYFUNCTION("""COMPUTED_VALUE"""),1461.0)</f>
        <v>1461</v>
      </c>
      <c r="B1462" s="2" t="str">
        <f>IFERROR(__xludf.DUMMYFUNCTION("""COMPUTED_VALUE"""),"Sheryl Pirozzi")</f>
        <v>Sheryl Pirozzi</v>
      </c>
      <c r="C1462" s="2" t="str">
        <f>IFERROR(__xludf.DUMMYFUNCTION("""COMPUTED_VALUE"""),"spirozzict@gnu.org")</f>
        <v>spirozzict@gnu.org</v>
      </c>
      <c r="D1462" s="4">
        <f>IFERROR(__xludf.DUMMYFUNCTION("""COMPUTED_VALUE"""),108.0)</f>
        <v>108</v>
      </c>
      <c r="E1462" s="4">
        <f>IFERROR(__xludf.DUMMYFUNCTION("""COMPUTED_VALUE"""),64.0)</f>
        <v>64</v>
      </c>
      <c r="F1462" s="4">
        <f>IFERROR(__xludf.DUMMYFUNCTION("""COMPUTED_VALUE"""),4.0)</f>
        <v>4</v>
      </c>
      <c r="G1462" s="4">
        <f>IFERROR(__xludf.DUMMYFUNCTION("""COMPUTED_VALUE"""),558.0)</f>
        <v>558</v>
      </c>
      <c r="H1462" s="5">
        <f>IFERROR(__xludf.DUMMYFUNCTION("""COMPUTED_VALUE"""),6831.02)</f>
        <v>6831.02</v>
      </c>
      <c r="I1462" s="5">
        <f>IFERROR(__xludf.DUMMYFUNCTION("""COMPUTED_VALUE"""),5006.64)</f>
        <v>5006.64</v>
      </c>
      <c r="J1462" s="5">
        <f>IFERROR(__xludf.DUMMYFUNCTION("""COMPUTED_VALUE"""),7748.02)</f>
        <v>7748.02</v>
      </c>
      <c r="K1462" s="5">
        <f>IFERROR(__xludf.DUMMYFUNCTION("""COMPUTED_VALUE"""),5564.57)</f>
        <v>5564.57</v>
      </c>
      <c r="L1462" s="4">
        <f>IFERROR(__xludf.DUMMYFUNCTION("""COMPUTED_VALUE"""),5.0)</f>
        <v>5</v>
      </c>
      <c r="M1462" s="4">
        <f>IFERROR(__xludf.DUMMYFUNCTION("""COMPUTED_VALUE"""),87.0)</f>
        <v>87</v>
      </c>
      <c r="N1462" s="2" t="str">
        <f>IFERROR(__xludf.DUMMYFUNCTION("""COMPUTED_VALUE"""),"FALSO")</f>
        <v>FALSO</v>
      </c>
    </row>
    <row r="1463">
      <c r="A1463" s="2">
        <f>IFERROR(__xludf.DUMMYFUNCTION("""COMPUTED_VALUE"""),1462.0)</f>
        <v>1462</v>
      </c>
      <c r="B1463" s="2" t="str">
        <f>IFERROR(__xludf.DUMMYFUNCTION("""COMPUTED_VALUE"""),"Melitta Martinello")</f>
        <v>Melitta Martinello</v>
      </c>
      <c r="C1463" s="2" t="str">
        <f>IFERROR(__xludf.DUMMYFUNCTION("""COMPUTED_VALUE"""),"mmartinellocu@vistaprint.com")</f>
        <v>mmartinellocu@vistaprint.com</v>
      </c>
      <c r="D1463" s="4">
        <f>IFERROR(__xludf.DUMMYFUNCTION("""COMPUTED_VALUE"""),156.0)</f>
        <v>156</v>
      </c>
      <c r="E1463" s="4">
        <f>IFERROR(__xludf.DUMMYFUNCTION("""COMPUTED_VALUE"""),81.0)</f>
        <v>81</v>
      </c>
      <c r="F1463" s="4">
        <f>IFERROR(__xludf.DUMMYFUNCTION("""COMPUTED_VALUE"""),2.0)</f>
        <v>2</v>
      </c>
      <c r="G1463" s="4">
        <f>IFERROR(__xludf.DUMMYFUNCTION("""COMPUTED_VALUE"""),1168.0)</f>
        <v>1168</v>
      </c>
      <c r="H1463" s="5">
        <f>IFERROR(__xludf.DUMMYFUNCTION("""COMPUTED_VALUE"""),6262.81)</f>
        <v>6262.81</v>
      </c>
      <c r="I1463" s="5">
        <f>IFERROR(__xludf.DUMMYFUNCTION("""COMPUTED_VALUE"""),9466.4)</f>
        <v>9466.4</v>
      </c>
      <c r="J1463" s="5">
        <f>IFERROR(__xludf.DUMMYFUNCTION("""COMPUTED_VALUE"""),4927.63)</f>
        <v>4927.63</v>
      </c>
      <c r="K1463" s="5">
        <f>IFERROR(__xludf.DUMMYFUNCTION("""COMPUTED_VALUE"""),2109.71)</f>
        <v>2109.71</v>
      </c>
      <c r="L1463" s="4">
        <f>IFERROR(__xludf.DUMMYFUNCTION("""COMPUTED_VALUE"""),18.0)</f>
        <v>18</v>
      </c>
      <c r="M1463" s="4">
        <f>IFERROR(__xludf.DUMMYFUNCTION("""COMPUTED_VALUE"""),96.0)</f>
        <v>96</v>
      </c>
      <c r="N1463" s="2" t="str">
        <f>IFERROR(__xludf.DUMMYFUNCTION("""COMPUTED_VALUE"""),"FALSO")</f>
        <v>FALSO</v>
      </c>
    </row>
    <row r="1464">
      <c r="A1464" s="2">
        <f>IFERROR(__xludf.DUMMYFUNCTION("""COMPUTED_VALUE"""),1463.0)</f>
        <v>1463</v>
      </c>
      <c r="B1464" s="2" t="str">
        <f>IFERROR(__xludf.DUMMYFUNCTION("""COMPUTED_VALUE"""),"Christiane Chesworth")</f>
        <v>Christiane Chesworth</v>
      </c>
      <c r="C1464" s="2" t="str">
        <f>IFERROR(__xludf.DUMMYFUNCTION("""COMPUTED_VALUE"""),"cchesworthcv@kickstarter.com")</f>
        <v>cchesworthcv@kickstarter.com</v>
      </c>
      <c r="D1464" s="4">
        <f>IFERROR(__xludf.DUMMYFUNCTION("""COMPUTED_VALUE"""),73.0)</f>
        <v>73</v>
      </c>
      <c r="E1464" s="4">
        <f>IFERROR(__xludf.DUMMYFUNCTION("""COMPUTED_VALUE"""),81.0)</f>
        <v>81</v>
      </c>
      <c r="F1464" s="4">
        <f>IFERROR(__xludf.DUMMYFUNCTION("""COMPUTED_VALUE"""),2.0)</f>
        <v>2</v>
      </c>
      <c r="G1464" s="4">
        <f>IFERROR(__xludf.DUMMYFUNCTION("""COMPUTED_VALUE"""),270.0)</f>
        <v>270</v>
      </c>
      <c r="H1464" s="5">
        <f>IFERROR(__xludf.DUMMYFUNCTION("""COMPUTED_VALUE"""),1300.49)</f>
        <v>1300.49</v>
      </c>
      <c r="I1464" s="5">
        <f>IFERROR(__xludf.DUMMYFUNCTION("""COMPUTED_VALUE"""),1527.37)</f>
        <v>1527.37</v>
      </c>
      <c r="J1464" s="5">
        <f>IFERROR(__xludf.DUMMYFUNCTION("""COMPUTED_VALUE"""),4570.67)</f>
        <v>4570.67</v>
      </c>
      <c r="K1464" s="5">
        <f>IFERROR(__xludf.DUMMYFUNCTION("""COMPUTED_VALUE"""),4633.96)</f>
        <v>4633.96</v>
      </c>
      <c r="L1464" s="4">
        <f>IFERROR(__xludf.DUMMYFUNCTION("""COMPUTED_VALUE"""),16.0)</f>
        <v>16</v>
      </c>
      <c r="M1464" s="4">
        <f>IFERROR(__xludf.DUMMYFUNCTION("""COMPUTED_VALUE"""),28.0)</f>
        <v>28</v>
      </c>
      <c r="N1464" s="2" t="str">
        <f>IFERROR(__xludf.DUMMYFUNCTION("""COMPUTED_VALUE"""),"VERDADERO")</f>
        <v>VERDADERO</v>
      </c>
    </row>
    <row r="1465">
      <c r="A1465" s="2">
        <f>IFERROR(__xludf.DUMMYFUNCTION("""COMPUTED_VALUE"""),1464.0)</f>
        <v>1464</v>
      </c>
      <c r="B1465" s="2" t="str">
        <f>IFERROR(__xludf.DUMMYFUNCTION("""COMPUTED_VALUE"""),"Lynnelle Fairbrass")</f>
        <v>Lynnelle Fairbrass</v>
      </c>
      <c r="C1465" s="2" t="str">
        <f>IFERROR(__xludf.DUMMYFUNCTION("""COMPUTED_VALUE"""),"lfairbrasscw@aboutads.info")</f>
        <v>lfairbrasscw@aboutads.info</v>
      </c>
      <c r="D1465" s="4">
        <f>IFERROR(__xludf.DUMMYFUNCTION("""COMPUTED_VALUE"""),5.0)</f>
        <v>5</v>
      </c>
      <c r="E1465" s="4">
        <f>IFERROR(__xludf.DUMMYFUNCTION("""COMPUTED_VALUE"""),29.0)</f>
        <v>29</v>
      </c>
      <c r="F1465" s="4">
        <f>IFERROR(__xludf.DUMMYFUNCTION("""COMPUTED_VALUE"""),11.0)</f>
        <v>11</v>
      </c>
      <c r="G1465" s="4">
        <f>IFERROR(__xludf.DUMMYFUNCTION("""COMPUTED_VALUE"""),1270.0)</f>
        <v>1270</v>
      </c>
      <c r="H1465" s="5">
        <f>IFERROR(__xludf.DUMMYFUNCTION("""COMPUTED_VALUE"""),7315.44)</f>
        <v>7315.44</v>
      </c>
      <c r="I1465" s="5">
        <f>IFERROR(__xludf.DUMMYFUNCTION("""COMPUTED_VALUE"""),6055.86)</f>
        <v>6055.86</v>
      </c>
      <c r="J1465" s="5">
        <f>IFERROR(__xludf.DUMMYFUNCTION("""COMPUTED_VALUE"""),6603.45)</f>
        <v>6603.45</v>
      </c>
      <c r="K1465" s="5">
        <f>IFERROR(__xludf.DUMMYFUNCTION("""COMPUTED_VALUE"""),2711.09)</f>
        <v>2711.09</v>
      </c>
      <c r="L1465" s="4">
        <f>IFERROR(__xludf.DUMMYFUNCTION("""COMPUTED_VALUE"""),9.0)</f>
        <v>9</v>
      </c>
      <c r="M1465" s="4">
        <f>IFERROR(__xludf.DUMMYFUNCTION("""COMPUTED_VALUE"""),69.0)</f>
        <v>69</v>
      </c>
      <c r="N1465" s="2" t="str">
        <f>IFERROR(__xludf.DUMMYFUNCTION("""COMPUTED_VALUE"""),"VERDADERO")</f>
        <v>VERDADERO</v>
      </c>
    </row>
    <row r="1466">
      <c r="A1466" s="2">
        <f>IFERROR(__xludf.DUMMYFUNCTION("""COMPUTED_VALUE"""),1465.0)</f>
        <v>1465</v>
      </c>
      <c r="B1466" s="2" t="str">
        <f>IFERROR(__xludf.DUMMYFUNCTION("""COMPUTED_VALUE"""),"Shaun Nabarro")</f>
        <v>Shaun Nabarro</v>
      </c>
      <c r="C1466" s="2" t="str">
        <f>IFERROR(__xludf.DUMMYFUNCTION("""COMPUTED_VALUE"""),"snabarrocx@google.com")</f>
        <v>snabarrocx@google.com</v>
      </c>
      <c r="D1466" s="4">
        <f>IFERROR(__xludf.DUMMYFUNCTION("""COMPUTED_VALUE"""),29.0)</f>
        <v>29</v>
      </c>
      <c r="E1466" s="4">
        <f>IFERROR(__xludf.DUMMYFUNCTION("""COMPUTED_VALUE"""),39.0)</f>
        <v>39</v>
      </c>
      <c r="F1466" s="4">
        <f>IFERROR(__xludf.DUMMYFUNCTION("""COMPUTED_VALUE"""),11.0)</f>
        <v>11</v>
      </c>
      <c r="G1466" s="4">
        <f>IFERROR(__xludf.DUMMYFUNCTION("""COMPUTED_VALUE"""),1451.0)</f>
        <v>1451</v>
      </c>
      <c r="H1466" s="5">
        <f>IFERROR(__xludf.DUMMYFUNCTION("""COMPUTED_VALUE"""),8405.97)</f>
        <v>8405.97</v>
      </c>
      <c r="I1466" s="5">
        <f>IFERROR(__xludf.DUMMYFUNCTION("""COMPUTED_VALUE"""),3433.24)</f>
        <v>3433.24</v>
      </c>
      <c r="J1466" s="5">
        <f>IFERROR(__xludf.DUMMYFUNCTION("""COMPUTED_VALUE"""),5750.19)</f>
        <v>5750.19</v>
      </c>
      <c r="K1466" s="5">
        <f>IFERROR(__xludf.DUMMYFUNCTION("""COMPUTED_VALUE"""),2088.62)</f>
        <v>2088.62</v>
      </c>
      <c r="L1466" s="4">
        <f>IFERROR(__xludf.DUMMYFUNCTION("""COMPUTED_VALUE"""),5.0)</f>
        <v>5</v>
      </c>
      <c r="M1466" s="4">
        <f>IFERROR(__xludf.DUMMYFUNCTION("""COMPUTED_VALUE"""),90.0)</f>
        <v>90</v>
      </c>
      <c r="N1466" s="2" t="str">
        <f>IFERROR(__xludf.DUMMYFUNCTION("""COMPUTED_VALUE"""),"VERDADERO")</f>
        <v>VERDADERO</v>
      </c>
    </row>
    <row r="1467">
      <c r="A1467" s="2">
        <f>IFERROR(__xludf.DUMMYFUNCTION("""COMPUTED_VALUE"""),1466.0)</f>
        <v>1466</v>
      </c>
      <c r="B1467" s="2" t="str">
        <f>IFERROR(__xludf.DUMMYFUNCTION("""COMPUTED_VALUE"""),"Ida Eckart")</f>
        <v>Ida Eckart</v>
      </c>
      <c r="C1467" s="2" t="str">
        <f>IFERROR(__xludf.DUMMYFUNCTION("""COMPUTED_VALUE"""),"ieckartcy@state.gov")</f>
        <v>ieckartcy@state.gov</v>
      </c>
      <c r="D1467" s="4">
        <f>IFERROR(__xludf.DUMMYFUNCTION("""COMPUTED_VALUE"""),29.0)</f>
        <v>29</v>
      </c>
      <c r="E1467" s="4">
        <f>IFERROR(__xludf.DUMMYFUNCTION("""COMPUTED_VALUE"""),57.0)</f>
        <v>57</v>
      </c>
      <c r="F1467" s="4">
        <f>IFERROR(__xludf.DUMMYFUNCTION("""COMPUTED_VALUE"""),5.0)</f>
        <v>5</v>
      </c>
      <c r="G1467" s="4">
        <f>IFERROR(__xludf.DUMMYFUNCTION("""COMPUTED_VALUE"""),497.0)</f>
        <v>497</v>
      </c>
      <c r="H1467" s="5">
        <f>IFERROR(__xludf.DUMMYFUNCTION("""COMPUTED_VALUE"""),5957.79)</f>
        <v>5957.79</v>
      </c>
      <c r="I1467" s="5">
        <f>IFERROR(__xludf.DUMMYFUNCTION("""COMPUTED_VALUE"""),7541.08)</f>
        <v>7541.08</v>
      </c>
      <c r="J1467" s="5">
        <f>IFERROR(__xludf.DUMMYFUNCTION("""COMPUTED_VALUE"""),3363.22)</f>
        <v>3363.22</v>
      </c>
      <c r="K1467" s="5">
        <f>IFERROR(__xludf.DUMMYFUNCTION("""COMPUTED_VALUE"""),6109.41)</f>
        <v>6109.41</v>
      </c>
      <c r="L1467" s="4">
        <f>IFERROR(__xludf.DUMMYFUNCTION("""COMPUTED_VALUE"""),7.0)</f>
        <v>7</v>
      </c>
      <c r="M1467" s="4">
        <f>IFERROR(__xludf.DUMMYFUNCTION("""COMPUTED_VALUE"""),94.0)</f>
        <v>94</v>
      </c>
      <c r="N1467" s="2" t="str">
        <f>IFERROR(__xludf.DUMMYFUNCTION("""COMPUTED_VALUE"""),"VERDADERO")</f>
        <v>VERDADERO</v>
      </c>
    </row>
    <row r="1468">
      <c r="A1468" s="2">
        <f>IFERROR(__xludf.DUMMYFUNCTION("""COMPUTED_VALUE"""),1467.0)</f>
        <v>1467</v>
      </c>
      <c r="B1468" s="2" t="str">
        <f>IFERROR(__xludf.DUMMYFUNCTION("""COMPUTED_VALUE"""),"Malvin Tart")</f>
        <v>Malvin Tart</v>
      </c>
      <c r="C1468" s="2" t="str">
        <f>IFERROR(__xludf.DUMMYFUNCTION("""COMPUTED_VALUE"""),"mtartcz@webeden.co.uk")</f>
        <v>mtartcz@webeden.co.uk</v>
      </c>
      <c r="D1468" s="4">
        <f>IFERROR(__xludf.DUMMYFUNCTION("""COMPUTED_VALUE"""),29.0)</f>
        <v>29</v>
      </c>
      <c r="E1468" s="4">
        <f>IFERROR(__xludf.DUMMYFUNCTION("""COMPUTED_VALUE"""),40.0)</f>
        <v>40</v>
      </c>
      <c r="F1468" s="4">
        <f>IFERROR(__xludf.DUMMYFUNCTION("""COMPUTED_VALUE"""),1.0)</f>
        <v>1</v>
      </c>
      <c r="G1468" s="4">
        <f>IFERROR(__xludf.DUMMYFUNCTION("""COMPUTED_VALUE"""),198.0)</f>
        <v>198</v>
      </c>
      <c r="H1468" s="5">
        <f>IFERROR(__xludf.DUMMYFUNCTION("""COMPUTED_VALUE"""),4473.63)</f>
        <v>4473.63</v>
      </c>
      <c r="I1468" s="5">
        <f>IFERROR(__xludf.DUMMYFUNCTION("""COMPUTED_VALUE"""),3376.15)</f>
        <v>3376.15</v>
      </c>
      <c r="J1468" s="5">
        <f>IFERROR(__xludf.DUMMYFUNCTION("""COMPUTED_VALUE"""),6148.63)</f>
        <v>6148.63</v>
      </c>
      <c r="K1468" s="5">
        <f>IFERROR(__xludf.DUMMYFUNCTION("""COMPUTED_VALUE"""),8192.58)</f>
        <v>8192.58</v>
      </c>
      <c r="L1468" s="4">
        <f>IFERROR(__xludf.DUMMYFUNCTION("""COMPUTED_VALUE"""),7.0)</f>
        <v>7</v>
      </c>
      <c r="M1468" s="4">
        <f>IFERROR(__xludf.DUMMYFUNCTION("""COMPUTED_VALUE"""),1.0)</f>
        <v>1</v>
      </c>
      <c r="N1468" s="2" t="str">
        <f>IFERROR(__xludf.DUMMYFUNCTION("""COMPUTED_VALUE"""),"FALSO")</f>
        <v>FALSO</v>
      </c>
    </row>
    <row r="1469">
      <c r="A1469" s="2">
        <f>IFERROR(__xludf.DUMMYFUNCTION("""COMPUTED_VALUE"""),1468.0)</f>
        <v>1468</v>
      </c>
      <c r="B1469" s="2" t="str">
        <f>IFERROR(__xludf.DUMMYFUNCTION("""COMPUTED_VALUE"""),"Allegra Ruit")</f>
        <v>Allegra Ruit</v>
      </c>
      <c r="C1469" s="2" t="str">
        <f>IFERROR(__xludf.DUMMYFUNCTION("""COMPUTED_VALUE"""),"aruitd0@netscape.com")</f>
        <v>aruitd0@netscape.com</v>
      </c>
      <c r="D1469" s="4">
        <f>IFERROR(__xludf.DUMMYFUNCTION("""COMPUTED_VALUE"""),29.0)</f>
        <v>29</v>
      </c>
      <c r="E1469" s="4">
        <f>IFERROR(__xludf.DUMMYFUNCTION("""COMPUTED_VALUE"""),16.0)</f>
        <v>16</v>
      </c>
      <c r="F1469" s="4">
        <f>IFERROR(__xludf.DUMMYFUNCTION("""COMPUTED_VALUE"""),8.0)</f>
        <v>8</v>
      </c>
      <c r="G1469" s="4">
        <f>IFERROR(__xludf.DUMMYFUNCTION("""COMPUTED_VALUE"""),1234.0)</f>
        <v>1234</v>
      </c>
      <c r="H1469" s="5">
        <f>IFERROR(__xludf.DUMMYFUNCTION("""COMPUTED_VALUE"""),9446.7)</f>
        <v>9446.7</v>
      </c>
      <c r="I1469" s="5">
        <f>IFERROR(__xludf.DUMMYFUNCTION("""COMPUTED_VALUE"""),4832.24)</f>
        <v>4832.24</v>
      </c>
      <c r="J1469" s="5">
        <f>IFERROR(__xludf.DUMMYFUNCTION("""COMPUTED_VALUE"""),6329.78)</f>
        <v>6329.78</v>
      </c>
      <c r="K1469" s="5">
        <f>IFERROR(__xludf.DUMMYFUNCTION("""COMPUTED_VALUE"""),5360.43)</f>
        <v>5360.43</v>
      </c>
      <c r="L1469" s="4">
        <f>IFERROR(__xludf.DUMMYFUNCTION("""COMPUTED_VALUE"""),14.0)</f>
        <v>14</v>
      </c>
      <c r="M1469" s="4">
        <f>IFERROR(__xludf.DUMMYFUNCTION("""COMPUTED_VALUE"""),27.0)</f>
        <v>27</v>
      </c>
      <c r="N1469" s="2" t="str">
        <f>IFERROR(__xludf.DUMMYFUNCTION("""COMPUTED_VALUE"""),"FALSO")</f>
        <v>FALSO</v>
      </c>
    </row>
    <row r="1470">
      <c r="A1470" s="2">
        <f>IFERROR(__xludf.DUMMYFUNCTION("""COMPUTED_VALUE"""),1469.0)</f>
        <v>1469</v>
      </c>
      <c r="B1470" s="2" t="str">
        <f>IFERROR(__xludf.DUMMYFUNCTION("""COMPUTED_VALUE"""),"Hughie Goscar")</f>
        <v>Hughie Goscar</v>
      </c>
      <c r="C1470" s="2" t="str">
        <f>IFERROR(__xludf.DUMMYFUNCTION("""COMPUTED_VALUE"""),"hgoscard1@google.pl")</f>
        <v>hgoscard1@google.pl</v>
      </c>
      <c r="D1470" s="4">
        <f>IFERROR(__xludf.DUMMYFUNCTION("""COMPUTED_VALUE"""),137.0)</f>
        <v>137</v>
      </c>
      <c r="E1470" s="4">
        <f>IFERROR(__xludf.DUMMYFUNCTION("""COMPUTED_VALUE"""),36.0)</f>
        <v>36</v>
      </c>
      <c r="F1470" s="4">
        <f>IFERROR(__xludf.DUMMYFUNCTION("""COMPUTED_VALUE"""),5.0)</f>
        <v>5</v>
      </c>
      <c r="G1470" s="4">
        <f>IFERROR(__xludf.DUMMYFUNCTION("""COMPUTED_VALUE"""),250.0)</f>
        <v>250</v>
      </c>
      <c r="H1470" s="5">
        <f>IFERROR(__xludf.DUMMYFUNCTION("""COMPUTED_VALUE"""),1288.75)</f>
        <v>1288.75</v>
      </c>
      <c r="I1470" s="5">
        <f>IFERROR(__xludf.DUMMYFUNCTION("""COMPUTED_VALUE"""),9698.0)</f>
        <v>9698</v>
      </c>
      <c r="J1470" s="5">
        <f>IFERROR(__xludf.DUMMYFUNCTION("""COMPUTED_VALUE"""),563.6)</f>
        <v>563.6</v>
      </c>
      <c r="K1470" s="5">
        <f>IFERROR(__xludf.DUMMYFUNCTION("""COMPUTED_VALUE"""),504.14)</f>
        <v>504.14</v>
      </c>
      <c r="L1470" s="4">
        <f>IFERROR(__xludf.DUMMYFUNCTION("""COMPUTED_VALUE"""),13.0)</f>
        <v>13</v>
      </c>
      <c r="M1470" s="4">
        <f>IFERROR(__xludf.DUMMYFUNCTION("""COMPUTED_VALUE"""),53.0)</f>
        <v>53</v>
      </c>
      <c r="N1470" s="2" t="str">
        <f>IFERROR(__xludf.DUMMYFUNCTION("""COMPUTED_VALUE"""),"FALSO")</f>
        <v>FALSO</v>
      </c>
    </row>
    <row r="1471">
      <c r="A1471" s="2">
        <f>IFERROR(__xludf.DUMMYFUNCTION("""COMPUTED_VALUE"""),1470.0)</f>
        <v>1470</v>
      </c>
      <c r="B1471" s="2" t="str">
        <f>IFERROR(__xludf.DUMMYFUNCTION("""COMPUTED_VALUE"""),"Korney Shawley")</f>
        <v>Korney Shawley</v>
      </c>
      <c r="C1471" s="2" t="str">
        <f>IFERROR(__xludf.DUMMYFUNCTION("""COMPUTED_VALUE"""),"kshawleyd2@rambler.ru")</f>
        <v>kshawleyd2@rambler.ru</v>
      </c>
      <c r="D1471" s="4">
        <f>IFERROR(__xludf.DUMMYFUNCTION("""COMPUTED_VALUE"""),17.0)</f>
        <v>17</v>
      </c>
      <c r="E1471" s="4">
        <f>IFERROR(__xludf.DUMMYFUNCTION("""COMPUTED_VALUE"""),92.0)</f>
        <v>92</v>
      </c>
      <c r="F1471" s="4">
        <f>IFERROR(__xludf.DUMMYFUNCTION("""COMPUTED_VALUE"""),5.0)</f>
        <v>5</v>
      </c>
      <c r="G1471" s="4">
        <f>IFERROR(__xludf.DUMMYFUNCTION("""COMPUTED_VALUE"""),80.0)</f>
        <v>80</v>
      </c>
      <c r="H1471" s="5">
        <f>IFERROR(__xludf.DUMMYFUNCTION("""COMPUTED_VALUE"""),2640.79)</f>
        <v>2640.79</v>
      </c>
      <c r="I1471" s="5">
        <f>IFERROR(__xludf.DUMMYFUNCTION("""COMPUTED_VALUE"""),8058.25)</f>
        <v>8058.25</v>
      </c>
      <c r="J1471" s="5">
        <f>IFERROR(__xludf.DUMMYFUNCTION("""COMPUTED_VALUE"""),1386.57)</f>
        <v>1386.57</v>
      </c>
      <c r="K1471" s="5">
        <f>IFERROR(__xludf.DUMMYFUNCTION("""COMPUTED_VALUE"""),6224.14)</f>
        <v>6224.14</v>
      </c>
      <c r="L1471" s="4">
        <f>IFERROR(__xludf.DUMMYFUNCTION("""COMPUTED_VALUE"""),10.0)</f>
        <v>10</v>
      </c>
      <c r="M1471" s="4">
        <f>IFERROR(__xludf.DUMMYFUNCTION("""COMPUTED_VALUE"""),29.0)</f>
        <v>29</v>
      </c>
      <c r="N1471" s="2" t="str">
        <f>IFERROR(__xludf.DUMMYFUNCTION("""COMPUTED_VALUE"""),"FALSO")</f>
        <v>FALSO</v>
      </c>
    </row>
    <row r="1472">
      <c r="A1472" s="2">
        <f>IFERROR(__xludf.DUMMYFUNCTION("""COMPUTED_VALUE"""),1471.0)</f>
        <v>1471</v>
      </c>
      <c r="B1472" s="2" t="str">
        <f>IFERROR(__xludf.DUMMYFUNCTION("""COMPUTED_VALUE"""),"Annora Worsell")</f>
        <v>Annora Worsell</v>
      </c>
      <c r="C1472" s="2" t="str">
        <f>IFERROR(__xludf.DUMMYFUNCTION("""COMPUTED_VALUE"""),"aworselld3@ow.ly")</f>
        <v>aworselld3@ow.ly</v>
      </c>
      <c r="D1472" s="4">
        <f>IFERROR(__xludf.DUMMYFUNCTION("""COMPUTED_VALUE"""),65.0)</f>
        <v>65</v>
      </c>
      <c r="E1472" s="4">
        <f>IFERROR(__xludf.DUMMYFUNCTION("""COMPUTED_VALUE"""),66.0)</f>
        <v>66</v>
      </c>
      <c r="F1472" s="4">
        <f>IFERROR(__xludf.DUMMYFUNCTION("""COMPUTED_VALUE"""),6.0)</f>
        <v>6</v>
      </c>
      <c r="G1472" s="4">
        <f>IFERROR(__xludf.DUMMYFUNCTION("""COMPUTED_VALUE"""),107.0)</f>
        <v>107</v>
      </c>
      <c r="H1472" s="5">
        <f>IFERROR(__xludf.DUMMYFUNCTION("""COMPUTED_VALUE"""),1724.64)</f>
        <v>1724.64</v>
      </c>
      <c r="I1472" s="5">
        <f>IFERROR(__xludf.DUMMYFUNCTION("""COMPUTED_VALUE"""),3909.56)</f>
        <v>3909.56</v>
      </c>
      <c r="J1472" s="5">
        <f>IFERROR(__xludf.DUMMYFUNCTION("""COMPUTED_VALUE"""),6988.89)</f>
        <v>6988.89</v>
      </c>
      <c r="K1472" s="5">
        <f>IFERROR(__xludf.DUMMYFUNCTION("""COMPUTED_VALUE"""),4762.66)</f>
        <v>4762.66</v>
      </c>
      <c r="L1472" s="4">
        <f>IFERROR(__xludf.DUMMYFUNCTION("""COMPUTED_VALUE"""),7.0)</f>
        <v>7</v>
      </c>
      <c r="M1472" s="4">
        <f>IFERROR(__xludf.DUMMYFUNCTION("""COMPUTED_VALUE"""),27.0)</f>
        <v>27</v>
      </c>
      <c r="N1472" s="2" t="str">
        <f>IFERROR(__xludf.DUMMYFUNCTION("""COMPUTED_VALUE"""),"VERDADERO")</f>
        <v>VERDADERO</v>
      </c>
    </row>
    <row r="1473">
      <c r="A1473" s="2">
        <f>IFERROR(__xludf.DUMMYFUNCTION("""COMPUTED_VALUE"""),1472.0)</f>
        <v>1472</v>
      </c>
      <c r="B1473" s="2" t="str">
        <f>IFERROR(__xludf.DUMMYFUNCTION("""COMPUTED_VALUE"""),"Hogan Betteney")</f>
        <v>Hogan Betteney</v>
      </c>
      <c r="C1473" s="2" t="str">
        <f>IFERROR(__xludf.DUMMYFUNCTION("""COMPUTED_VALUE"""),"hbetteneyd4@soup.io")</f>
        <v>hbetteneyd4@soup.io</v>
      </c>
      <c r="D1473" s="4">
        <f>IFERROR(__xludf.DUMMYFUNCTION("""COMPUTED_VALUE"""),29.0)</f>
        <v>29</v>
      </c>
      <c r="E1473" s="4">
        <f>IFERROR(__xludf.DUMMYFUNCTION("""COMPUTED_VALUE"""),66.0)</f>
        <v>66</v>
      </c>
      <c r="F1473" s="4">
        <f>IFERROR(__xludf.DUMMYFUNCTION("""COMPUTED_VALUE"""),6.0)</f>
        <v>6</v>
      </c>
      <c r="G1473" s="4">
        <f>IFERROR(__xludf.DUMMYFUNCTION("""COMPUTED_VALUE"""),439.0)</f>
        <v>439</v>
      </c>
      <c r="H1473" s="5">
        <f>IFERROR(__xludf.DUMMYFUNCTION("""COMPUTED_VALUE"""),5508.59)</f>
        <v>5508.59</v>
      </c>
      <c r="I1473" s="5">
        <f>IFERROR(__xludf.DUMMYFUNCTION("""COMPUTED_VALUE"""),2635.07)</f>
        <v>2635.07</v>
      </c>
      <c r="J1473" s="5">
        <f>IFERROR(__xludf.DUMMYFUNCTION("""COMPUTED_VALUE"""),3725.34)</f>
        <v>3725.34</v>
      </c>
      <c r="K1473" s="5">
        <f>IFERROR(__xludf.DUMMYFUNCTION("""COMPUTED_VALUE"""),5809.72)</f>
        <v>5809.72</v>
      </c>
      <c r="L1473" s="4">
        <f>IFERROR(__xludf.DUMMYFUNCTION("""COMPUTED_VALUE"""),1.0)</f>
        <v>1</v>
      </c>
      <c r="M1473" s="4">
        <f>IFERROR(__xludf.DUMMYFUNCTION("""COMPUTED_VALUE"""),59.0)</f>
        <v>59</v>
      </c>
      <c r="N1473" s="2" t="str">
        <f>IFERROR(__xludf.DUMMYFUNCTION("""COMPUTED_VALUE"""),"FALSO")</f>
        <v>FALSO</v>
      </c>
    </row>
    <row r="1474">
      <c r="A1474" s="2">
        <f>IFERROR(__xludf.DUMMYFUNCTION("""COMPUTED_VALUE"""),1473.0)</f>
        <v>1473</v>
      </c>
      <c r="B1474" s="2" t="str">
        <f>IFERROR(__xludf.DUMMYFUNCTION("""COMPUTED_VALUE"""),"Agathe Fireman")</f>
        <v>Agathe Fireman</v>
      </c>
      <c r="C1474" s="2" t="str">
        <f>IFERROR(__xludf.DUMMYFUNCTION("""COMPUTED_VALUE"""),"afiremand5@yolasite.com")</f>
        <v>afiremand5@yolasite.com</v>
      </c>
      <c r="D1474" s="4">
        <f>IFERROR(__xludf.DUMMYFUNCTION("""COMPUTED_VALUE"""),29.0)</f>
        <v>29</v>
      </c>
      <c r="E1474" s="4">
        <f>IFERROR(__xludf.DUMMYFUNCTION("""COMPUTED_VALUE"""),66.0)</f>
        <v>66</v>
      </c>
      <c r="F1474" s="4">
        <f>IFERROR(__xludf.DUMMYFUNCTION("""COMPUTED_VALUE"""),6.0)</f>
        <v>6</v>
      </c>
      <c r="G1474" s="4">
        <f>IFERROR(__xludf.DUMMYFUNCTION("""COMPUTED_VALUE"""),1210.0)</f>
        <v>1210</v>
      </c>
      <c r="H1474" s="5">
        <f>IFERROR(__xludf.DUMMYFUNCTION("""COMPUTED_VALUE"""),3994.65)</f>
        <v>3994.65</v>
      </c>
      <c r="I1474" s="5">
        <f>IFERROR(__xludf.DUMMYFUNCTION("""COMPUTED_VALUE"""),9089.62)</f>
        <v>9089.62</v>
      </c>
      <c r="J1474" s="5">
        <f>IFERROR(__xludf.DUMMYFUNCTION("""COMPUTED_VALUE"""),6438.83)</f>
        <v>6438.83</v>
      </c>
      <c r="K1474" s="5">
        <f>IFERROR(__xludf.DUMMYFUNCTION("""COMPUTED_VALUE"""),6086.09)</f>
        <v>6086.09</v>
      </c>
      <c r="L1474" s="4">
        <f>IFERROR(__xludf.DUMMYFUNCTION("""COMPUTED_VALUE"""),11.0)</f>
        <v>11</v>
      </c>
      <c r="M1474" s="4">
        <f>IFERROR(__xludf.DUMMYFUNCTION("""COMPUTED_VALUE"""),61.0)</f>
        <v>61</v>
      </c>
      <c r="N1474" s="2" t="str">
        <f>IFERROR(__xludf.DUMMYFUNCTION("""COMPUTED_VALUE"""),"VERDADERO")</f>
        <v>VERDADERO</v>
      </c>
    </row>
    <row r="1475">
      <c r="A1475" s="2">
        <f>IFERROR(__xludf.DUMMYFUNCTION("""COMPUTED_VALUE"""),1474.0)</f>
        <v>1474</v>
      </c>
      <c r="B1475" s="2" t="str">
        <f>IFERROR(__xludf.DUMMYFUNCTION("""COMPUTED_VALUE"""),"Misty Camili")</f>
        <v>Misty Camili</v>
      </c>
      <c r="C1475" s="2" t="str">
        <f>IFERROR(__xludf.DUMMYFUNCTION("""COMPUTED_VALUE"""),"mcamilid6@newsvine.com")</f>
        <v>mcamilid6@newsvine.com</v>
      </c>
      <c r="D1475" s="4">
        <f>IFERROR(__xludf.DUMMYFUNCTION("""COMPUTED_VALUE"""),120.0)</f>
        <v>120</v>
      </c>
      <c r="E1475" s="4">
        <f>IFERROR(__xludf.DUMMYFUNCTION("""COMPUTED_VALUE"""),81.0)</f>
        <v>81</v>
      </c>
      <c r="F1475" s="4">
        <f>IFERROR(__xludf.DUMMYFUNCTION("""COMPUTED_VALUE"""),2.0)</f>
        <v>2</v>
      </c>
      <c r="G1475" s="4">
        <f>IFERROR(__xludf.DUMMYFUNCTION("""COMPUTED_VALUE"""),1201.0)</f>
        <v>1201</v>
      </c>
      <c r="H1475" s="5">
        <f>IFERROR(__xludf.DUMMYFUNCTION("""COMPUTED_VALUE"""),66.97)</f>
        <v>66.97</v>
      </c>
      <c r="I1475" s="5">
        <f>IFERROR(__xludf.DUMMYFUNCTION("""COMPUTED_VALUE"""),4421.24)</f>
        <v>4421.24</v>
      </c>
      <c r="J1475" s="5">
        <f>IFERROR(__xludf.DUMMYFUNCTION("""COMPUTED_VALUE"""),8352.19)</f>
        <v>8352.19</v>
      </c>
      <c r="K1475" s="5">
        <f>IFERROR(__xludf.DUMMYFUNCTION("""COMPUTED_VALUE"""),1326.14)</f>
        <v>1326.14</v>
      </c>
      <c r="L1475" s="4">
        <f>IFERROR(__xludf.DUMMYFUNCTION("""COMPUTED_VALUE"""),18.0)</f>
        <v>18</v>
      </c>
      <c r="M1475" s="4">
        <f>IFERROR(__xludf.DUMMYFUNCTION("""COMPUTED_VALUE"""),50.0)</f>
        <v>50</v>
      </c>
      <c r="N1475" s="2" t="str">
        <f>IFERROR(__xludf.DUMMYFUNCTION("""COMPUTED_VALUE"""),"VERDADERO")</f>
        <v>VERDADERO</v>
      </c>
    </row>
    <row r="1476">
      <c r="A1476" s="2">
        <f>IFERROR(__xludf.DUMMYFUNCTION("""COMPUTED_VALUE"""),1475.0)</f>
        <v>1475</v>
      </c>
      <c r="B1476" s="2" t="str">
        <f>IFERROR(__xludf.DUMMYFUNCTION("""COMPUTED_VALUE"""),"Ynez Hedworth")</f>
        <v>Ynez Hedworth</v>
      </c>
      <c r="C1476" s="2" t="str">
        <f>IFERROR(__xludf.DUMMYFUNCTION("""COMPUTED_VALUE"""),"yhedworthd7@noaa.gov")</f>
        <v>yhedworthd7@noaa.gov</v>
      </c>
      <c r="D1476" s="4">
        <f>IFERROR(__xludf.DUMMYFUNCTION("""COMPUTED_VALUE"""),29.0)</f>
        <v>29</v>
      </c>
      <c r="E1476" s="4">
        <f>IFERROR(__xludf.DUMMYFUNCTION("""COMPUTED_VALUE"""),39.0)</f>
        <v>39</v>
      </c>
      <c r="F1476" s="4">
        <f>IFERROR(__xludf.DUMMYFUNCTION("""COMPUTED_VALUE"""),11.0)</f>
        <v>11</v>
      </c>
      <c r="G1476" s="4">
        <f>IFERROR(__xludf.DUMMYFUNCTION("""COMPUTED_VALUE"""),1066.0)</f>
        <v>1066</v>
      </c>
      <c r="H1476" s="5">
        <f>IFERROR(__xludf.DUMMYFUNCTION("""COMPUTED_VALUE"""),5640.35)</f>
        <v>5640.35</v>
      </c>
      <c r="I1476" s="5">
        <f>IFERROR(__xludf.DUMMYFUNCTION("""COMPUTED_VALUE"""),8403.45)</f>
        <v>8403.45</v>
      </c>
      <c r="J1476" s="5">
        <f>IFERROR(__xludf.DUMMYFUNCTION("""COMPUTED_VALUE"""),5378.62)</f>
        <v>5378.62</v>
      </c>
      <c r="K1476" s="5">
        <f>IFERROR(__xludf.DUMMYFUNCTION("""COMPUTED_VALUE"""),9403.65)</f>
        <v>9403.65</v>
      </c>
      <c r="L1476" s="4">
        <f>IFERROR(__xludf.DUMMYFUNCTION("""COMPUTED_VALUE"""),8.0)</f>
        <v>8</v>
      </c>
      <c r="M1476" s="4">
        <f>IFERROR(__xludf.DUMMYFUNCTION("""COMPUTED_VALUE"""),67.0)</f>
        <v>67</v>
      </c>
      <c r="N1476" s="2" t="str">
        <f>IFERROR(__xludf.DUMMYFUNCTION("""COMPUTED_VALUE"""),"VERDADERO")</f>
        <v>VERDADERO</v>
      </c>
    </row>
    <row r="1477">
      <c r="A1477" s="2">
        <f>IFERROR(__xludf.DUMMYFUNCTION("""COMPUTED_VALUE"""),1476.0)</f>
        <v>1476</v>
      </c>
      <c r="B1477" s="2" t="str">
        <f>IFERROR(__xludf.DUMMYFUNCTION("""COMPUTED_VALUE"""),"Halley Olliar")</f>
        <v>Halley Olliar</v>
      </c>
      <c r="C1477" s="2" t="str">
        <f>IFERROR(__xludf.DUMMYFUNCTION("""COMPUTED_VALUE"""),"holliard8@behance.net")</f>
        <v>holliard8@behance.net</v>
      </c>
      <c r="D1477" s="4">
        <f>IFERROR(__xludf.DUMMYFUNCTION("""COMPUTED_VALUE"""),65.0)</f>
        <v>65</v>
      </c>
      <c r="E1477" s="4">
        <f>IFERROR(__xludf.DUMMYFUNCTION("""COMPUTED_VALUE"""),100.0)</f>
        <v>100</v>
      </c>
      <c r="F1477" s="4">
        <f>IFERROR(__xludf.DUMMYFUNCTION("""COMPUTED_VALUE"""),9.0)</f>
        <v>9</v>
      </c>
      <c r="G1477" s="4">
        <f>IFERROR(__xludf.DUMMYFUNCTION("""COMPUTED_VALUE"""),1160.0)</f>
        <v>1160</v>
      </c>
      <c r="H1477" s="5">
        <f>IFERROR(__xludf.DUMMYFUNCTION("""COMPUTED_VALUE"""),2313.79)</f>
        <v>2313.79</v>
      </c>
      <c r="I1477" s="5">
        <f>IFERROR(__xludf.DUMMYFUNCTION("""COMPUTED_VALUE"""),3208.05)</f>
        <v>3208.05</v>
      </c>
      <c r="J1477" s="5">
        <f>IFERROR(__xludf.DUMMYFUNCTION("""COMPUTED_VALUE"""),1889.47)</f>
        <v>1889.47</v>
      </c>
      <c r="K1477" s="5">
        <f>IFERROR(__xludf.DUMMYFUNCTION("""COMPUTED_VALUE"""),3011.29)</f>
        <v>3011.29</v>
      </c>
      <c r="L1477" s="4">
        <f>IFERROR(__xludf.DUMMYFUNCTION("""COMPUTED_VALUE"""),10.0)</f>
        <v>10</v>
      </c>
      <c r="M1477" s="4">
        <f>IFERROR(__xludf.DUMMYFUNCTION("""COMPUTED_VALUE"""),55.0)</f>
        <v>55</v>
      </c>
      <c r="N1477" s="2" t="str">
        <f>IFERROR(__xludf.DUMMYFUNCTION("""COMPUTED_VALUE"""),"FALSO")</f>
        <v>FALSO</v>
      </c>
    </row>
    <row r="1478">
      <c r="A1478" s="2">
        <f>IFERROR(__xludf.DUMMYFUNCTION("""COMPUTED_VALUE"""),1477.0)</f>
        <v>1477</v>
      </c>
      <c r="B1478" s="2" t="str">
        <f>IFERROR(__xludf.DUMMYFUNCTION("""COMPUTED_VALUE"""),"Gisele Ewbach")</f>
        <v>Gisele Ewbach</v>
      </c>
      <c r="C1478" s="2" t="str">
        <f>IFERROR(__xludf.DUMMYFUNCTION("""COMPUTED_VALUE"""),"gewbachd9@newsvine.com")</f>
        <v>gewbachd9@newsvine.com</v>
      </c>
      <c r="D1478" s="4">
        <f>IFERROR(__xludf.DUMMYFUNCTION("""COMPUTED_VALUE"""),137.0)</f>
        <v>137</v>
      </c>
      <c r="E1478" s="4">
        <f>IFERROR(__xludf.DUMMYFUNCTION("""COMPUTED_VALUE"""),64.0)</f>
        <v>64</v>
      </c>
      <c r="F1478" s="4">
        <f>IFERROR(__xludf.DUMMYFUNCTION("""COMPUTED_VALUE"""),4.0)</f>
        <v>4</v>
      </c>
      <c r="G1478" s="4">
        <f>IFERROR(__xludf.DUMMYFUNCTION("""COMPUTED_VALUE"""),1288.0)</f>
        <v>1288</v>
      </c>
      <c r="H1478" s="5">
        <f>IFERROR(__xludf.DUMMYFUNCTION("""COMPUTED_VALUE"""),145.51)</f>
        <v>145.51</v>
      </c>
      <c r="I1478" s="5">
        <f>IFERROR(__xludf.DUMMYFUNCTION("""COMPUTED_VALUE"""),8021.07)</f>
        <v>8021.07</v>
      </c>
      <c r="J1478" s="5">
        <f>IFERROR(__xludf.DUMMYFUNCTION("""COMPUTED_VALUE"""),4176.14)</f>
        <v>4176.14</v>
      </c>
      <c r="K1478" s="5">
        <f>IFERROR(__xludf.DUMMYFUNCTION("""COMPUTED_VALUE"""),7712.33)</f>
        <v>7712.33</v>
      </c>
      <c r="L1478" s="4">
        <f>IFERROR(__xludf.DUMMYFUNCTION("""COMPUTED_VALUE"""),12.0)</f>
        <v>12</v>
      </c>
      <c r="M1478" s="4">
        <f>IFERROR(__xludf.DUMMYFUNCTION("""COMPUTED_VALUE"""),55.0)</f>
        <v>55</v>
      </c>
      <c r="N1478" s="2" t="str">
        <f>IFERROR(__xludf.DUMMYFUNCTION("""COMPUTED_VALUE"""),"FALSO")</f>
        <v>FALSO</v>
      </c>
    </row>
    <row r="1479">
      <c r="A1479" s="2">
        <f>IFERROR(__xludf.DUMMYFUNCTION("""COMPUTED_VALUE"""),1478.0)</f>
        <v>1478</v>
      </c>
      <c r="B1479" s="2" t="str">
        <f>IFERROR(__xludf.DUMMYFUNCTION("""COMPUTED_VALUE"""),"Agretha Basketfield")</f>
        <v>Agretha Basketfield</v>
      </c>
      <c r="C1479" s="2" t="str">
        <f>IFERROR(__xludf.DUMMYFUNCTION("""COMPUTED_VALUE"""),"abasketfieldda@shop-pro.jp")</f>
        <v>abasketfieldda@shop-pro.jp</v>
      </c>
      <c r="D1479" s="4">
        <f>IFERROR(__xludf.DUMMYFUNCTION("""COMPUTED_VALUE"""),29.0)</f>
        <v>29</v>
      </c>
      <c r="E1479" s="4">
        <f>IFERROR(__xludf.DUMMYFUNCTION("""COMPUTED_VALUE"""),81.0)</f>
        <v>81</v>
      </c>
      <c r="F1479" s="4">
        <f>IFERROR(__xludf.DUMMYFUNCTION("""COMPUTED_VALUE"""),2.0)</f>
        <v>2</v>
      </c>
      <c r="G1479" s="4">
        <f>IFERROR(__xludf.DUMMYFUNCTION("""COMPUTED_VALUE"""),530.0)</f>
        <v>530</v>
      </c>
      <c r="H1479" s="5">
        <f>IFERROR(__xludf.DUMMYFUNCTION("""COMPUTED_VALUE"""),8153.66)</f>
        <v>8153.66</v>
      </c>
      <c r="I1479" s="5">
        <f>IFERROR(__xludf.DUMMYFUNCTION("""COMPUTED_VALUE"""),7911.3)</f>
        <v>7911.3</v>
      </c>
      <c r="J1479" s="5">
        <f>IFERROR(__xludf.DUMMYFUNCTION("""COMPUTED_VALUE"""),1669.04)</f>
        <v>1669.04</v>
      </c>
      <c r="K1479" s="5">
        <f>IFERROR(__xludf.DUMMYFUNCTION("""COMPUTED_VALUE"""),5601.39)</f>
        <v>5601.39</v>
      </c>
      <c r="L1479" s="4">
        <f>IFERROR(__xludf.DUMMYFUNCTION("""COMPUTED_VALUE"""),12.0)</f>
        <v>12</v>
      </c>
      <c r="M1479" s="4">
        <f>IFERROR(__xludf.DUMMYFUNCTION("""COMPUTED_VALUE"""),67.0)</f>
        <v>67</v>
      </c>
      <c r="N1479" s="2" t="str">
        <f>IFERROR(__xludf.DUMMYFUNCTION("""COMPUTED_VALUE"""),"VERDADERO")</f>
        <v>VERDADERO</v>
      </c>
    </row>
    <row r="1480">
      <c r="A1480" s="2">
        <f>IFERROR(__xludf.DUMMYFUNCTION("""COMPUTED_VALUE"""),1479.0)</f>
        <v>1479</v>
      </c>
      <c r="B1480" s="2" t="str">
        <f>IFERROR(__xludf.DUMMYFUNCTION("""COMPUTED_VALUE"""),"Millisent Casillas")</f>
        <v>Millisent Casillas</v>
      </c>
      <c r="C1480" s="2" t="str">
        <f>IFERROR(__xludf.DUMMYFUNCTION("""COMPUTED_VALUE"""),"mcasillasdb@bigcartel.com")</f>
        <v>mcasillasdb@bigcartel.com</v>
      </c>
      <c r="D1480" s="4">
        <f>IFERROR(__xludf.DUMMYFUNCTION("""COMPUTED_VALUE"""),122.0)</f>
        <v>122</v>
      </c>
      <c r="E1480" s="4">
        <f>IFERROR(__xludf.DUMMYFUNCTION("""COMPUTED_VALUE"""),8.0)</f>
        <v>8</v>
      </c>
      <c r="F1480" s="4">
        <f>IFERROR(__xludf.DUMMYFUNCTION("""COMPUTED_VALUE"""),8.0)</f>
        <v>8</v>
      </c>
      <c r="G1480" s="4">
        <f>IFERROR(__xludf.DUMMYFUNCTION("""COMPUTED_VALUE"""),882.0)</f>
        <v>882</v>
      </c>
      <c r="H1480" s="5">
        <f>IFERROR(__xludf.DUMMYFUNCTION("""COMPUTED_VALUE"""),1110.39)</f>
        <v>1110.39</v>
      </c>
      <c r="I1480" s="5">
        <f>IFERROR(__xludf.DUMMYFUNCTION("""COMPUTED_VALUE"""),2574.18)</f>
        <v>2574.18</v>
      </c>
      <c r="J1480" s="5">
        <f>IFERROR(__xludf.DUMMYFUNCTION("""COMPUTED_VALUE"""),632.09)</f>
        <v>632.09</v>
      </c>
      <c r="K1480" s="5">
        <f>IFERROR(__xludf.DUMMYFUNCTION("""COMPUTED_VALUE"""),3667.65)</f>
        <v>3667.65</v>
      </c>
      <c r="L1480" s="4">
        <f>IFERROR(__xludf.DUMMYFUNCTION("""COMPUTED_VALUE"""),20.0)</f>
        <v>20</v>
      </c>
      <c r="M1480" s="4">
        <f>IFERROR(__xludf.DUMMYFUNCTION("""COMPUTED_VALUE"""),40.0)</f>
        <v>40</v>
      </c>
      <c r="N1480" s="2" t="str">
        <f>IFERROR(__xludf.DUMMYFUNCTION("""COMPUTED_VALUE"""),"VERDADERO")</f>
        <v>VERDADERO</v>
      </c>
    </row>
    <row r="1481">
      <c r="A1481" s="2">
        <f>IFERROR(__xludf.DUMMYFUNCTION("""COMPUTED_VALUE"""),1480.0)</f>
        <v>1480</v>
      </c>
      <c r="B1481" s="2" t="str">
        <f>IFERROR(__xludf.DUMMYFUNCTION("""COMPUTED_VALUE"""),"Dex Pounds")</f>
        <v>Dex Pounds</v>
      </c>
      <c r="C1481" s="2" t="str">
        <f>IFERROR(__xludf.DUMMYFUNCTION("""COMPUTED_VALUE"""),"dpoundsdc@utexas.edu")</f>
        <v>dpoundsdc@utexas.edu</v>
      </c>
      <c r="D1481" s="4">
        <f>IFERROR(__xludf.DUMMYFUNCTION("""COMPUTED_VALUE"""),94.0)</f>
        <v>94</v>
      </c>
      <c r="E1481" s="4">
        <f>IFERROR(__xludf.DUMMYFUNCTION("""COMPUTED_VALUE"""),64.0)</f>
        <v>64</v>
      </c>
      <c r="F1481" s="4">
        <f>IFERROR(__xludf.DUMMYFUNCTION("""COMPUTED_VALUE"""),4.0)</f>
        <v>4</v>
      </c>
      <c r="G1481" s="4">
        <f>IFERROR(__xludf.DUMMYFUNCTION("""COMPUTED_VALUE"""),268.0)</f>
        <v>268</v>
      </c>
      <c r="H1481" s="5">
        <f>IFERROR(__xludf.DUMMYFUNCTION("""COMPUTED_VALUE"""),7187.9)</f>
        <v>7187.9</v>
      </c>
      <c r="I1481" s="5">
        <f>IFERROR(__xludf.DUMMYFUNCTION("""COMPUTED_VALUE"""),9403.87)</f>
        <v>9403.87</v>
      </c>
      <c r="J1481" s="5">
        <f>IFERROR(__xludf.DUMMYFUNCTION("""COMPUTED_VALUE"""),1862.22)</f>
        <v>1862.22</v>
      </c>
      <c r="K1481" s="5">
        <f>IFERROR(__xludf.DUMMYFUNCTION("""COMPUTED_VALUE"""),9588.85)</f>
        <v>9588.85</v>
      </c>
      <c r="L1481" s="4">
        <f>IFERROR(__xludf.DUMMYFUNCTION("""COMPUTED_VALUE"""),3.0)</f>
        <v>3</v>
      </c>
      <c r="M1481" s="4">
        <f>IFERROR(__xludf.DUMMYFUNCTION("""COMPUTED_VALUE"""),32.0)</f>
        <v>32</v>
      </c>
      <c r="N1481" s="2" t="str">
        <f>IFERROR(__xludf.DUMMYFUNCTION("""COMPUTED_VALUE"""),"VERDADERO")</f>
        <v>VERDADERO</v>
      </c>
    </row>
    <row r="1482">
      <c r="A1482" s="2">
        <f>IFERROR(__xludf.DUMMYFUNCTION("""COMPUTED_VALUE"""),1481.0)</f>
        <v>1481</v>
      </c>
      <c r="B1482" s="2" t="str">
        <f>IFERROR(__xludf.DUMMYFUNCTION("""COMPUTED_VALUE"""),"Antonius Braben")</f>
        <v>Antonius Braben</v>
      </c>
      <c r="C1482" s="2" t="str">
        <f>IFERROR(__xludf.DUMMYFUNCTION("""COMPUTED_VALUE"""),"abrabendd@istockphoto.com")</f>
        <v>abrabendd@istockphoto.com</v>
      </c>
      <c r="D1482" s="4">
        <f>IFERROR(__xludf.DUMMYFUNCTION("""COMPUTED_VALUE"""),104.0)</f>
        <v>104</v>
      </c>
      <c r="E1482" s="4">
        <f>IFERROR(__xludf.DUMMYFUNCTION("""COMPUTED_VALUE"""),119.0)</f>
        <v>119</v>
      </c>
      <c r="F1482" s="4">
        <f>IFERROR(__xludf.DUMMYFUNCTION("""COMPUTED_VALUE"""),1.0)</f>
        <v>1</v>
      </c>
      <c r="G1482" s="4">
        <f>IFERROR(__xludf.DUMMYFUNCTION("""COMPUTED_VALUE"""),1571.0)</f>
        <v>1571</v>
      </c>
      <c r="H1482" s="5">
        <f>IFERROR(__xludf.DUMMYFUNCTION("""COMPUTED_VALUE"""),7198.77)</f>
        <v>7198.77</v>
      </c>
      <c r="I1482" s="5">
        <f>IFERROR(__xludf.DUMMYFUNCTION("""COMPUTED_VALUE"""),8315.82)</f>
        <v>8315.82</v>
      </c>
      <c r="J1482" s="5">
        <f>IFERROR(__xludf.DUMMYFUNCTION("""COMPUTED_VALUE"""),9384.79)</f>
        <v>9384.79</v>
      </c>
      <c r="K1482" s="5">
        <f>IFERROR(__xludf.DUMMYFUNCTION("""COMPUTED_VALUE"""),4497.29)</f>
        <v>4497.29</v>
      </c>
      <c r="L1482" s="4">
        <f>IFERROR(__xludf.DUMMYFUNCTION("""COMPUTED_VALUE"""),8.0)</f>
        <v>8</v>
      </c>
      <c r="M1482" s="4">
        <f>IFERROR(__xludf.DUMMYFUNCTION("""COMPUTED_VALUE"""),54.0)</f>
        <v>54</v>
      </c>
      <c r="N1482" s="2" t="str">
        <f>IFERROR(__xludf.DUMMYFUNCTION("""COMPUTED_VALUE"""),"VERDADERO")</f>
        <v>VERDADERO</v>
      </c>
    </row>
    <row r="1483">
      <c r="A1483" s="2">
        <f>IFERROR(__xludf.DUMMYFUNCTION("""COMPUTED_VALUE"""),1482.0)</f>
        <v>1482</v>
      </c>
      <c r="B1483" s="2" t="str">
        <f>IFERROR(__xludf.DUMMYFUNCTION("""COMPUTED_VALUE"""),"Morna Gelling")</f>
        <v>Morna Gelling</v>
      </c>
      <c r="C1483" s="2" t="str">
        <f>IFERROR(__xludf.DUMMYFUNCTION("""COMPUTED_VALUE"""),"mgellingde@w3.org")</f>
        <v>mgellingde@w3.org</v>
      </c>
      <c r="D1483" s="4">
        <f>IFERROR(__xludf.DUMMYFUNCTION("""COMPUTED_VALUE"""),111.0)</f>
        <v>111</v>
      </c>
      <c r="E1483" s="4">
        <f>IFERROR(__xludf.DUMMYFUNCTION("""COMPUTED_VALUE"""),64.0)</f>
        <v>64</v>
      </c>
      <c r="F1483" s="4">
        <f>IFERROR(__xludf.DUMMYFUNCTION("""COMPUTED_VALUE"""),4.0)</f>
        <v>4</v>
      </c>
      <c r="G1483" s="4">
        <f>IFERROR(__xludf.DUMMYFUNCTION("""COMPUTED_VALUE"""),134.0)</f>
        <v>134</v>
      </c>
      <c r="H1483" s="5">
        <f>IFERROR(__xludf.DUMMYFUNCTION("""COMPUTED_VALUE"""),5821.93)</f>
        <v>5821.93</v>
      </c>
      <c r="I1483" s="5">
        <f>IFERROR(__xludf.DUMMYFUNCTION("""COMPUTED_VALUE"""),5416.83)</f>
        <v>5416.83</v>
      </c>
      <c r="J1483" s="5">
        <f>IFERROR(__xludf.DUMMYFUNCTION("""COMPUTED_VALUE"""),2604.16)</f>
        <v>2604.16</v>
      </c>
      <c r="K1483" s="5">
        <f>IFERROR(__xludf.DUMMYFUNCTION("""COMPUTED_VALUE"""),2803.52)</f>
        <v>2803.52</v>
      </c>
      <c r="L1483" s="4">
        <f>IFERROR(__xludf.DUMMYFUNCTION("""COMPUTED_VALUE"""),10.0)</f>
        <v>10</v>
      </c>
      <c r="M1483" s="4">
        <f>IFERROR(__xludf.DUMMYFUNCTION("""COMPUTED_VALUE"""),34.0)</f>
        <v>34</v>
      </c>
      <c r="N1483" s="2" t="str">
        <f>IFERROR(__xludf.DUMMYFUNCTION("""COMPUTED_VALUE"""),"FALSO")</f>
        <v>FALSO</v>
      </c>
    </row>
    <row r="1484">
      <c r="A1484" s="2">
        <f>IFERROR(__xludf.DUMMYFUNCTION("""COMPUTED_VALUE"""),1483.0)</f>
        <v>1483</v>
      </c>
      <c r="B1484" s="2" t="str">
        <f>IFERROR(__xludf.DUMMYFUNCTION("""COMPUTED_VALUE"""),"Lanny Eades")</f>
        <v>Lanny Eades</v>
      </c>
      <c r="C1484" s="2" t="str">
        <f>IFERROR(__xludf.DUMMYFUNCTION("""COMPUTED_VALUE"""),"leadesdf@jugem.jp")</f>
        <v>leadesdf@jugem.jp</v>
      </c>
      <c r="D1484" s="4">
        <f>IFERROR(__xludf.DUMMYFUNCTION("""COMPUTED_VALUE"""),65.0)</f>
        <v>65</v>
      </c>
      <c r="E1484" s="4">
        <f>IFERROR(__xludf.DUMMYFUNCTION("""COMPUTED_VALUE"""),66.0)</f>
        <v>66</v>
      </c>
      <c r="F1484" s="4">
        <f>IFERROR(__xludf.DUMMYFUNCTION("""COMPUTED_VALUE"""),6.0)</f>
        <v>6</v>
      </c>
      <c r="G1484" s="4">
        <f>IFERROR(__xludf.DUMMYFUNCTION("""COMPUTED_VALUE"""),1106.0)</f>
        <v>1106</v>
      </c>
      <c r="H1484" s="5">
        <f>IFERROR(__xludf.DUMMYFUNCTION("""COMPUTED_VALUE"""),264.59)</f>
        <v>264.59</v>
      </c>
      <c r="I1484" s="5">
        <f>IFERROR(__xludf.DUMMYFUNCTION("""COMPUTED_VALUE"""),8194.91)</f>
        <v>8194.91</v>
      </c>
      <c r="J1484" s="5">
        <f>IFERROR(__xludf.DUMMYFUNCTION("""COMPUTED_VALUE"""),7563.91)</f>
        <v>7563.91</v>
      </c>
      <c r="K1484" s="5">
        <f>IFERROR(__xludf.DUMMYFUNCTION("""COMPUTED_VALUE"""),6994.29)</f>
        <v>6994.29</v>
      </c>
      <c r="L1484" s="4">
        <f>IFERROR(__xludf.DUMMYFUNCTION("""COMPUTED_VALUE"""),4.0)</f>
        <v>4</v>
      </c>
      <c r="M1484" s="4">
        <f>IFERROR(__xludf.DUMMYFUNCTION("""COMPUTED_VALUE"""),37.0)</f>
        <v>37</v>
      </c>
      <c r="N1484" s="2" t="str">
        <f>IFERROR(__xludf.DUMMYFUNCTION("""COMPUTED_VALUE"""),"FALSO")</f>
        <v>FALSO</v>
      </c>
    </row>
    <row r="1485">
      <c r="A1485" s="2">
        <f>IFERROR(__xludf.DUMMYFUNCTION("""COMPUTED_VALUE"""),1484.0)</f>
        <v>1484</v>
      </c>
      <c r="B1485" s="2" t="str">
        <f>IFERROR(__xludf.DUMMYFUNCTION("""COMPUTED_VALUE"""),"Kurtis Waterdrinker")</f>
        <v>Kurtis Waterdrinker</v>
      </c>
      <c r="C1485" s="2" t="str">
        <f>IFERROR(__xludf.DUMMYFUNCTION("""COMPUTED_VALUE"""),"kwaterdrinkerdg@tripadvisor.com")</f>
        <v>kwaterdrinkerdg@tripadvisor.com</v>
      </c>
      <c r="D1485" s="4">
        <f>IFERROR(__xludf.DUMMYFUNCTION("""COMPUTED_VALUE"""),153.0)</f>
        <v>153</v>
      </c>
      <c r="E1485" s="4">
        <f>IFERROR(__xludf.DUMMYFUNCTION("""COMPUTED_VALUE"""),102.0)</f>
        <v>102</v>
      </c>
      <c r="F1485" s="4">
        <f>IFERROR(__xludf.DUMMYFUNCTION("""COMPUTED_VALUE"""),4.0)</f>
        <v>4</v>
      </c>
      <c r="G1485" s="4">
        <f>IFERROR(__xludf.DUMMYFUNCTION("""COMPUTED_VALUE"""),345.0)</f>
        <v>345</v>
      </c>
      <c r="H1485" s="5">
        <f>IFERROR(__xludf.DUMMYFUNCTION("""COMPUTED_VALUE"""),6613.75)</f>
        <v>6613.75</v>
      </c>
      <c r="I1485" s="5">
        <f>IFERROR(__xludf.DUMMYFUNCTION("""COMPUTED_VALUE"""),1055.76)</f>
        <v>1055.76</v>
      </c>
      <c r="J1485" s="5">
        <f>IFERROR(__xludf.DUMMYFUNCTION("""COMPUTED_VALUE"""),6681.18)</f>
        <v>6681.18</v>
      </c>
      <c r="K1485" s="5">
        <f>IFERROR(__xludf.DUMMYFUNCTION("""COMPUTED_VALUE"""),9837.06)</f>
        <v>9837.06</v>
      </c>
      <c r="L1485" s="4">
        <f>IFERROR(__xludf.DUMMYFUNCTION("""COMPUTED_VALUE"""),5.0)</f>
        <v>5</v>
      </c>
      <c r="M1485" s="4">
        <f>IFERROR(__xludf.DUMMYFUNCTION("""COMPUTED_VALUE"""),86.0)</f>
        <v>86</v>
      </c>
      <c r="N1485" s="2" t="str">
        <f>IFERROR(__xludf.DUMMYFUNCTION("""COMPUTED_VALUE"""),"FALSO")</f>
        <v>FALSO</v>
      </c>
    </row>
    <row r="1486">
      <c r="A1486" s="2">
        <f>IFERROR(__xludf.DUMMYFUNCTION("""COMPUTED_VALUE"""),1485.0)</f>
        <v>1485</v>
      </c>
      <c r="B1486" s="2" t="str">
        <f>IFERROR(__xludf.DUMMYFUNCTION("""COMPUTED_VALUE"""),"Ivory Schubbert")</f>
        <v>Ivory Schubbert</v>
      </c>
      <c r="C1486" s="2" t="str">
        <f>IFERROR(__xludf.DUMMYFUNCTION("""COMPUTED_VALUE"""),"ischubbertdh@sourceforge.net")</f>
        <v>ischubbertdh@sourceforge.net</v>
      </c>
      <c r="D1486" s="4">
        <f>IFERROR(__xludf.DUMMYFUNCTION("""COMPUTED_VALUE"""),153.0)</f>
        <v>153</v>
      </c>
      <c r="E1486" s="4">
        <f>IFERROR(__xludf.DUMMYFUNCTION("""COMPUTED_VALUE"""),66.0)</f>
        <v>66</v>
      </c>
      <c r="F1486" s="4">
        <f>IFERROR(__xludf.DUMMYFUNCTION("""COMPUTED_VALUE"""),6.0)</f>
        <v>6</v>
      </c>
      <c r="G1486" s="4">
        <f>IFERROR(__xludf.DUMMYFUNCTION("""COMPUTED_VALUE"""),378.0)</f>
        <v>378</v>
      </c>
      <c r="H1486" s="5">
        <f>IFERROR(__xludf.DUMMYFUNCTION("""COMPUTED_VALUE"""),1580.84)</f>
        <v>1580.84</v>
      </c>
      <c r="I1486" s="5">
        <f>IFERROR(__xludf.DUMMYFUNCTION("""COMPUTED_VALUE"""),918.34)</f>
        <v>918.34</v>
      </c>
      <c r="J1486" s="5">
        <f>IFERROR(__xludf.DUMMYFUNCTION("""COMPUTED_VALUE"""),6273.21)</f>
        <v>6273.21</v>
      </c>
      <c r="K1486" s="5">
        <f>IFERROR(__xludf.DUMMYFUNCTION("""COMPUTED_VALUE"""),7724.94)</f>
        <v>7724.94</v>
      </c>
      <c r="L1486" s="4">
        <f>IFERROR(__xludf.DUMMYFUNCTION("""COMPUTED_VALUE"""),4.0)</f>
        <v>4</v>
      </c>
      <c r="M1486" s="4">
        <f>IFERROR(__xludf.DUMMYFUNCTION("""COMPUTED_VALUE"""),24.0)</f>
        <v>24</v>
      </c>
      <c r="N1486" s="2" t="str">
        <f>IFERROR(__xludf.DUMMYFUNCTION("""COMPUTED_VALUE"""),"FALSO")</f>
        <v>FALSO</v>
      </c>
    </row>
    <row r="1487">
      <c r="A1487" s="2">
        <f>IFERROR(__xludf.DUMMYFUNCTION("""COMPUTED_VALUE"""),1486.0)</f>
        <v>1486</v>
      </c>
      <c r="B1487" s="2" t="str">
        <f>IFERROR(__xludf.DUMMYFUNCTION("""COMPUTED_VALUE"""),"Esma Jahner")</f>
        <v>Esma Jahner</v>
      </c>
      <c r="C1487" s="2" t="str">
        <f>IFERROR(__xludf.DUMMYFUNCTION("""COMPUTED_VALUE"""),"ejahnerdi@sbwire.com")</f>
        <v>ejahnerdi@sbwire.com</v>
      </c>
      <c r="D1487" s="4">
        <f>IFERROR(__xludf.DUMMYFUNCTION("""COMPUTED_VALUE"""),70.0)</f>
        <v>70</v>
      </c>
      <c r="E1487" s="4">
        <f>IFERROR(__xludf.DUMMYFUNCTION("""COMPUTED_VALUE"""),111.0)</f>
        <v>111</v>
      </c>
      <c r="F1487" s="4">
        <f>IFERROR(__xludf.DUMMYFUNCTION("""COMPUTED_VALUE"""),4.0)</f>
        <v>4</v>
      </c>
      <c r="G1487" s="4">
        <f>IFERROR(__xludf.DUMMYFUNCTION("""COMPUTED_VALUE"""),227.0)</f>
        <v>227</v>
      </c>
      <c r="H1487" s="5">
        <f>IFERROR(__xludf.DUMMYFUNCTION("""COMPUTED_VALUE"""),5638.91)</f>
        <v>5638.91</v>
      </c>
      <c r="I1487" s="5">
        <f>IFERROR(__xludf.DUMMYFUNCTION("""COMPUTED_VALUE"""),9795.84)</f>
        <v>9795.84</v>
      </c>
      <c r="J1487" s="5">
        <f>IFERROR(__xludf.DUMMYFUNCTION("""COMPUTED_VALUE"""),556.83)</f>
        <v>556.83</v>
      </c>
      <c r="K1487" s="5">
        <f>IFERROR(__xludf.DUMMYFUNCTION("""COMPUTED_VALUE"""),5669.6)</f>
        <v>5669.6</v>
      </c>
      <c r="L1487" s="4">
        <f>IFERROR(__xludf.DUMMYFUNCTION("""COMPUTED_VALUE"""),15.0)</f>
        <v>15</v>
      </c>
      <c r="M1487" s="4">
        <f>IFERROR(__xludf.DUMMYFUNCTION("""COMPUTED_VALUE"""),37.0)</f>
        <v>37</v>
      </c>
      <c r="N1487" s="2" t="str">
        <f>IFERROR(__xludf.DUMMYFUNCTION("""COMPUTED_VALUE"""),"FALSO")</f>
        <v>FALSO</v>
      </c>
    </row>
    <row r="1488">
      <c r="A1488" s="2">
        <f>IFERROR(__xludf.DUMMYFUNCTION("""COMPUTED_VALUE"""),1487.0)</f>
        <v>1487</v>
      </c>
      <c r="B1488" s="2" t="str">
        <f>IFERROR(__xludf.DUMMYFUNCTION("""COMPUTED_VALUE"""),"Phylys Joskowitz")</f>
        <v>Phylys Joskowitz</v>
      </c>
      <c r="C1488" s="2" t="str">
        <f>IFERROR(__xludf.DUMMYFUNCTION("""COMPUTED_VALUE"""),"pjoskowitzdj@biglobe.ne.jp")</f>
        <v>pjoskowitzdj@biglobe.ne.jp</v>
      </c>
      <c r="D1488" s="4">
        <f>IFERROR(__xludf.DUMMYFUNCTION("""COMPUTED_VALUE"""),10.0)</f>
        <v>10</v>
      </c>
      <c r="E1488" s="4">
        <f>IFERROR(__xludf.DUMMYFUNCTION("""COMPUTED_VALUE"""),102.0)</f>
        <v>102</v>
      </c>
      <c r="F1488" s="4">
        <f>IFERROR(__xludf.DUMMYFUNCTION("""COMPUTED_VALUE"""),4.0)</f>
        <v>4</v>
      </c>
      <c r="G1488" s="4">
        <f>IFERROR(__xludf.DUMMYFUNCTION("""COMPUTED_VALUE"""),746.0)</f>
        <v>746</v>
      </c>
      <c r="H1488" s="5">
        <f>IFERROR(__xludf.DUMMYFUNCTION("""COMPUTED_VALUE"""),425.5)</f>
        <v>425.5</v>
      </c>
      <c r="I1488" s="5">
        <f>IFERROR(__xludf.DUMMYFUNCTION("""COMPUTED_VALUE"""),8698.23)</f>
        <v>8698.23</v>
      </c>
      <c r="J1488" s="5">
        <f>IFERROR(__xludf.DUMMYFUNCTION("""COMPUTED_VALUE"""),2043.17)</f>
        <v>2043.17</v>
      </c>
      <c r="K1488" s="5">
        <f>IFERROR(__xludf.DUMMYFUNCTION("""COMPUTED_VALUE"""),4364.75)</f>
        <v>4364.75</v>
      </c>
      <c r="L1488" s="4">
        <f>IFERROR(__xludf.DUMMYFUNCTION("""COMPUTED_VALUE"""),18.0)</f>
        <v>18</v>
      </c>
      <c r="M1488" s="4">
        <f>IFERROR(__xludf.DUMMYFUNCTION("""COMPUTED_VALUE"""),74.0)</f>
        <v>74</v>
      </c>
      <c r="N1488" s="2" t="str">
        <f>IFERROR(__xludf.DUMMYFUNCTION("""COMPUTED_VALUE"""),"FALSO")</f>
        <v>FALSO</v>
      </c>
    </row>
    <row r="1489">
      <c r="A1489" s="2">
        <f>IFERROR(__xludf.DUMMYFUNCTION("""COMPUTED_VALUE"""),1488.0)</f>
        <v>1488</v>
      </c>
      <c r="B1489" s="2" t="str">
        <f>IFERROR(__xludf.DUMMYFUNCTION("""COMPUTED_VALUE"""),"Parke Cheel")</f>
        <v>Parke Cheel</v>
      </c>
      <c r="C1489" s="2" t="str">
        <f>IFERROR(__xludf.DUMMYFUNCTION("""COMPUTED_VALUE"""),"pcheeldk@taobao.com")</f>
        <v>pcheeldk@taobao.com</v>
      </c>
      <c r="D1489" s="4">
        <f>IFERROR(__xludf.DUMMYFUNCTION("""COMPUTED_VALUE"""),38.0)</f>
        <v>38</v>
      </c>
      <c r="E1489" s="4">
        <f>IFERROR(__xludf.DUMMYFUNCTION("""COMPUTED_VALUE"""),29.0)</f>
        <v>29</v>
      </c>
      <c r="F1489" s="4">
        <f>IFERROR(__xludf.DUMMYFUNCTION("""COMPUTED_VALUE"""),11.0)</f>
        <v>11</v>
      </c>
      <c r="G1489" s="4">
        <f>IFERROR(__xludf.DUMMYFUNCTION("""COMPUTED_VALUE"""),1355.0)</f>
        <v>1355</v>
      </c>
      <c r="H1489" s="5">
        <f>IFERROR(__xludf.DUMMYFUNCTION("""COMPUTED_VALUE"""),5521.72)</f>
        <v>5521.72</v>
      </c>
      <c r="I1489" s="5">
        <f>IFERROR(__xludf.DUMMYFUNCTION("""COMPUTED_VALUE"""),6637.63)</f>
        <v>6637.63</v>
      </c>
      <c r="J1489" s="5">
        <f>IFERROR(__xludf.DUMMYFUNCTION("""COMPUTED_VALUE"""),3201.78)</f>
        <v>3201.78</v>
      </c>
      <c r="K1489" s="5">
        <f>IFERROR(__xludf.DUMMYFUNCTION("""COMPUTED_VALUE"""),8886.55)</f>
        <v>8886.55</v>
      </c>
      <c r="L1489" s="4">
        <f>IFERROR(__xludf.DUMMYFUNCTION("""COMPUTED_VALUE"""),9.0)</f>
        <v>9</v>
      </c>
      <c r="M1489" s="4">
        <f>IFERROR(__xludf.DUMMYFUNCTION("""COMPUTED_VALUE"""),37.0)</f>
        <v>37</v>
      </c>
      <c r="N1489" s="2" t="str">
        <f>IFERROR(__xludf.DUMMYFUNCTION("""COMPUTED_VALUE"""),"FALSO")</f>
        <v>FALSO</v>
      </c>
    </row>
    <row r="1490">
      <c r="A1490" s="2">
        <f>IFERROR(__xludf.DUMMYFUNCTION("""COMPUTED_VALUE"""),1489.0)</f>
        <v>1489</v>
      </c>
      <c r="B1490" s="2" t="str">
        <f>IFERROR(__xludf.DUMMYFUNCTION("""COMPUTED_VALUE"""),"Maddy Crockett")</f>
        <v>Maddy Crockett</v>
      </c>
      <c r="C1490" s="2" t="str">
        <f>IFERROR(__xludf.DUMMYFUNCTION("""COMPUTED_VALUE"""),"mcrockettdl@biglobe.ne.jp")</f>
        <v>mcrockettdl@biglobe.ne.jp</v>
      </c>
      <c r="D1490" s="4">
        <f>IFERROR(__xludf.DUMMYFUNCTION("""COMPUTED_VALUE"""),49.0)</f>
        <v>49</v>
      </c>
      <c r="E1490" s="4">
        <f>IFERROR(__xludf.DUMMYFUNCTION("""COMPUTED_VALUE"""),81.0)</f>
        <v>81</v>
      </c>
      <c r="F1490" s="4">
        <f>IFERROR(__xludf.DUMMYFUNCTION("""COMPUTED_VALUE"""),2.0)</f>
        <v>2</v>
      </c>
      <c r="G1490" s="4">
        <f>IFERROR(__xludf.DUMMYFUNCTION("""COMPUTED_VALUE"""),577.0)</f>
        <v>577</v>
      </c>
      <c r="H1490" s="5">
        <f>IFERROR(__xludf.DUMMYFUNCTION("""COMPUTED_VALUE"""),3314.9)</f>
        <v>3314.9</v>
      </c>
      <c r="I1490" s="5">
        <f>IFERROR(__xludf.DUMMYFUNCTION("""COMPUTED_VALUE"""),2362.7)</f>
        <v>2362.7</v>
      </c>
      <c r="J1490" s="5">
        <f>IFERROR(__xludf.DUMMYFUNCTION("""COMPUTED_VALUE"""),9028.91)</f>
        <v>9028.91</v>
      </c>
      <c r="K1490" s="5">
        <f>IFERROR(__xludf.DUMMYFUNCTION("""COMPUTED_VALUE"""),1645.01)</f>
        <v>1645.01</v>
      </c>
      <c r="L1490" s="4">
        <f>IFERROR(__xludf.DUMMYFUNCTION("""COMPUTED_VALUE"""),14.0)</f>
        <v>14</v>
      </c>
      <c r="M1490" s="4">
        <f>IFERROR(__xludf.DUMMYFUNCTION("""COMPUTED_VALUE"""),63.0)</f>
        <v>63</v>
      </c>
      <c r="N1490" s="2" t="str">
        <f>IFERROR(__xludf.DUMMYFUNCTION("""COMPUTED_VALUE"""),"VERDADERO")</f>
        <v>VERDADERO</v>
      </c>
    </row>
    <row r="1491">
      <c r="A1491" s="2">
        <f>IFERROR(__xludf.DUMMYFUNCTION("""COMPUTED_VALUE"""),1490.0)</f>
        <v>1490</v>
      </c>
      <c r="B1491" s="2" t="str">
        <f>IFERROR(__xludf.DUMMYFUNCTION("""COMPUTED_VALUE"""),"Kristin Ormesher")</f>
        <v>Kristin Ormesher</v>
      </c>
      <c r="C1491" s="2" t="str">
        <f>IFERROR(__xludf.DUMMYFUNCTION("""COMPUTED_VALUE"""),"kormesherdm@tmall.com")</f>
        <v>kormesherdm@tmall.com</v>
      </c>
      <c r="D1491" s="4">
        <f>IFERROR(__xludf.DUMMYFUNCTION("""COMPUTED_VALUE"""),73.0)</f>
        <v>73</v>
      </c>
      <c r="E1491" s="4">
        <f>IFERROR(__xludf.DUMMYFUNCTION("""COMPUTED_VALUE"""),59.0)</f>
        <v>59</v>
      </c>
      <c r="F1491" s="4">
        <f>IFERROR(__xludf.DUMMYFUNCTION("""COMPUTED_VALUE"""),10.0)</f>
        <v>10</v>
      </c>
      <c r="G1491" s="4">
        <f>IFERROR(__xludf.DUMMYFUNCTION("""COMPUTED_VALUE"""),745.0)</f>
        <v>745</v>
      </c>
      <c r="H1491" s="5">
        <f>IFERROR(__xludf.DUMMYFUNCTION("""COMPUTED_VALUE"""),6691.61)</f>
        <v>6691.61</v>
      </c>
      <c r="I1491" s="5">
        <f>IFERROR(__xludf.DUMMYFUNCTION("""COMPUTED_VALUE"""),4492.14)</f>
        <v>4492.14</v>
      </c>
      <c r="J1491" s="5">
        <f>IFERROR(__xludf.DUMMYFUNCTION("""COMPUTED_VALUE"""),8149.8)</f>
        <v>8149.8</v>
      </c>
      <c r="K1491" s="5">
        <f>IFERROR(__xludf.DUMMYFUNCTION("""COMPUTED_VALUE"""),5981.41)</f>
        <v>5981.41</v>
      </c>
      <c r="L1491" s="4">
        <f>IFERROR(__xludf.DUMMYFUNCTION("""COMPUTED_VALUE"""),3.0)</f>
        <v>3</v>
      </c>
      <c r="M1491" s="4">
        <f>IFERROR(__xludf.DUMMYFUNCTION("""COMPUTED_VALUE"""),82.0)</f>
        <v>82</v>
      </c>
      <c r="N1491" s="2" t="str">
        <f>IFERROR(__xludf.DUMMYFUNCTION("""COMPUTED_VALUE"""),"VERDADERO")</f>
        <v>VERDADERO</v>
      </c>
    </row>
    <row r="1492">
      <c r="A1492" s="2">
        <f>IFERROR(__xludf.DUMMYFUNCTION("""COMPUTED_VALUE"""),1491.0)</f>
        <v>1491</v>
      </c>
      <c r="B1492" s="2" t="str">
        <f>IFERROR(__xludf.DUMMYFUNCTION("""COMPUTED_VALUE"""),"Sam Pittem")</f>
        <v>Sam Pittem</v>
      </c>
      <c r="C1492" s="2" t="str">
        <f>IFERROR(__xludf.DUMMYFUNCTION("""COMPUTED_VALUE"""),"spittemdn@photobucket.com")</f>
        <v>spittemdn@photobucket.com</v>
      </c>
      <c r="D1492" s="4">
        <f>IFERROR(__xludf.DUMMYFUNCTION("""COMPUTED_VALUE"""),60.0)</f>
        <v>60</v>
      </c>
      <c r="E1492" s="4">
        <f>IFERROR(__xludf.DUMMYFUNCTION("""COMPUTED_VALUE"""),21.0)</f>
        <v>21</v>
      </c>
      <c r="F1492" s="4">
        <f>IFERROR(__xludf.DUMMYFUNCTION("""COMPUTED_VALUE"""),4.0)</f>
        <v>4</v>
      </c>
      <c r="G1492" s="4">
        <f>IFERROR(__xludf.DUMMYFUNCTION("""COMPUTED_VALUE"""),1243.0)</f>
        <v>1243</v>
      </c>
      <c r="H1492" s="5">
        <f>IFERROR(__xludf.DUMMYFUNCTION("""COMPUTED_VALUE"""),5196.77)</f>
        <v>5196.77</v>
      </c>
      <c r="I1492" s="5">
        <f>IFERROR(__xludf.DUMMYFUNCTION("""COMPUTED_VALUE"""),6456.18)</f>
        <v>6456.18</v>
      </c>
      <c r="J1492" s="5">
        <f>IFERROR(__xludf.DUMMYFUNCTION("""COMPUTED_VALUE"""),4070.44)</f>
        <v>4070.44</v>
      </c>
      <c r="K1492" s="5">
        <f>IFERROR(__xludf.DUMMYFUNCTION("""COMPUTED_VALUE"""),3069.4)</f>
        <v>3069.4</v>
      </c>
      <c r="L1492" s="4">
        <f>IFERROR(__xludf.DUMMYFUNCTION("""COMPUTED_VALUE"""),2.0)</f>
        <v>2</v>
      </c>
      <c r="M1492" s="4">
        <f>IFERROR(__xludf.DUMMYFUNCTION("""COMPUTED_VALUE"""),25.0)</f>
        <v>25</v>
      </c>
      <c r="N1492" s="2" t="str">
        <f>IFERROR(__xludf.DUMMYFUNCTION("""COMPUTED_VALUE"""),"FALSO")</f>
        <v>FALSO</v>
      </c>
    </row>
    <row r="1493">
      <c r="A1493" s="2">
        <f>IFERROR(__xludf.DUMMYFUNCTION("""COMPUTED_VALUE"""),1492.0)</f>
        <v>1492</v>
      </c>
      <c r="B1493" s="2" t="str">
        <f>IFERROR(__xludf.DUMMYFUNCTION("""COMPUTED_VALUE"""),"Louise Rimer")</f>
        <v>Louise Rimer</v>
      </c>
      <c r="C1493" s="2" t="str">
        <f>IFERROR(__xludf.DUMMYFUNCTION("""COMPUTED_VALUE"""),"lrimerdo@symantec.com")</f>
        <v>lrimerdo@symantec.com</v>
      </c>
      <c r="D1493" s="4">
        <f>IFERROR(__xludf.DUMMYFUNCTION("""COMPUTED_VALUE"""),29.0)</f>
        <v>29</v>
      </c>
      <c r="E1493" s="4">
        <f>IFERROR(__xludf.DUMMYFUNCTION("""COMPUTED_VALUE"""),29.0)</f>
        <v>29</v>
      </c>
      <c r="F1493" s="4">
        <f>IFERROR(__xludf.DUMMYFUNCTION("""COMPUTED_VALUE"""),11.0)</f>
        <v>11</v>
      </c>
      <c r="G1493" s="4">
        <f>IFERROR(__xludf.DUMMYFUNCTION("""COMPUTED_VALUE"""),1195.0)</f>
        <v>1195</v>
      </c>
      <c r="H1493" s="5">
        <f>IFERROR(__xludf.DUMMYFUNCTION("""COMPUTED_VALUE"""),8706.84)</f>
        <v>8706.84</v>
      </c>
      <c r="I1493" s="5">
        <f>IFERROR(__xludf.DUMMYFUNCTION("""COMPUTED_VALUE"""),2350.96)</f>
        <v>2350.96</v>
      </c>
      <c r="J1493" s="5">
        <f>IFERROR(__xludf.DUMMYFUNCTION("""COMPUTED_VALUE"""),2729.78)</f>
        <v>2729.78</v>
      </c>
      <c r="K1493" s="5">
        <f>IFERROR(__xludf.DUMMYFUNCTION("""COMPUTED_VALUE"""),1321.71)</f>
        <v>1321.71</v>
      </c>
      <c r="L1493" s="4">
        <f>IFERROR(__xludf.DUMMYFUNCTION("""COMPUTED_VALUE"""),9.0)</f>
        <v>9</v>
      </c>
      <c r="M1493" s="4">
        <f>IFERROR(__xludf.DUMMYFUNCTION("""COMPUTED_VALUE"""),21.0)</f>
        <v>21</v>
      </c>
      <c r="N1493" s="2" t="str">
        <f>IFERROR(__xludf.DUMMYFUNCTION("""COMPUTED_VALUE"""),"VERDADERO")</f>
        <v>VERDADERO</v>
      </c>
    </row>
    <row r="1494">
      <c r="A1494" s="2">
        <f>IFERROR(__xludf.DUMMYFUNCTION("""COMPUTED_VALUE"""),1493.0)</f>
        <v>1493</v>
      </c>
      <c r="B1494" s="2" t="str">
        <f>IFERROR(__xludf.DUMMYFUNCTION("""COMPUTED_VALUE"""),"Katrina Gabbatt")</f>
        <v>Katrina Gabbatt</v>
      </c>
      <c r="C1494" s="2" t="str">
        <f>IFERROR(__xludf.DUMMYFUNCTION("""COMPUTED_VALUE"""),"kgabbattdp@redcross.org")</f>
        <v>kgabbattdp@redcross.org</v>
      </c>
      <c r="D1494" s="4">
        <f>IFERROR(__xludf.DUMMYFUNCTION("""COMPUTED_VALUE"""),17.0)</f>
        <v>17</v>
      </c>
      <c r="E1494" s="4">
        <f>IFERROR(__xludf.DUMMYFUNCTION("""COMPUTED_VALUE"""),10.0)</f>
        <v>10</v>
      </c>
      <c r="F1494" s="4">
        <f>IFERROR(__xludf.DUMMYFUNCTION("""COMPUTED_VALUE"""),4.0)</f>
        <v>4</v>
      </c>
      <c r="G1494" s="4">
        <f>IFERROR(__xludf.DUMMYFUNCTION("""COMPUTED_VALUE"""),896.0)</f>
        <v>896</v>
      </c>
      <c r="H1494" s="5">
        <f>IFERROR(__xludf.DUMMYFUNCTION("""COMPUTED_VALUE"""),2815.96)</f>
        <v>2815.96</v>
      </c>
      <c r="I1494" s="5">
        <f>IFERROR(__xludf.DUMMYFUNCTION("""COMPUTED_VALUE"""),783.35)</f>
        <v>783.35</v>
      </c>
      <c r="J1494" s="5">
        <f>IFERROR(__xludf.DUMMYFUNCTION("""COMPUTED_VALUE"""),6521.33)</f>
        <v>6521.33</v>
      </c>
      <c r="K1494" s="5">
        <f>IFERROR(__xludf.DUMMYFUNCTION("""COMPUTED_VALUE"""),3826.22)</f>
        <v>3826.22</v>
      </c>
      <c r="L1494" s="4">
        <f>IFERROR(__xludf.DUMMYFUNCTION("""COMPUTED_VALUE"""),18.0)</f>
        <v>18</v>
      </c>
      <c r="M1494" s="4">
        <f>IFERROR(__xludf.DUMMYFUNCTION("""COMPUTED_VALUE"""),57.0)</f>
        <v>57</v>
      </c>
      <c r="N1494" s="2" t="str">
        <f>IFERROR(__xludf.DUMMYFUNCTION("""COMPUTED_VALUE"""),"FALSO")</f>
        <v>FALSO</v>
      </c>
    </row>
    <row r="1495">
      <c r="A1495" s="2">
        <f>IFERROR(__xludf.DUMMYFUNCTION("""COMPUTED_VALUE"""),1494.0)</f>
        <v>1494</v>
      </c>
      <c r="B1495" s="2" t="str">
        <f>IFERROR(__xludf.DUMMYFUNCTION("""COMPUTED_VALUE"""),"Tiffanie Chalke")</f>
        <v>Tiffanie Chalke</v>
      </c>
      <c r="C1495" s="2" t="str">
        <f>IFERROR(__xludf.DUMMYFUNCTION("""COMPUTED_VALUE"""),"tchalkedq@hubpages.com")</f>
        <v>tchalkedq@hubpages.com</v>
      </c>
      <c r="D1495" s="4">
        <f>IFERROR(__xludf.DUMMYFUNCTION("""COMPUTED_VALUE"""),113.0)</f>
        <v>113</v>
      </c>
      <c r="E1495" s="4">
        <f>IFERROR(__xludf.DUMMYFUNCTION("""COMPUTED_VALUE"""),9.0)</f>
        <v>9</v>
      </c>
      <c r="F1495" s="4">
        <f>IFERROR(__xludf.DUMMYFUNCTION("""COMPUTED_VALUE"""),10.0)</f>
        <v>10</v>
      </c>
      <c r="G1495" s="4">
        <f>IFERROR(__xludf.DUMMYFUNCTION("""COMPUTED_VALUE"""),1395.0)</f>
        <v>1395</v>
      </c>
      <c r="H1495" s="5">
        <f>IFERROR(__xludf.DUMMYFUNCTION("""COMPUTED_VALUE"""),7838.16)</f>
        <v>7838.16</v>
      </c>
      <c r="I1495" s="5">
        <f>IFERROR(__xludf.DUMMYFUNCTION("""COMPUTED_VALUE"""),501.4)</f>
        <v>501.4</v>
      </c>
      <c r="J1495" s="5">
        <f>IFERROR(__xludf.DUMMYFUNCTION("""COMPUTED_VALUE"""),2877.72)</f>
        <v>2877.72</v>
      </c>
      <c r="K1495" s="5">
        <f>IFERROR(__xludf.DUMMYFUNCTION("""COMPUTED_VALUE"""),3112.92)</f>
        <v>3112.92</v>
      </c>
      <c r="L1495" s="4">
        <f>IFERROR(__xludf.DUMMYFUNCTION("""COMPUTED_VALUE"""),5.0)</f>
        <v>5</v>
      </c>
      <c r="M1495" s="4">
        <f>IFERROR(__xludf.DUMMYFUNCTION("""COMPUTED_VALUE"""),66.0)</f>
        <v>66</v>
      </c>
      <c r="N1495" s="2" t="str">
        <f>IFERROR(__xludf.DUMMYFUNCTION("""COMPUTED_VALUE"""),"VERDADERO")</f>
        <v>VERDADERO</v>
      </c>
    </row>
    <row r="1496">
      <c r="A1496" s="2">
        <f>IFERROR(__xludf.DUMMYFUNCTION("""COMPUTED_VALUE"""),1495.0)</f>
        <v>1495</v>
      </c>
      <c r="B1496" s="2" t="str">
        <f>IFERROR(__xludf.DUMMYFUNCTION("""COMPUTED_VALUE"""),"Cristian Spybey")</f>
        <v>Cristian Spybey</v>
      </c>
      <c r="C1496" s="2" t="str">
        <f>IFERROR(__xludf.DUMMYFUNCTION("""COMPUTED_VALUE"""),"cspybeydr@moonfruit.com")</f>
        <v>cspybeydr@moonfruit.com</v>
      </c>
      <c r="D1496" s="4">
        <f>IFERROR(__xludf.DUMMYFUNCTION("""COMPUTED_VALUE"""),108.0)</f>
        <v>108</v>
      </c>
      <c r="E1496" s="4">
        <f>IFERROR(__xludf.DUMMYFUNCTION("""COMPUTED_VALUE"""),81.0)</f>
        <v>81</v>
      </c>
      <c r="F1496" s="4">
        <f>IFERROR(__xludf.DUMMYFUNCTION("""COMPUTED_VALUE"""),2.0)</f>
        <v>2</v>
      </c>
      <c r="G1496" s="4">
        <f>IFERROR(__xludf.DUMMYFUNCTION("""COMPUTED_VALUE"""),598.0)</f>
        <v>598</v>
      </c>
      <c r="H1496" s="5">
        <f>IFERROR(__xludf.DUMMYFUNCTION("""COMPUTED_VALUE"""),3318.44)</f>
        <v>3318.44</v>
      </c>
      <c r="I1496" s="5">
        <f>IFERROR(__xludf.DUMMYFUNCTION("""COMPUTED_VALUE"""),6571.75)</f>
        <v>6571.75</v>
      </c>
      <c r="J1496" s="5">
        <f>IFERROR(__xludf.DUMMYFUNCTION("""COMPUTED_VALUE"""),771.06)</f>
        <v>771.06</v>
      </c>
      <c r="K1496" s="5">
        <f>IFERROR(__xludf.DUMMYFUNCTION("""COMPUTED_VALUE"""),1544.1)</f>
        <v>1544.1</v>
      </c>
      <c r="L1496" s="4">
        <f>IFERROR(__xludf.DUMMYFUNCTION("""COMPUTED_VALUE"""),13.0)</f>
        <v>13</v>
      </c>
      <c r="M1496" s="4">
        <f>IFERROR(__xludf.DUMMYFUNCTION("""COMPUTED_VALUE"""),64.0)</f>
        <v>64</v>
      </c>
      <c r="N1496" s="2" t="str">
        <f>IFERROR(__xludf.DUMMYFUNCTION("""COMPUTED_VALUE"""),"VERDADERO")</f>
        <v>VERDADERO</v>
      </c>
    </row>
    <row r="1497">
      <c r="A1497" s="2">
        <f>IFERROR(__xludf.DUMMYFUNCTION("""COMPUTED_VALUE"""),1496.0)</f>
        <v>1496</v>
      </c>
      <c r="B1497" s="2" t="str">
        <f>IFERROR(__xludf.DUMMYFUNCTION("""COMPUTED_VALUE"""),"Kahlil Ghione")</f>
        <v>Kahlil Ghione</v>
      </c>
      <c r="C1497" s="2" t="str">
        <f>IFERROR(__xludf.DUMMYFUNCTION("""COMPUTED_VALUE"""),"kghioneds@bigcartel.com")</f>
        <v>kghioneds@bigcartel.com</v>
      </c>
      <c r="D1497" s="4">
        <f>IFERROR(__xludf.DUMMYFUNCTION("""COMPUTED_VALUE"""),76.0)</f>
        <v>76</v>
      </c>
      <c r="E1497" s="4">
        <f>IFERROR(__xludf.DUMMYFUNCTION("""COMPUTED_VALUE"""),56.0)</f>
        <v>56</v>
      </c>
      <c r="F1497" s="4">
        <f>IFERROR(__xludf.DUMMYFUNCTION("""COMPUTED_VALUE"""),6.0)</f>
        <v>6</v>
      </c>
      <c r="G1497" s="4">
        <f>IFERROR(__xludf.DUMMYFUNCTION("""COMPUTED_VALUE"""),1348.0)</f>
        <v>1348</v>
      </c>
      <c r="H1497" s="5">
        <f>IFERROR(__xludf.DUMMYFUNCTION("""COMPUTED_VALUE"""),5762.99)</f>
        <v>5762.99</v>
      </c>
      <c r="I1497" s="5">
        <f>IFERROR(__xludf.DUMMYFUNCTION("""COMPUTED_VALUE"""),7838.2)</f>
        <v>7838.2</v>
      </c>
      <c r="J1497" s="5">
        <f>IFERROR(__xludf.DUMMYFUNCTION("""COMPUTED_VALUE"""),1646.24)</f>
        <v>1646.24</v>
      </c>
      <c r="K1497" s="5">
        <f>IFERROR(__xludf.DUMMYFUNCTION("""COMPUTED_VALUE"""),3387.67)</f>
        <v>3387.67</v>
      </c>
      <c r="L1497" s="4">
        <f>IFERROR(__xludf.DUMMYFUNCTION("""COMPUTED_VALUE"""),13.0)</f>
        <v>13</v>
      </c>
      <c r="M1497" s="4">
        <f>IFERROR(__xludf.DUMMYFUNCTION("""COMPUTED_VALUE"""),40.0)</f>
        <v>40</v>
      </c>
      <c r="N1497" s="2" t="str">
        <f>IFERROR(__xludf.DUMMYFUNCTION("""COMPUTED_VALUE"""),"VERDADERO")</f>
        <v>VERDADERO</v>
      </c>
    </row>
    <row r="1498">
      <c r="A1498" s="2">
        <f>IFERROR(__xludf.DUMMYFUNCTION("""COMPUTED_VALUE"""),1497.0)</f>
        <v>1497</v>
      </c>
      <c r="B1498" s="2" t="str">
        <f>IFERROR(__xludf.DUMMYFUNCTION("""COMPUTED_VALUE"""),"Arnoldo Peeters")</f>
        <v>Arnoldo Peeters</v>
      </c>
      <c r="C1498" s="2" t="str">
        <f>IFERROR(__xludf.DUMMYFUNCTION("""COMPUTED_VALUE"""),"apeetersdt@plala.or.jp")</f>
        <v>apeetersdt@plala.or.jp</v>
      </c>
      <c r="D1498" s="4">
        <f>IFERROR(__xludf.DUMMYFUNCTION("""COMPUTED_VALUE"""),108.0)</f>
        <v>108</v>
      </c>
      <c r="E1498" s="4">
        <f>IFERROR(__xludf.DUMMYFUNCTION("""COMPUTED_VALUE"""),29.0)</f>
        <v>29</v>
      </c>
      <c r="F1498" s="4">
        <f>IFERROR(__xludf.DUMMYFUNCTION("""COMPUTED_VALUE"""),11.0)</f>
        <v>11</v>
      </c>
      <c r="G1498" s="4">
        <f>IFERROR(__xludf.DUMMYFUNCTION("""COMPUTED_VALUE"""),1029.0)</f>
        <v>1029</v>
      </c>
      <c r="H1498" s="5">
        <f>IFERROR(__xludf.DUMMYFUNCTION("""COMPUTED_VALUE"""),9647.29)</f>
        <v>9647.29</v>
      </c>
      <c r="I1498" s="5">
        <f>IFERROR(__xludf.DUMMYFUNCTION("""COMPUTED_VALUE"""),8830.44)</f>
        <v>8830.44</v>
      </c>
      <c r="J1498" s="5">
        <f>IFERROR(__xludf.DUMMYFUNCTION("""COMPUTED_VALUE"""),681.36)</f>
        <v>681.36</v>
      </c>
      <c r="K1498" s="5">
        <f>IFERROR(__xludf.DUMMYFUNCTION("""COMPUTED_VALUE"""),2108.13)</f>
        <v>2108.13</v>
      </c>
      <c r="L1498" s="4">
        <f>IFERROR(__xludf.DUMMYFUNCTION("""COMPUTED_VALUE"""),4.0)</f>
        <v>4</v>
      </c>
      <c r="M1498" s="4">
        <f>IFERROR(__xludf.DUMMYFUNCTION("""COMPUTED_VALUE"""),74.0)</f>
        <v>74</v>
      </c>
      <c r="N1498" s="2" t="str">
        <f>IFERROR(__xludf.DUMMYFUNCTION("""COMPUTED_VALUE"""),"VERDADERO")</f>
        <v>VERDADERO</v>
      </c>
    </row>
    <row r="1499">
      <c r="A1499" s="2">
        <f>IFERROR(__xludf.DUMMYFUNCTION("""COMPUTED_VALUE"""),1498.0)</f>
        <v>1498</v>
      </c>
      <c r="B1499" s="2" t="str">
        <f>IFERROR(__xludf.DUMMYFUNCTION("""COMPUTED_VALUE"""),"Denys Bermingham")</f>
        <v>Denys Bermingham</v>
      </c>
      <c r="C1499" s="2" t="str">
        <f>IFERROR(__xludf.DUMMYFUNCTION("""COMPUTED_VALUE"""),"dberminghamdu@wikispaces.com")</f>
        <v>dberminghamdu@wikispaces.com</v>
      </c>
      <c r="D1499" s="4">
        <f>IFERROR(__xludf.DUMMYFUNCTION("""COMPUTED_VALUE"""),130.0)</f>
        <v>130</v>
      </c>
      <c r="E1499" s="4">
        <f>IFERROR(__xludf.DUMMYFUNCTION("""COMPUTED_VALUE"""),107.0)</f>
        <v>107</v>
      </c>
      <c r="F1499" s="4">
        <f>IFERROR(__xludf.DUMMYFUNCTION("""COMPUTED_VALUE"""),5.0)</f>
        <v>5</v>
      </c>
      <c r="G1499" s="4">
        <f>IFERROR(__xludf.DUMMYFUNCTION("""COMPUTED_VALUE"""),708.0)</f>
        <v>708</v>
      </c>
      <c r="H1499" s="5">
        <f>IFERROR(__xludf.DUMMYFUNCTION("""COMPUTED_VALUE"""),1884.89)</f>
        <v>1884.89</v>
      </c>
      <c r="I1499" s="5">
        <f>IFERROR(__xludf.DUMMYFUNCTION("""COMPUTED_VALUE"""),6153.57)</f>
        <v>6153.57</v>
      </c>
      <c r="J1499" s="5">
        <f>IFERROR(__xludf.DUMMYFUNCTION("""COMPUTED_VALUE"""),594.38)</f>
        <v>594.38</v>
      </c>
      <c r="K1499" s="5">
        <f>IFERROR(__xludf.DUMMYFUNCTION("""COMPUTED_VALUE"""),8942.94)</f>
        <v>8942.94</v>
      </c>
      <c r="L1499" s="4">
        <f>IFERROR(__xludf.DUMMYFUNCTION("""COMPUTED_VALUE"""),5.0)</f>
        <v>5</v>
      </c>
      <c r="M1499" s="4">
        <f>IFERROR(__xludf.DUMMYFUNCTION("""COMPUTED_VALUE"""),56.0)</f>
        <v>56</v>
      </c>
      <c r="N1499" s="2" t="str">
        <f>IFERROR(__xludf.DUMMYFUNCTION("""COMPUTED_VALUE"""),"VERDADERO")</f>
        <v>VERDADERO</v>
      </c>
    </row>
    <row r="1500">
      <c r="A1500" s="2">
        <f>IFERROR(__xludf.DUMMYFUNCTION("""COMPUTED_VALUE"""),1499.0)</f>
        <v>1499</v>
      </c>
      <c r="B1500" s="2" t="str">
        <f>IFERROR(__xludf.DUMMYFUNCTION("""COMPUTED_VALUE"""),"Patrizio Forder")</f>
        <v>Patrizio Forder</v>
      </c>
      <c r="C1500" s="2" t="str">
        <f>IFERROR(__xludf.DUMMYFUNCTION("""COMPUTED_VALUE"""),"pforderdv@tmall.com")</f>
        <v>pforderdv@tmall.com</v>
      </c>
      <c r="D1500" s="4">
        <f>IFERROR(__xludf.DUMMYFUNCTION("""COMPUTED_VALUE"""),29.0)</f>
        <v>29</v>
      </c>
      <c r="E1500" s="4">
        <f>IFERROR(__xludf.DUMMYFUNCTION("""COMPUTED_VALUE"""),64.0)</f>
        <v>64</v>
      </c>
      <c r="F1500" s="4">
        <f>IFERROR(__xludf.DUMMYFUNCTION("""COMPUTED_VALUE"""),4.0)</f>
        <v>4</v>
      </c>
      <c r="G1500" s="4">
        <f>IFERROR(__xludf.DUMMYFUNCTION("""COMPUTED_VALUE"""),704.0)</f>
        <v>704</v>
      </c>
      <c r="H1500" s="5">
        <f>IFERROR(__xludf.DUMMYFUNCTION("""COMPUTED_VALUE"""),6375.9)</f>
        <v>6375.9</v>
      </c>
      <c r="I1500" s="5">
        <f>IFERROR(__xludf.DUMMYFUNCTION("""COMPUTED_VALUE"""),6330.07)</f>
        <v>6330.07</v>
      </c>
      <c r="J1500" s="5">
        <f>IFERROR(__xludf.DUMMYFUNCTION("""COMPUTED_VALUE"""),7859.57)</f>
        <v>7859.57</v>
      </c>
      <c r="K1500" s="5">
        <f>IFERROR(__xludf.DUMMYFUNCTION("""COMPUTED_VALUE"""),3992.37)</f>
        <v>3992.37</v>
      </c>
      <c r="L1500" s="4">
        <f>IFERROR(__xludf.DUMMYFUNCTION("""COMPUTED_VALUE"""),14.0)</f>
        <v>14</v>
      </c>
      <c r="M1500" s="4">
        <f>IFERROR(__xludf.DUMMYFUNCTION("""COMPUTED_VALUE"""),100.0)</f>
        <v>100</v>
      </c>
      <c r="N1500" s="2" t="str">
        <f>IFERROR(__xludf.DUMMYFUNCTION("""COMPUTED_VALUE"""),"VERDADERO")</f>
        <v>VERDADERO</v>
      </c>
    </row>
    <row r="1501">
      <c r="A1501" s="2">
        <f>IFERROR(__xludf.DUMMYFUNCTION("""COMPUTED_VALUE"""),1500.0)</f>
        <v>1500</v>
      </c>
      <c r="B1501" s="2" t="str">
        <f>IFERROR(__xludf.DUMMYFUNCTION("""COMPUTED_VALUE"""),"David Lindenstrauss")</f>
        <v>David Lindenstrauss</v>
      </c>
      <c r="C1501" s="2" t="str">
        <f>IFERROR(__xludf.DUMMYFUNCTION("""COMPUTED_VALUE"""),"dlindenstraussdw@answers.com")</f>
        <v>dlindenstraussdw@answers.com</v>
      </c>
      <c r="D1501" s="4">
        <f>IFERROR(__xludf.DUMMYFUNCTION("""COMPUTED_VALUE"""),29.0)</f>
        <v>29</v>
      </c>
      <c r="E1501" s="4">
        <f>IFERROR(__xludf.DUMMYFUNCTION("""COMPUTED_VALUE"""),59.0)</f>
        <v>59</v>
      </c>
      <c r="F1501" s="4">
        <f>IFERROR(__xludf.DUMMYFUNCTION("""COMPUTED_VALUE"""),8.0)</f>
        <v>8</v>
      </c>
      <c r="G1501" s="4">
        <f>IFERROR(__xludf.DUMMYFUNCTION("""COMPUTED_VALUE"""),451.0)</f>
        <v>451</v>
      </c>
      <c r="H1501" s="5">
        <f>IFERROR(__xludf.DUMMYFUNCTION("""COMPUTED_VALUE"""),8430.94)</f>
        <v>8430.94</v>
      </c>
      <c r="I1501" s="5">
        <f>IFERROR(__xludf.DUMMYFUNCTION("""COMPUTED_VALUE"""),8538.0)</f>
        <v>8538</v>
      </c>
      <c r="J1501" s="5">
        <f>IFERROR(__xludf.DUMMYFUNCTION("""COMPUTED_VALUE"""),4068.5)</f>
        <v>4068.5</v>
      </c>
      <c r="K1501" s="5">
        <f>IFERROR(__xludf.DUMMYFUNCTION("""COMPUTED_VALUE"""),4099.21)</f>
        <v>4099.21</v>
      </c>
      <c r="L1501" s="4">
        <f>IFERROR(__xludf.DUMMYFUNCTION("""COMPUTED_VALUE"""),15.0)</f>
        <v>15</v>
      </c>
      <c r="M1501" s="4">
        <f>IFERROR(__xludf.DUMMYFUNCTION("""COMPUTED_VALUE"""),63.0)</f>
        <v>63</v>
      </c>
      <c r="N1501" s="2" t="str">
        <f>IFERROR(__xludf.DUMMYFUNCTION("""COMPUTED_VALUE"""),"VERDADERO")</f>
        <v>VERDADERO</v>
      </c>
    </row>
    <row r="1502">
      <c r="A1502" s="2">
        <f>IFERROR(__xludf.DUMMYFUNCTION("""COMPUTED_VALUE"""),1501.0)</f>
        <v>1501</v>
      </c>
      <c r="B1502" s="2" t="str">
        <f>IFERROR(__xludf.DUMMYFUNCTION("""COMPUTED_VALUE"""),"Filia Yakushkin")</f>
        <v>Filia Yakushkin</v>
      </c>
      <c r="C1502" s="2" t="str">
        <f>IFERROR(__xludf.DUMMYFUNCTION("""COMPUTED_VALUE"""),"fyakushkindx@timesonline.co.uk")</f>
        <v>fyakushkindx@timesonline.co.uk</v>
      </c>
      <c r="D1502" s="4">
        <f>IFERROR(__xludf.DUMMYFUNCTION("""COMPUTED_VALUE"""),124.0)</f>
        <v>124</v>
      </c>
      <c r="E1502" s="4">
        <f>IFERROR(__xludf.DUMMYFUNCTION("""COMPUTED_VALUE"""),113.0)</f>
        <v>113</v>
      </c>
      <c r="F1502" s="4">
        <f>IFERROR(__xludf.DUMMYFUNCTION("""COMPUTED_VALUE"""),5.0)</f>
        <v>5</v>
      </c>
      <c r="G1502" s="4">
        <f>IFERROR(__xludf.DUMMYFUNCTION("""COMPUTED_VALUE"""),875.0)</f>
        <v>875</v>
      </c>
      <c r="H1502" s="5">
        <f>IFERROR(__xludf.DUMMYFUNCTION("""COMPUTED_VALUE"""),5774.83)</f>
        <v>5774.83</v>
      </c>
      <c r="I1502" s="5">
        <f>IFERROR(__xludf.DUMMYFUNCTION("""COMPUTED_VALUE"""),520.08)</f>
        <v>520.08</v>
      </c>
      <c r="J1502" s="5">
        <f>IFERROR(__xludf.DUMMYFUNCTION("""COMPUTED_VALUE"""),4563.3)</f>
        <v>4563.3</v>
      </c>
      <c r="K1502" s="5">
        <f>IFERROR(__xludf.DUMMYFUNCTION("""COMPUTED_VALUE"""),9001.75)</f>
        <v>9001.75</v>
      </c>
      <c r="L1502" s="4">
        <f>IFERROR(__xludf.DUMMYFUNCTION("""COMPUTED_VALUE"""),5.0)</f>
        <v>5</v>
      </c>
      <c r="M1502" s="4">
        <f>IFERROR(__xludf.DUMMYFUNCTION("""COMPUTED_VALUE"""),58.0)</f>
        <v>58</v>
      </c>
      <c r="N1502" s="2" t="str">
        <f>IFERROR(__xludf.DUMMYFUNCTION("""COMPUTED_VALUE"""),"VERDADERO")</f>
        <v>VERDADERO</v>
      </c>
    </row>
    <row r="1503">
      <c r="A1503" s="2">
        <f>IFERROR(__xludf.DUMMYFUNCTION("""COMPUTED_VALUE"""),1502.0)</f>
        <v>1502</v>
      </c>
      <c r="B1503" s="2" t="str">
        <f>IFERROR(__xludf.DUMMYFUNCTION("""COMPUTED_VALUE"""),"Angie Trethowan")</f>
        <v>Angie Trethowan</v>
      </c>
      <c r="C1503" s="2" t="str">
        <f>IFERROR(__xludf.DUMMYFUNCTION("""COMPUTED_VALUE"""),"atrethowandy@google.co.uk")</f>
        <v>atrethowandy@google.co.uk</v>
      </c>
      <c r="D1503" s="4">
        <f>IFERROR(__xludf.DUMMYFUNCTION("""COMPUTED_VALUE"""),66.0)</f>
        <v>66</v>
      </c>
      <c r="E1503" s="4">
        <f>IFERROR(__xludf.DUMMYFUNCTION("""COMPUTED_VALUE"""),13.0)</f>
        <v>13</v>
      </c>
      <c r="F1503" s="4">
        <f>IFERROR(__xludf.DUMMYFUNCTION("""COMPUTED_VALUE"""),6.0)</f>
        <v>6</v>
      </c>
      <c r="G1503" s="4">
        <f>IFERROR(__xludf.DUMMYFUNCTION("""COMPUTED_VALUE"""),89.0)</f>
        <v>89</v>
      </c>
      <c r="H1503" s="5">
        <f>IFERROR(__xludf.DUMMYFUNCTION("""COMPUTED_VALUE"""),8185.1)</f>
        <v>8185.1</v>
      </c>
      <c r="I1503" s="5">
        <f>IFERROR(__xludf.DUMMYFUNCTION("""COMPUTED_VALUE"""),1662.51)</f>
        <v>1662.51</v>
      </c>
      <c r="J1503" s="5">
        <f>IFERROR(__xludf.DUMMYFUNCTION("""COMPUTED_VALUE"""),3667.3)</f>
        <v>3667.3</v>
      </c>
      <c r="K1503" s="5">
        <f>IFERROR(__xludf.DUMMYFUNCTION("""COMPUTED_VALUE"""),1385.54)</f>
        <v>1385.54</v>
      </c>
      <c r="L1503" s="4">
        <f>IFERROR(__xludf.DUMMYFUNCTION("""COMPUTED_VALUE"""),2.0)</f>
        <v>2</v>
      </c>
      <c r="M1503" s="4">
        <f>IFERROR(__xludf.DUMMYFUNCTION("""COMPUTED_VALUE"""),80.0)</f>
        <v>80</v>
      </c>
      <c r="N1503" s="2" t="str">
        <f>IFERROR(__xludf.DUMMYFUNCTION("""COMPUTED_VALUE"""),"FALSO")</f>
        <v>FALSO</v>
      </c>
    </row>
    <row r="1504">
      <c r="A1504" s="2">
        <f>IFERROR(__xludf.DUMMYFUNCTION("""COMPUTED_VALUE"""),1503.0)</f>
        <v>1503</v>
      </c>
      <c r="B1504" s="2" t="str">
        <f>IFERROR(__xludf.DUMMYFUNCTION("""COMPUTED_VALUE"""),"Donny Jarred")</f>
        <v>Donny Jarred</v>
      </c>
      <c r="C1504" s="2" t="str">
        <f>IFERROR(__xludf.DUMMYFUNCTION("""COMPUTED_VALUE"""),"djarreddz@upenn.edu")</f>
        <v>djarreddz@upenn.edu</v>
      </c>
      <c r="D1504" s="4">
        <f>IFERROR(__xludf.DUMMYFUNCTION("""COMPUTED_VALUE"""),29.0)</f>
        <v>29</v>
      </c>
      <c r="E1504" s="4">
        <f>IFERROR(__xludf.DUMMYFUNCTION("""COMPUTED_VALUE"""),37.0)</f>
        <v>37</v>
      </c>
      <c r="F1504" s="4">
        <f>IFERROR(__xludf.DUMMYFUNCTION("""COMPUTED_VALUE"""),11.0)</f>
        <v>11</v>
      </c>
      <c r="G1504" s="4">
        <f>IFERROR(__xludf.DUMMYFUNCTION("""COMPUTED_VALUE"""),942.0)</f>
        <v>942</v>
      </c>
      <c r="H1504" s="5">
        <f>IFERROR(__xludf.DUMMYFUNCTION("""COMPUTED_VALUE"""),5810.28)</f>
        <v>5810.28</v>
      </c>
      <c r="I1504" s="5">
        <f>IFERROR(__xludf.DUMMYFUNCTION("""COMPUTED_VALUE"""),981.77)</f>
        <v>981.77</v>
      </c>
      <c r="J1504" s="5">
        <f>IFERROR(__xludf.DUMMYFUNCTION("""COMPUTED_VALUE"""),2747.89)</f>
        <v>2747.89</v>
      </c>
      <c r="K1504" s="5">
        <f>IFERROR(__xludf.DUMMYFUNCTION("""COMPUTED_VALUE"""),4877.43)</f>
        <v>4877.43</v>
      </c>
      <c r="L1504" s="4">
        <f>IFERROR(__xludf.DUMMYFUNCTION("""COMPUTED_VALUE"""),2.0)</f>
        <v>2</v>
      </c>
      <c r="M1504" s="4">
        <f>IFERROR(__xludf.DUMMYFUNCTION("""COMPUTED_VALUE"""),78.0)</f>
        <v>78</v>
      </c>
      <c r="N1504" s="2" t="str">
        <f>IFERROR(__xludf.DUMMYFUNCTION("""COMPUTED_VALUE"""),"VERDADERO")</f>
        <v>VERDADERO</v>
      </c>
    </row>
    <row r="1505">
      <c r="A1505" s="2">
        <f>IFERROR(__xludf.DUMMYFUNCTION("""COMPUTED_VALUE"""),1504.0)</f>
        <v>1504</v>
      </c>
      <c r="B1505" s="2" t="str">
        <f>IFERROR(__xludf.DUMMYFUNCTION("""COMPUTED_VALUE"""),"Clementina Brownlow")</f>
        <v>Clementina Brownlow</v>
      </c>
      <c r="C1505" s="2" t="str">
        <f>IFERROR(__xludf.DUMMYFUNCTION("""COMPUTED_VALUE"""),"cbrownlowe0@cnbc.com")</f>
        <v>cbrownlowe0@cnbc.com</v>
      </c>
      <c r="D1505" s="4">
        <f>IFERROR(__xludf.DUMMYFUNCTION("""COMPUTED_VALUE"""),73.0)</f>
        <v>73</v>
      </c>
      <c r="E1505" s="4">
        <f>IFERROR(__xludf.DUMMYFUNCTION("""COMPUTED_VALUE"""),81.0)</f>
        <v>81</v>
      </c>
      <c r="F1505" s="4">
        <f>IFERROR(__xludf.DUMMYFUNCTION("""COMPUTED_VALUE"""),2.0)</f>
        <v>2</v>
      </c>
      <c r="G1505" s="4">
        <f>IFERROR(__xludf.DUMMYFUNCTION("""COMPUTED_VALUE"""),717.0)</f>
        <v>717</v>
      </c>
      <c r="H1505" s="5">
        <f>IFERROR(__xludf.DUMMYFUNCTION("""COMPUTED_VALUE"""),2993.96)</f>
        <v>2993.96</v>
      </c>
      <c r="I1505" s="5">
        <f>IFERROR(__xludf.DUMMYFUNCTION("""COMPUTED_VALUE"""),9382.63)</f>
        <v>9382.63</v>
      </c>
      <c r="J1505" s="5">
        <f>IFERROR(__xludf.DUMMYFUNCTION("""COMPUTED_VALUE"""),5086.01)</f>
        <v>5086.01</v>
      </c>
      <c r="K1505" s="5">
        <f>IFERROR(__xludf.DUMMYFUNCTION("""COMPUTED_VALUE"""),4436.8)</f>
        <v>4436.8</v>
      </c>
      <c r="L1505" s="4">
        <f>IFERROR(__xludf.DUMMYFUNCTION("""COMPUTED_VALUE"""),10.0)</f>
        <v>10</v>
      </c>
      <c r="M1505" s="4">
        <f>IFERROR(__xludf.DUMMYFUNCTION("""COMPUTED_VALUE"""),29.0)</f>
        <v>29</v>
      </c>
      <c r="N1505" s="2" t="str">
        <f>IFERROR(__xludf.DUMMYFUNCTION("""COMPUTED_VALUE"""),"VERDADERO")</f>
        <v>VERDADERO</v>
      </c>
    </row>
    <row r="1506">
      <c r="A1506" s="2">
        <f>IFERROR(__xludf.DUMMYFUNCTION("""COMPUTED_VALUE"""),1505.0)</f>
        <v>1505</v>
      </c>
      <c r="B1506" s="2" t="str">
        <f>IFERROR(__xludf.DUMMYFUNCTION("""COMPUTED_VALUE"""),"Lila Travers")</f>
        <v>Lila Travers</v>
      </c>
      <c r="C1506" s="2" t="str">
        <f>IFERROR(__xludf.DUMMYFUNCTION("""COMPUTED_VALUE"""),"ltraverse1@google.ca")</f>
        <v>ltraverse1@google.ca</v>
      </c>
      <c r="D1506" s="4">
        <f>IFERROR(__xludf.DUMMYFUNCTION("""COMPUTED_VALUE"""),65.0)</f>
        <v>65</v>
      </c>
      <c r="E1506" s="4">
        <f>IFERROR(__xludf.DUMMYFUNCTION("""COMPUTED_VALUE"""),100.0)</f>
        <v>100</v>
      </c>
      <c r="F1506" s="4">
        <f>IFERROR(__xludf.DUMMYFUNCTION("""COMPUTED_VALUE"""),9.0)</f>
        <v>9</v>
      </c>
      <c r="G1506" s="4">
        <f>IFERROR(__xludf.DUMMYFUNCTION("""COMPUTED_VALUE"""),1453.0)</f>
        <v>1453</v>
      </c>
      <c r="H1506" s="5">
        <f>IFERROR(__xludf.DUMMYFUNCTION("""COMPUTED_VALUE"""),4516.02)</f>
        <v>4516.02</v>
      </c>
      <c r="I1506" s="5">
        <f>IFERROR(__xludf.DUMMYFUNCTION("""COMPUTED_VALUE"""),4357.64)</f>
        <v>4357.64</v>
      </c>
      <c r="J1506" s="5">
        <f>IFERROR(__xludf.DUMMYFUNCTION("""COMPUTED_VALUE"""),692.95)</f>
        <v>692.95</v>
      </c>
      <c r="K1506" s="5">
        <f>IFERROR(__xludf.DUMMYFUNCTION("""COMPUTED_VALUE"""),1194.18)</f>
        <v>1194.18</v>
      </c>
      <c r="L1506" s="4">
        <f>IFERROR(__xludf.DUMMYFUNCTION("""COMPUTED_VALUE"""),6.0)</f>
        <v>6</v>
      </c>
      <c r="M1506" s="4">
        <f>IFERROR(__xludf.DUMMYFUNCTION("""COMPUTED_VALUE"""),97.0)</f>
        <v>97</v>
      </c>
      <c r="N1506" s="2" t="str">
        <f>IFERROR(__xludf.DUMMYFUNCTION("""COMPUTED_VALUE"""),"FALSO")</f>
        <v>FALSO</v>
      </c>
    </row>
    <row r="1507">
      <c r="A1507" s="2">
        <f>IFERROR(__xludf.DUMMYFUNCTION("""COMPUTED_VALUE"""),1506.0)</f>
        <v>1506</v>
      </c>
      <c r="B1507" s="2" t="str">
        <f>IFERROR(__xludf.DUMMYFUNCTION("""COMPUTED_VALUE"""),"Lambert Marian")</f>
        <v>Lambert Marian</v>
      </c>
      <c r="C1507" s="2" t="str">
        <f>IFERROR(__xludf.DUMMYFUNCTION("""COMPUTED_VALUE"""),"lmariane2@ezinearticles.com")</f>
        <v>lmariane2@ezinearticles.com</v>
      </c>
      <c r="D1507" s="4">
        <f>IFERROR(__xludf.DUMMYFUNCTION("""COMPUTED_VALUE"""),153.0)</f>
        <v>153</v>
      </c>
      <c r="E1507" s="4">
        <f>IFERROR(__xludf.DUMMYFUNCTION("""COMPUTED_VALUE"""),37.0)</f>
        <v>37</v>
      </c>
      <c r="F1507" s="4">
        <f>IFERROR(__xludf.DUMMYFUNCTION("""COMPUTED_VALUE"""),5.0)</f>
        <v>5</v>
      </c>
      <c r="G1507" s="4">
        <f>IFERROR(__xludf.DUMMYFUNCTION("""COMPUTED_VALUE"""),1494.0)</f>
        <v>1494</v>
      </c>
      <c r="H1507" s="5">
        <f>IFERROR(__xludf.DUMMYFUNCTION("""COMPUTED_VALUE"""),6469.16)</f>
        <v>6469.16</v>
      </c>
      <c r="I1507" s="5">
        <f>IFERROR(__xludf.DUMMYFUNCTION("""COMPUTED_VALUE"""),3106.4)</f>
        <v>3106.4</v>
      </c>
      <c r="J1507" s="5">
        <f>IFERROR(__xludf.DUMMYFUNCTION("""COMPUTED_VALUE"""),6964.96)</f>
        <v>6964.96</v>
      </c>
      <c r="K1507" s="5">
        <f>IFERROR(__xludf.DUMMYFUNCTION("""COMPUTED_VALUE"""),2834.52)</f>
        <v>2834.52</v>
      </c>
      <c r="L1507" s="4">
        <f>IFERROR(__xludf.DUMMYFUNCTION("""COMPUTED_VALUE"""),20.0)</f>
        <v>20</v>
      </c>
      <c r="M1507" s="4">
        <f>IFERROR(__xludf.DUMMYFUNCTION("""COMPUTED_VALUE"""),88.0)</f>
        <v>88</v>
      </c>
      <c r="N1507" s="2" t="str">
        <f>IFERROR(__xludf.DUMMYFUNCTION("""COMPUTED_VALUE"""),"FALSO")</f>
        <v>FALSO</v>
      </c>
    </row>
    <row r="1508">
      <c r="A1508" s="2">
        <f>IFERROR(__xludf.DUMMYFUNCTION("""COMPUTED_VALUE"""),1507.0)</f>
        <v>1507</v>
      </c>
      <c r="B1508" s="2" t="str">
        <f>IFERROR(__xludf.DUMMYFUNCTION("""COMPUTED_VALUE"""),"Coriss Helliar")</f>
        <v>Coriss Helliar</v>
      </c>
      <c r="C1508" s="2" t="str">
        <f>IFERROR(__xludf.DUMMYFUNCTION("""COMPUTED_VALUE"""),"chelliare3@google.ca")</f>
        <v>chelliare3@google.ca</v>
      </c>
      <c r="D1508" s="4">
        <f>IFERROR(__xludf.DUMMYFUNCTION("""COMPUTED_VALUE"""),115.0)</f>
        <v>115</v>
      </c>
      <c r="E1508" s="4">
        <f>IFERROR(__xludf.DUMMYFUNCTION("""COMPUTED_VALUE"""),81.0)</f>
        <v>81</v>
      </c>
      <c r="F1508" s="4">
        <f>IFERROR(__xludf.DUMMYFUNCTION("""COMPUTED_VALUE"""),2.0)</f>
        <v>2</v>
      </c>
      <c r="G1508" s="4">
        <f>IFERROR(__xludf.DUMMYFUNCTION("""COMPUTED_VALUE"""),829.0)</f>
        <v>829</v>
      </c>
      <c r="H1508" s="5">
        <f>IFERROR(__xludf.DUMMYFUNCTION("""COMPUTED_VALUE"""),6815.28)</f>
        <v>6815.28</v>
      </c>
      <c r="I1508" s="5">
        <f>IFERROR(__xludf.DUMMYFUNCTION("""COMPUTED_VALUE"""),9691.61)</f>
        <v>9691.61</v>
      </c>
      <c r="J1508" s="5">
        <f>IFERROR(__xludf.DUMMYFUNCTION("""COMPUTED_VALUE"""),1248.88)</f>
        <v>1248.88</v>
      </c>
      <c r="K1508" s="5">
        <f>IFERROR(__xludf.DUMMYFUNCTION("""COMPUTED_VALUE"""),9814.04)</f>
        <v>9814.04</v>
      </c>
      <c r="L1508" s="4">
        <f>IFERROR(__xludf.DUMMYFUNCTION("""COMPUTED_VALUE"""),6.0)</f>
        <v>6</v>
      </c>
      <c r="M1508" s="4">
        <f>IFERROR(__xludf.DUMMYFUNCTION("""COMPUTED_VALUE"""),42.0)</f>
        <v>42</v>
      </c>
      <c r="N1508" s="2" t="str">
        <f>IFERROR(__xludf.DUMMYFUNCTION("""COMPUTED_VALUE"""),"VERDADERO")</f>
        <v>VERDADERO</v>
      </c>
    </row>
    <row r="1509">
      <c r="A1509" s="2">
        <f>IFERROR(__xludf.DUMMYFUNCTION("""COMPUTED_VALUE"""),1508.0)</f>
        <v>1508</v>
      </c>
      <c r="B1509" s="2" t="str">
        <f>IFERROR(__xludf.DUMMYFUNCTION("""COMPUTED_VALUE"""),"Leonore Brockest")</f>
        <v>Leonore Brockest</v>
      </c>
      <c r="C1509" s="2" t="str">
        <f>IFERROR(__xludf.DUMMYFUNCTION("""COMPUTED_VALUE"""),"lbrockeste4@dedecms.com")</f>
        <v>lbrockeste4@dedecms.com</v>
      </c>
      <c r="D1509" s="4">
        <f>IFERROR(__xludf.DUMMYFUNCTION("""COMPUTED_VALUE"""),29.0)</f>
        <v>29</v>
      </c>
      <c r="E1509" s="4">
        <f>IFERROR(__xludf.DUMMYFUNCTION("""COMPUTED_VALUE"""),10.0)</f>
        <v>10</v>
      </c>
      <c r="F1509" s="4">
        <f>IFERROR(__xludf.DUMMYFUNCTION("""COMPUTED_VALUE"""),4.0)</f>
        <v>4</v>
      </c>
      <c r="G1509" s="4">
        <f>IFERROR(__xludf.DUMMYFUNCTION("""COMPUTED_VALUE"""),528.0)</f>
        <v>528</v>
      </c>
      <c r="H1509" s="5">
        <f>IFERROR(__xludf.DUMMYFUNCTION("""COMPUTED_VALUE"""),5012.34)</f>
        <v>5012.34</v>
      </c>
      <c r="I1509" s="5">
        <f>IFERROR(__xludf.DUMMYFUNCTION("""COMPUTED_VALUE"""),1328.89)</f>
        <v>1328.89</v>
      </c>
      <c r="J1509" s="5">
        <f>IFERROR(__xludf.DUMMYFUNCTION("""COMPUTED_VALUE"""),6080.61)</f>
        <v>6080.61</v>
      </c>
      <c r="K1509" s="5">
        <f>IFERROR(__xludf.DUMMYFUNCTION("""COMPUTED_VALUE"""),9289.21)</f>
        <v>9289.21</v>
      </c>
      <c r="L1509" s="4">
        <f>IFERROR(__xludf.DUMMYFUNCTION("""COMPUTED_VALUE"""),16.0)</f>
        <v>16</v>
      </c>
      <c r="M1509" s="4">
        <f>IFERROR(__xludf.DUMMYFUNCTION("""COMPUTED_VALUE"""),85.0)</f>
        <v>85</v>
      </c>
      <c r="N1509" s="2" t="str">
        <f>IFERROR(__xludf.DUMMYFUNCTION("""COMPUTED_VALUE"""),"VERDADERO")</f>
        <v>VERDADERO</v>
      </c>
    </row>
    <row r="1510">
      <c r="A1510" s="2">
        <f>IFERROR(__xludf.DUMMYFUNCTION("""COMPUTED_VALUE"""),1509.0)</f>
        <v>1509</v>
      </c>
      <c r="B1510" s="2" t="str">
        <f>IFERROR(__xludf.DUMMYFUNCTION("""COMPUTED_VALUE"""),"Trefor Tamblyn")</f>
        <v>Trefor Tamblyn</v>
      </c>
      <c r="C1510" s="2" t="str">
        <f>IFERROR(__xludf.DUMMYFUNCTION("""COMPUTED_VALUE"""),"ttamblyne5@people.com.cn")</f>
        <v>ttamblyne5@people.com.cn</v>
      </c>
      <c r="D1510" s="4">
        <f>IFERROR(__xludf.DUMMYFUNCTION("""COMPUTED_VALUE"""),153.0)</f>
        <v>153</v>
      </c>
      <c r="E1510" s="4">
        <f>IFERROR(__xludf.DUMMYFUNCTION("""COMPUTED_VALUE"""),91.0)</f>
        <v>91</v>
      </c>
      <c r="F1510" s="4">
        <f>IFERROR(__xludf.DUMMYFUNCTION("""COMPUTED_VALUE"""),6.0)</f>
        <v>6</v>
      </c>
      <c r="G1510" s="4">
        <f>IFERROR(__xludf.DUMMYFUNCTION("""COMPUTED_VALUE"""),277.0)</f>
        <v>277</v>
      </c>
      <c r="H1510" s="5">
        <f>IFERROR(__xludf.DUMMYFUNCTION("""COMPUTED_VALUE"""),5496.24)</f>
        <v>5496.24</v>
      </c>
      <c r="I1510" s="5">
        <f>IFERROR(__xludf.DUMMYFUNCTION("""COMPUTED_VALUE"""),8553.47)</f>
        <v>8553.47</v>
      </c>
      <c r="J1510" s="5">
        <f>IFERROR(__xludf.DUMMYFUNCTION("""COMPUTED_VALUE"""),168.39)</f>
        <v>168.39</v>
      </c>
      <c r="K1510" s="5">
        <f>IFERROR(__xludf.DUMMYFUNCTION("""COMPUTED_VALUE"""),6627.01)</f>
        <v>6627.01</v>
      </c>
      <c r="L1510" s="4">
        <f>IFERROR(__xludf.DUMMYFUNCTION("""COMPUTED_VALUE"""),5.0)</f>
        <v>5</v>
      </c>
      <c r="M1510" s="4">
        <f>IFERROR(__xludf.DUMMYFUNCTION("""COMPUTED_VALUE"""),77.0)</f>
        <v>77</v>
      </c>
      <c r="N1510" s="2" t="str">
        <f>IFERROR(__xludf.DUMMYFUNCTION("""COMPUTED_VALUE"""),"VERDADERO")</f>
        <v>VERDADERO</v>
      </c>
    </row>
    <row r="1511">
      <c r="A1511" s="2">
        <f>IFERROR(__xludf.DUMMYFUNCTION("""COMPUTED_VALUE"""),1510.0)</f>
        <v>1510</v>
      </c>
      <c r="B1511" s="2" t="str">
        <f>IFERROR(__xludf.DUMMYFUNCTION("""COMPUTED_VALUE"""),"Gwynne Synnot")</f>
        <v>Gwynne Synnot</v>
      </c>
      <c r="C1511" s="2" t="str">
        <f>IFERROR(__xludf.DUMMYFUNCTION("""COMPUTED_VALUE"""),"gsynnote6@europa.eu")</f>
        <v>gsynnote6@europa.eu</v>
      </c>
      <c r="D1511" s="4">
        <f>IFERROR(__xludf.DUMMYFUNCTION("""COMPUTED_VALUE"""),113.0)</f>
        <v>113</v>
      </c>
      <c r="E1511" s="4">
        <f>IFERROR(__xludf.DUMMYFUNCTION("""COMPUTED_VALUE"""),2.0)</f>
        <v>2</v>
      </c>
      <c r="F1511" s="4">
        <f>IFERROR(__xludf.DUMMYFUNCTION("""COMPUTED_VALUE"""),11.0)</f>
        <v>11</v>
      </c>
      <c r="G1511" s="4">
        <f>IFERROR(__xludf.DUMMYFUNCTION("""COMPUTED_VALUE"""),35.0)</f>
        <v>35</v>
      </c>
      <c r="H1511" s="5">
        <f>IFERROR(__xludf.DUMMYFUNCTION("""COMPUTED_VALUE"""),1974.42)</f>
        <v>1974.42</v>
      </c>
      <c r="I1511" s="5">
        <f>IFERROR(__xludf.DUMMYFUNCTION("""COMPUTED_VALUE"""),3753.97)</f>
        <v>3753.97</v>
      </c>
      <c r="J1511" s="5">
        <f>IFERROR(__xludf.DUMMYFUNCTION("""COMPUTED_VALUE"""),555.51)</f>
        <v>555.51</v>
      </c>
      <c r="K1511" s="5">
        <f>IFERROR(__xludf.DUMMYFUNCTION("""COMPUTED_VALUE"""),7298.12)</f>
        <v>7298.12</v>
      </c>
      <c r="L1511" s="4">
        <f>IFERROR(__xludf.DUMMYFUNCTION("""COMPUTED_VALUE"""),13.0)</f>
        <v>13</v>
      </c>
      <c r="M1511" s="4">
        <f>IFERROR(__xludf.DUMMYFUNCTION("""COMPUTED_VALUE"""),34.0)</f>
        <v>34</v>
      </c>
      <c r="N1511" s="2" t="str">
        <f>IFERROR(__xludf.DUMMYFUNCTION("""COMPUTED_VALUE"""),"VERDADERO")</f>
        <v>VERDADERO</v>
      </c>
    </row>
    <row r="1512">
      <c r="A1512" s="2">
        <f>IFERROR(__xludf.DUMMYFUNCTION("""COMPUTED_VALUE"""),1511.0)</f>
        <v>1511</v>
      </c>
      <c r="B1512" s="2" t="str">
        <f>IFERROR(__xludf.DUMMYFUNCTION("""COMPUTED_VALUE"""),"Olimpia Ahlf")</f>
        <v>Olimpia Ahlf</v>
      </c>
      <c r="C1512" s="2" t="str">
        <f>IFERROR(__xludf.DUMMYFUNCTION("""COMPUTED_VALUE"""),"oahlfe7@ca.gov")</f>
        <v>oahlfe7@ca.gov</v>
      </c>
      <c r="D1512" s="4">
        <f>IFERROR(__xludf.DUMMYFUNCTION("""COMPUTED_VALUE"""),37.0)</f>
        <v>37</v>
      </c>
      <c r="E1512" s="4">
        <f>IFERROR(__xludf.DUMMYFUNCTION("""COMPUTED_VALUE"""),21.0)</f>
        <v>21</v>
      </c>
      <c r="F1512" s="4">
        <f>IFERROR(__xludf.DUMMYFUNCTION("""COMPUTED_VALUE"""),12.0)</f>
        <v>12</v>
      </c>
      <c r="G1512" s="4">
        <f>IFERROR(__xludf.DUMMYFUNCTION("""COMPUTED_VALUE"""),1437.0)</f>
        <v>1437</v>
      </c>
      <c r="H1512" s="5">
        <f>IFERROR(__xludf.DUMMYFUNCTION("""COMPUTED_VALUE"""),8058.47)</f>
        <v>8058.47</v>
      </c>
      <c r="I1512" s="5">
        <f>IFERROR(__xludf.DUMMYFUNCTION("""COMPUTED_VALUE"""),8613.53)</f>
        <v>8613.53</v>
      </c>
      <c r="J1512" s="5">
        <f>IFERROR(__xludf.DUMMYFUNCTION("""COMPUTED_VALUE"""),8771.43)</f>
        <v>8771.43</v>
      </c>
      <c r="K1512" s="5">
        <f>IFERROR(__xludf.DUMMYFUNCTION("""COMPUTED_VALUE"""),9586.35)</f>
        <v>9586.35</v>
      </c>
      <c r="L1512" s="4">
        <f>IFERROR(__xludf.DUMMYFUNCTION("""COMPUTED_VALUE"""),19.0)</f>
        <v>19</v>
      </c>
      <c r="M1512" s="4">
        <f>IFERROR(__xludf.DUMMYFUNCTION("""COMPUTED_VALUE"""),94.0)</f>
        <v>94</v>
      </c>
      <c r="N1512" s="2" t="str">
        <f>IFERROR(__xludf.DUMMYFUNCTION("""COMPUTED_VALUE"""),"FALSO")</f>
        <v>FALSO</v>
      </c>
    </row>
    <row r="1513">
      <c r="A1513" s="2">
        <f>IFERROR(__xludf.DUMMYFUNCTION("""COMPUTED_VALUE"""),1512.0)</f>
        <v>1512</v>
      </c>
      <c r="B1513" s="2" t="str">
        <f>IFERROR(__xludf.DUMMYFUNCTION("""COMPUTED_VALUE"""),"Horatius Sleight")</f>
        <v>Horatius Sleight</v>
      </c>
      <c r="C1513" s="2" t="str">
        <f>IFERROR(__xludf.DUMMYFUNCTION("""COMPUTED_VALUE"""),"hsleighte8@scribd.com")</f>
        <v>hsleighte8@scribd.com</v>
      </c>
      <c r="D1513" s="4">
        <f>IFERROR(__xludf.DUMMYFUNCTION("""COMPUTED_VALUE"""),30.0)</f>
        <v>30</v>
      </c>
      <c r="E1513" s="4">
        <f>IFERROR(__xludf.DUMMYFUNCTION("""COMPUTED_VALUE"""),5.0)</f>
        <v>5</v>
      </c>
      <c r="F1513" s="4">
        <f>IFERROR(__xludf.DUMMYFUNCTION("""COMPUTED_VALUE"""),7.0)</f>
        <v>7</v>
      </c>
      <c r="G1513" s="4">
        <f>IFERROR(__xludf.DUMMYFUNCTION("""COMPUTED_VALUE"""),695.0)</f>
        <v>695</v>
      </c>
      <c r="H1513" s="5">
        <f>IFERROR(__xludf.DUMMYFUNCTION("""COMPUTED_VALUE"""),7788.69)</f>
        <v>7788.69</v>
      </c>
      <c r="I1513" s="5">
        <f>IFERROR(__xludf.DUMMYFUNCTION("""COMPUTED_VALUE"""),5075.29)</f>
        <v>5075.29</v>
      </c>
      <c r="J1513" s="5">
        <f>IFERROR(__xludf.DUMMYFUNCTION("""COMPUTED_VALUE"""),5547.57)</f>
        <v>5547.57</v>
      </c>
      <c r="K1513" s="5">
        <f>IFERROR(__xludf.DUMMYFUNCTION("""COMPUTED_VALUE"""),9619.93)</f>
        <v>9619.93</v>
      </c>
      <c r="L1513" s="4">
        <f>IFERROR(__xludf.DUMMYFUNCTION("""COMPUTED_VALUE"""),6.0)</f>
        <v>6</v>
      </c>
      <c r="M1513" s="4">
        <f>IFERROR(__xludf.DUMMYFUNCTION("""COMPUTED_VALUE"""),45.0)</f>
        <v>45</v>
      </c>
      <c r="N1513" s="2" t="str">
        <f>IFERROR(__xludf.DUMMYFUNCTION("""COMPUTED_VALUE"""),"FALSO")</f>
        <v>FALSO</v>
      </c>
    </row>
    <row r="1514">
      <c r="A1514" s="2">
        <f>IFERROR(__xludf.DUMMYFUNCTION("""COMPUTED_VALUE"""),1513.0)</f>
        <v>1513</v>
      </c>
      <c r="B1514" s="2" t="str">
        <f>IFERROR(__xludf.DUMMYFUNCTION("""COMPUTED_VALUE"""),"Quinton Kindle")</f>
        <v>Quinton Kindle</v>
      </c>
      <c r="C1514" s="2" t="str">
        <f>IFERROR(__xludf.DUMMYFUNCTION("""COMPUTED_VALUE"""),"qkindlee9@dot.gov")</f>
        <v>qkindlee9@dot.gov</v>
      </c>
      <c r="D1514" s="4">
        <f>IFERROR(__xludf.DUMMYFUNCTION("""COMPUTED_VALUE"""),55.0)</f>
        <v>55</v>
      </c>
      <c r="E1514" s="4">
        <f>IFERROR(__xludf.DUMMYFUNCTION("""COMPUTED_VALUE"""),22.0)</f>
        <v>22</v>
      </c>
      <c r="F1514" s="4">
        <f>IFERROR(__xludf.DUMMYFUNCTION("""COMPUTED_VALUE"""),5.0)</f>
        <v>5</v>
      </c>
      <c r="G1514" s="4">
        <f>IFERROR(__xludf.DUMMYFUNCTION("""COMPUTED_VALUE"""),1540.0)</f>
        <v>1540</v>
      </c>
      <c r="H1514" s="5">
        <f>IFERROR(__xludf.DUMMYFUNCTION("""COMPUTED_VALUE"""),708.53)</f>
        <v>708.53</v>
      </c>
      <c r="I1514" s="5">
        <f>IFERROR(__xludf.DUMMYFUNCTION("""COMPUTED_VALUE"""),8731.44)</f>
        <v>8731.44</v>
      </c>
      <c r="J1514" s="5">
        <f>IFERROR(__xludf.DUMMYFUNCTION("""COMPUTED_VALUE"""),5130.01)</f>
        <v>5130.01</v>
      </c>
      <c r="K1514" s="5">
        <f>IFERROR(__xludf.DUMMYFUNCTION("""COMPUTED_VALUE"""),5128.4)</f>
        <v>5128.4</v>
      </c>
      <c r="L1514" s="4">
        <f>IFERROR(__xludf.DUMMYFUNCTION("""COMPUTED_VALUE"""),14.0)</f>
        <v>14</v>
      </c>
      <c r="M1514" s="4">
        <f>IFERROR(__xludf.DUMMYFUNCTION("""COMPUTED_VALUE"""),87.0)</f>
        <v>87</v>
      </c>
      <c r="N1514" s="2" t="str">
        <f>IFERROR(__xludf.DUMMYFUNCTION("""COMPUTED_VALUE"""),"VERDADERO")</f>
        <v>VERDADERO</v>
      </c>
    </row>
    <row r="1515">
      <c r="A1515" s="2">
        <f>IFERROR(__xludf.DUMMYFUNCTION("""COMPUTED_VALUE"""),1514.0)</f>
        <v>1514</v>
      </c>
      <c r="B1515" s="2" t="str">
        <f>IFERROR(__xludf.DUMMYFUNCTION("""COMPUTED_VALUE"""),"Karalee Skuce")</f>
        <v>Karalee Skuce</v>
      </c>
      <c r="C1515" s="2" t="str">
        <f>IFERROR(__xludf.DUMMYFUNCTION("""COMPUTED_VALUE"""),"kskuceea@mediafire.com")</f>
        <v>kskuceea@mediafire.com</v>
      </c>
      <c r="D1515" s="4">
        <f>IFERROR(__xludf.DUMMYFUNCTION("""COMPUTED_VALUE"""),65.0)</f>
        <v>65</v>
      </c>
      <c r="E1515" s="4">
        <f>IFERROR(__xludf.DUMMYFUNCTION("""COMPUTED_VALUE"""),4.0)</f>
        <v>4</v>
      </c>
      <c r="F1515" s="4">
        <f>IFERROR(__xludf.DUMMYFUNCTION("""COMPUTED_VALUE"""),9.0)</f>
        <v>9</v>
      </c>
      <c r="G1515" s="4">
        <f>IFERROR(__xludf.DUMMYFUNCTION("""COMPUTED_VALUE"""),1137.0)</f>
        <v>1137</v>
      </c>
      <c r="H1515" s="5">
        <f>IFERROR(__xludf.DUMMYFUNCTION("""COMPUTED_VALUE"""),8775.77)</f>
        <v>8775.77</v>
      </c>
      <c r="I1515" s="5">
        <f>IFERROR(__xludf.DUMMYFUNCTION("""COMPUTED_VALUE"""),8061.38)</f>
        <v>8061.38</v>
      </c>
      <c r="J1515" s="5">
        <f>IFERROR(__xludf.DUMMYFUNCTION("""COMPUTED_VALUE"""),3817.58)</f>
        <v>3817.58</v>
      </c>
      <c r="K1515" s="5">
        <f>IFERROR(__xludf.DUMMYFUNCTION("""COMPUTED_VALUE"""),3138.0)</f>
        <v>3138</v>
      </c>
      <c r="L1515" s="4">
        <f>IFERROR(__xludf.DUMMYFUNCTION("""COMPUTED_VALUE"""),7.0)</f>
        <v>7</v>
      </c>
      <c r="M1515" s="4">
        <f>IFERROR(__xludf.DUMMYFUNCTION("""COMPUTED_VALUE"""),61.0)</f>
        <v>61</v>
      </c>
      <c r="N1515" s="2" t="str">
        <f>IFERROR(__xludf.DUMMYFUNCTION("""COMPUTED_VALUE"""),"VERDADERO")</f>
        <v>VERDADERO</v>
      </c>
    </row>
    <row r="1516">
      <c r="A1516" s="2">
        <f>IFERROR(__xludf.DUMMYFUNCTION("""COMPUTED_VALUE"""),1515.0)</f>
        <v>1515</v>
      </c>
      <c r="B1516" s="2" t="str">
        <f>IFERROR(__xludf.DUMMYFUNCTION("""COMPUTED_VALUE"""),"Montgomery Woltering")</f>
        <v>Montgomery Woltering</v>
      </c>
      <c r="C1516" s="2" t="str">
        <f>IFERROR(__xludf.DUMMYFUNCTION("""COMPUTED_VALUE"""),"mwolteringeb@weebly.com")</f>
        <v>mwolteringeb@weebly.com</v>
      </c>
      <c r="D1516" s="4">
        <f>IFERROR(__xludf.DUMMYFUNCTION("""COMPUTED_VALUE"""),119.0)</f>
        <v>119</v>
      </c>
      <c r="E1516" s="4">
        <f>IFERROR(__xludf.DUMMYFUNCTION("""COMPUTED_VALUE"""),24.0)</f>
        <v>24</v>
      </c>
      <c r="F1516" s="4">
        <f>IFERROR(__xludf.DUMMYFUNCTION("""COMPUTED_VALUE"""),3.0)</f>
        <v>3</v>
      </c>
      <c r="G1516" s="4">
        <f>IFERROR(__xludf.DUMMYFUNCTION("""COMPUTED_VALUE"""),347.0)</f>
        <v>347</v>
      </c>
      <c r="H1516" s="5">
        <f>IFERROR(__xludf.DUMMYFUNCTION("""COMPUTED_VALUE"""),7830.25)</f>
        <v>7830.25</v>
      </c>
      <c r="I1516" s="5">
        <f>IFERROR(__xludf.DUMMYFUNCTION("""COMPUTED_VALUE"""),6631.78)</f>
        <v>6631.78</v>
      </c>
      <c r="J1516" s="5">
        <f>IFERROR(__xludf.DUMMYFUNCTION("""COMPUTED_VALUE"""),8169.66)</f>
        <v>8169.66</v>
      </c>
      <c r="K1516" s="5">
        <f>IFERROR(__xludf.DUMMYFUNCTION("""COMPUTED_VALUE"""),9293.57)</f>
        <v>9293.57</v>
      </c>
      <c r="L1516" s="4">
        <f>IFERROR(__xludf.DUMMYFUNCTION("""COMPUTED_VALUE"""),11.0)</f>
        <v>11</v>
      </c>
      <c r="M1516" s="4">
        <f>IFERROR(__xludf.DUMMYFUNCTION("""COMPUTED_VALUE"""),44.0)</f>
        <v>44</v>
      </c>
      <c r="N1516" s="2" t="str">
        <f>IFERROR(__xludf.DUMMYFUNCTION("""COMPUTED_VALUE"""),"FALSO")</f>
        <v>FALSO</v>
      </c>
    </row>
    <row r="1517">
      <c r="A1517" s="2">
        <f>IFERROR(__xludf.DUMMYFUNCTION("""COMPUTED_VALUE"""),1516.0)</f>
        <v>1516</v>
      </c>
      <c r="B1517" s="2" t="str">
        <f>IFERROR(__xludf.DUMMYFUNCTION("""COMPUTED_VALUE"""),"Mavra Mountlow")</f>
        <v>Mavra Mountlow</v>
      </c>
      <c r="C1517" s="2" t="str">
        <f>IFERROR(__xludf.DUMMYFUNCTION("""COMPUTED_VALUE"""),"mmountlowec@europa.eu")</f>
        <v>mmountlowec@europa.eu</v>
      </c>
      <c r="D1517" s="4">
        <f>IFERROR(__xludf.DUMMYFUNCTION("""COMPUTED_VALUE"""),121.0)</f>
        <v>121</v>
      </c>
      <c r="E1517" s="4">
        <f>IFERROR(__xludf.DUMMYFUNCTION("""COMPUTED_VALUE"""),17.0)</f>
        <v>17</v>
      </c>
      <c r="F1517" s="4">
        <f>IFERROR(__xludf.DUMMYFUNCTION("""COMPUTED_VALUE"""),5.0)</f>
        <v>5</v>
      </c>
      <c r="G1517" s="4">
        <f>IFERROR(__xludf.DUMMYFUNCTION("""COMPUTED_VALUE"""),289.0)</f>
        <v>289</v>
      </c>
      <c r="H1517" s="5">
        <f>IFERROR(__xludf.DUMMYFUNCTION("""COMPUTED_VALUE"""),2641.58)</f>
        <v>2641.58</v>
      </c>
      <c r="I1517" s="5">
        <f>IFERROR(__xludf.DUMMYFUNCTION("""COMPUTED_VALUE"""),6510.91)</f>
        <v>6510.91</v>
      </c>
      <c r="J1517" s="5">
        <f>IFERROR(__xludf.DUMMYFUNCTION("""COMPUTED_VALUE"""),6201.81)</f>
        <v>6201.81</v>
      </c>
      <c r="K1517" s="5">
        <f>IFERROR(__xludf.DUMMYFUNCTION("""COMPUTED_VALUE"""),4209.18)</f>
        <v>4209.18</v>
      </c>
      <c r="L1517" s="4">
        <f>IFERROR(__xludf.DUMMYFUNCTION("""COMPUTED_VALUE"""),12.0)</f>
        <v>12</v>
      </c>
      <c r="M1517" s="4">
        <f>IFERROR(__xludf.DUMMYFUNCTION("""COMPUTED_VALUE"""),70.0)</f>
        <v>70</v>
      </c>
      <c r="N1517" s="2" t="str">
        <f>IFERROR(__xludf.DUMMYFUNCTION("""COMPUTED_VALUE"""),"FALSO")</f>
        <v>FALSO</v>
      </c>
    </row>
    <row r="1518">
      <c r="A1518" s="2">
        <f>IFERROR(__xludf.DUMMYFUNCTION("""COMPUTED_VALUE"""),1517.0)</f>
        <v>1517</v>
      </c>
      <c r="B1518" s="2" t="str">
        <f>IFERROR(__xludf.DUMMYFUNCTION("""COMPUTED_VALUE"""),"Boot Ayliffe")</f>
        <v>Boot Ayliffe</v>
      </c>
      <c r="C1518" s="2" t="str">
        <f>IFERROR(__xludf.DUMMYFUNCTION("""COMPUTED_VALUE"""),"bayliffeed@scribd.com")</f>
        <v>bayliffeed@scribd.com</v>
      </c>
      <c r="D1518" s="4">
        <f>IFERROR(__xludf.DUMMYFUNCTION("""COMPUTED_VALUE"""),93.0)</f>
        <v>93</v>
      </c>
      <c r="E1518" s="4">
        <f>IFERROR(__xludf.DUMMYFUNCTION("""COMPUTED_VALUE"""),120.0)</f>
        <v>120</v>
      </c>
      <c r="F1518" s="4">
        <f>IFERROR(__xludf.DUMMYFUNCTION("""COMPUTED_VALUE"""),5.0)</f>
        <v>5</v>
      </c>
      <c r="G1518" s="4">
        <f>IFERROR(__xludf.DUMMYFUNCTION("""COMPUTED_VALUE"""),863.0)</f>
        <v>863</v>
      </c>
      <c r="H1518" s="5">
        <f>IFERROR(__xludf.DUMMYFUNCTION("""COMPUTED_VALUE"""),1024.01)</f>
        <v>1024.01</v>
      </c>
      <c r="I1518" s="5">
        <f>IFERROR(__xludf.DUMMYFUNCTION("""COMPUTED_VALUE"""),2412.15)</f>
        <v>2412.15</v>
      </c>
      <c r="J1518" s="5">
        <f>IFERROR(__xludf.DUMMYFUNCTION("""COMPUTED_VALUE"""),1889.11)</f>
        <v>1889.11</v>
      </c>
      <c r="K1518" s="5">
        <f>IFERROR(__xludf.DUMMYFUNCTION("""COMPUTED_VALUE"""),8607.55)</f>
        <v>8607.55</v>
      </c>
      <c r="L1518" s="4">
        <f>IFERROR(__xludf.DUMMYFUNCTION("""COMPUTED_VALUE"""),10.0)</f>
        <v>10</v>
      </c>
      <c r="M1518" s="4">
        <f>IFERROR(__xludf.DUMMYFUNCTION("""COMPUTED_VALUE"""),2.0)</f>
        <v>2</v>
      </c>
      <c r="N1518" s="2" t="str">
        <f>IFERROR(__xludf.DUMMYFUNCTION("""COMPUTED_VALUE"""),"FALSO")</f>
        <v>FALSO</v>
      </c>
    </row>
    <row r="1519">
      <c r="A1519" s="2">
        <f>IFERROR(__xludf.DUMMYFUNCTION("""COMPUTED_VALUE"""),1518.0)</f>
        <v>1518</v>
      </c>
      <c r="B1519" s="2" t="str">
        <f>IFERROR(__xludf.DUMMYFUNCTION("""COMPUTED_VALUE"""),"Martynne Skeat")</f>
        <v>Martynne Skeat</v>
      </c>
      <c r="C1519" s="2" t="str">
        <f>IFERROR(__xludf.DUMMYFUNCTION("""COMPUTED_VALUE"""),"mskeatee@baidu.com")</f>
        <v>mskeatee@baidu.com</v>
      </c>
      <c r="D1519" s="4">
        <f>IFERROR(__xludf.DUMMYFUNCTION("""COMPUTED_VALUE"""),143.0)</f>
        <v>143</v>
      </c>
      <c r="E1519" s="4">
        <f>IFERROR(__xludf.DUMMYFUNCTION("""COMPUTED_VALUE"""),66.0)</f>
        <v>66</v>
      </c>
      <c r="F1519" s="4">
        <f>IFERROR(__xludf.DUMMYFUNCTION("""COMPUTED_VALUE"""),6.0)</f>
        <v>6</v>
      </c>
      <c r="G1519" s="4">
        <f>IFERROR(__xludf.DUMMYFUNCTION("""COMPUTED_VALUE"""),418.0)</f>
        <v>418</v>
      </c>
      <c r="H1519" s="5">
        <f>IFERROR(__xludf.DUMMYFUNCTION("""COMPUTED_VALUE"""),4828.9)</f>
        <v>4828.9</v>
      </c>
      <c r="I1519" s="5">
        <f>IFERROR(__xludf.DUMMYFUNCTION("""COMPUTED_VALUE"""),9351.32)</f>
        <v>9351.32</v>
      </c>
      <c r="J1519" s="5">
        <f>IFERROR(__xludf.DUMMYFUNCTION("""COMPUTED_VALUE"""),7702.23)</f>
        <v>7702.23</v>
      </c>
      <c r="K1519" s="5">
        <f>IFERROR(__xludf.DUMMYFUNCTION("""COMPUTED_VALUE"""),9209.68)</f>
        <v>9209.68</v>
      </c>
      <c r="L1519" s="4">
        <f>IFERROR(__xludf.DUMMYFUNCTION("""COMPUTED_VALUE"""),4.0)</f>
        <v>4</v>
      </c>
      <c r="M1519" s="4">
        <f>IFERROR(__xludf.DUMMYFUNCTION("""COMPUTED_VALUE"""),45.0)</f>
        <v>45</v>
      </c>
      <c r="N1519" s="2" t="str">
        <f>IFERROR(__xludf.DUMMYFUNCTION("""COMPUTED_VALUE"""),"VERDADERO")</f>
        <v>VERDADERO</v>
      </c>
    </row>
    <row r="1520">
      <c r="A1520" s="2">
        <f>IFERROR(__xludf.DUMMYFUNCTION("""COMPUTED_VALUE"""),1519.0)</f>
        <v>1519</v>
      </c>
      <c r="B1520" s="2" t="str">
        <f>IFERROR(__xludf.DUMMYFUNCTION("""COMPUTED_VALUE"""),"Rozalin Mingardo")</f>
        <v>Rozalin Mingardo</v>
      </c>
      <c r="C1520" s="2" t="str">
        <f>IFERROR(__xludf.DUMMYFUNCTION("""COMPUTED_VALUE"""),"rmingardoef@netscape.com")</f>
        <v>rmingardoef@netscape.com</v>
      </c>
      <c r="D1520" s="4">
        <f>IFERROR(__xludf.DUMMYFUNCTION("""COMPUTED_VALUE"""),29.0)</f>
        <v>29</v>
      </c>
      <c r="E1520" s="4">
        <f>IFERROR(__xludf.DUMMYFUNCTION("""COMPUTED_VALUE"""),81.0)</f>
        <v>81</v>
      </c>
      <c r="F1520" s="4">
        <f>IFERROR(__xludf.DUMMYFUNCTION("""COMPUTED_VALUE"""),2.0)</f>
        <v>2</v>
      </c>
      <c r="G1520" s="4">
        <f>IFERROR(__xludf.DUMMYFUNCTION("""COMPUTED_VALUE"""),652.0)</f>
        <v>652</v>
      </c>
      <c r="H1520" s="5">
        <f>IFERROR(__xludf.DUMMYFUNCTION("""COMPUTED_VALUE"""),883.92)</f>
        <v>883.92</v>
      </c>
      <c r="I1520" s="5">
        <f>IFERROR(__xludf.DUMMYFUNCTION("""COMPUTED_VALUE"""),647.01)</f>
        <v>647.01</v>
      </c>
      <c r="J1520" s="5">
        <f>IFERROR(__xludf.DUMMYFUNCTION("""COMPUTED_VALUE"""),5115.24)</f>
        <v>5115.24</v>
      </c>
      <c r="K1520" s="5">
        <f>IFERROR(__xludf.DUMMYFUNCTION("""COMPUTED_VALUE"""),836.55)</f>
        <v>836.55</v>
      </c>
      <c r="L1520" s="4">
        <f>IFERROR(__xludf.DUMMYFUNCTION("""COMPUTED_VALUE"""),1.0)</f>
        <v>1</v>
      </c>
      <c r="M1520" s="4">
        <f>IFERROR(__xludf.DUMMYFUNCTION("""COMPUTED_VALUE"""),80.0)</f>
        <v>80</v>
      </c>
      <c r="N1520" s="2" t="str">
        <f>IFERROR(__xludf.DUMMYFUNCTION("""COMPUTED_VALUE"""),"FALSO")</f>
        <v>FALSO</v>
      </c>
    </row>
    <row r="1521">
      <c r="A1521" s="2">
        <f>IFERROR(__xludf.DUMMYFUNCTION("""COMPUTED_VALUE"""),1520.0)</f>
        <v>1520</v>
      </c>
      <c r="B1521" s="2" t="str">
        <f>IFERROR(__xludf.DUMMYFUNCTION("""COMPUTED_VALUE"""),"Shea Brikner")</f>
        <v>Shea Brikner</v>
      </c>
      <c r="C1521" s="2" t="str">
        <f>IFERROR(__xludf.DUMMYFUNCTION("""COMPUTED_VALUE"""),"sbriknereg@google.com.br")</f>
        <v>sbriknereg@google.com.br</v>
      </c>
      <c r="D1521" s="4">
        <f>IFERROR(__xludf.DUMMYFUNCTION("""COMPUTED_VALUE"""),121.0)</f>
        <v>121</v>
      </c>
      <c r="E1521" s="4">
        <f>IFERROR(__xludf.DUMMYFUNCTION("""COMPUTED_VALUE"""),81.0)</f>
        <v>81</v>
      </c>
      <c r="F1521" s="4">
        <f>IFERROR(__xludf.DUMMYFUNCTION("""COMPUTED_VALUE"""),2.0)</f>
        <v>2</v>
      </c>
      <c r="G1521" s="4">
        <f>IFERROR(__xludf.DUMMYFUNCTION("""COMPUTED_VALUE"""),208.0)</f>
        <v>208</v>
      </c>
      <c r="H1521" s="5">
        <f>IFERROR(__xludf.DUMMYFUNCTION("""COMPUTED_VALUE"""),288.47)</f>
        <v>288.47</v>
      </c>
      <c r="I1521" s="5">
        <f>IFERROR(__xludf.DUMMYFUNCTION("""COMPUTED_VALUE"""),41.24)</f>
        <v>41.24</v>
      </c>
      <c r="J1521" s="5">
        <f>IFERROR(__xludf.DUMMYFUNCTION("""COMPUTED_VALUE"""),6481.25)</f>
        <v>6481.25</v>
      </c>
      <c r="K1521" s="5">
        <f>IFERROR(__xludf.DUMMYFUNCTION("""COMPUTED_VALUE"""),7313.04)</f>
        <v>7313.04</v>
      </c>
      <c r="L1521" s="4">
        <f>IFERROR(__xludf.DUMMYFUNCTION("""COMPUTED_VALUE"""),4.0)</f>
        <v>4</v>
      </c>
      <c r="M1521" s="4">
        <f>IFERROR(__xludf.DUMMYFUNCTION("""COMPUTED_VALUE"""),25.0)</f>
        <v>25</v>
      </c>
      <c r="N1521" s="2" t="str">
        <f>IFERROR(__xludf.DUMMYFUNCTION("""COMPUTED_VALUE"""),"FALSO")</f>
        <v>FALSO</v>
      </c>
    </row>
    <row r="1522">
      <c r="A1522" s="2">
        <f>IFERROR(__xludf.DUMMYFUNCTION("""COMPUTED_VALUE"""),1521.0)</f>
        <v>1521</v>
      </c>
      <c r="B1522" s="2" t="str">
        <f>IFERROR(__xludf.DUMMYFUNCTION("""COMPUTED_VALUE"""),"Cordie Lowey")</f>
        <v>Cordie Lowey</v>
      </c>
      <c r="C1522" s="2" t="str">
        <f>IFERROR(__xludf.DUMMYFUNCTION("""COMPUTED_VALUE"""),"cloweyeh@aboutads.info")</f>
        <v>cloweyeh@aboutads.info</v>
      </c>
      <c r="D1522" s="4">
        <f>IFERROR(__xludf.DUMMYFUNCTION("""COMPUTED_VALUE"""),29.0)</f>
        <v>29</v>
      </c>
      <c r="E1522" s="4">
        <f>IFERROR(__xludf.DUMMYFUNCTION("""COMPUTED_VALUE"""),22.0)</f>
        <v>22</v>
      </c>
      <c r="F1522" s="4">
        <f>IFERROR(__xludf.DUMMYFUNCTION("""COMPUTED_VALUE"""),5.0)</f>
        <v>5</v>
      </c>
      <c r="G1522" s="4">
        <f>IFERROR(__xludf.DUMMYFUNCTION("""COMPUTED_VALUE"""),290.0)</f>
        <v>290</v>
      </c>
      <c r="H1522" s="5">
        <f>IFERROR(__xludf.DUMMYFUNCTION("""COMPUTED_VALUE"""),4944.08)</f>
        <v>4944.08</v>
      </c>
      <c r="I1522" s="5">
        <f>IFERROR(__xludf.DUMMYFUNCTION("""COMPUTED_VALUE"""),1932.53)</f>
        <v>1932.53</v>
      </c>
      <c r="J1522" s="5">
        <f>IFERROR(__xludf.DUMMYFUNCTION("""COMPUTED_VALUE"""),5809.86)</f>
        <v>5809.86</v>
      </c>
      <c r="K1522" s="5">
        <f>IFERROR(__xludf.DUMMYFUNCTION("""COMPUTED_VALUE"""),287.28)</f>
        <v>287.28</v>
      </c>
      <c r="L1522" s="4">
        <f>IFERROR(__xludf.DUMMYFUNCTION("""COMPUTED_VALUE"""),5.0)</f>
        <v>5</v>
      </c>
      <c r="M1522" s="4">
        <f>IFERROR(__xludf.DUMMYFUNCTION("""COMPUTED_VALUE"""),70.0)</f>
        <v>70</v>
      </c>
      <c r="N1522" s="2" t="str">
        <f>IFERROR(__xludf.DUMMYFUNCTION("""COMPUTED_VALUE"""),"VERDADERO")</f>
        <v>VERDADERO</v>
      </c>
    </row>
    <row r="1523">
      <c r="A1523" s="2">
        <f>IFERROR(__xludf.DUMMYFUNCTION("""COMPUTED_VALUE"""),1522.0)</f>
        <v>1522</v>
      </c>
      <c r="B1523" s="2" t="str">
        <f>IFERROR(__xludf.DUMMYFUNCTION("""COMPUTED_VALUE"""),"Franny Somerset")</f>
        <v>Franny Somerset</v>
      </c>
      <c r="C1523" s="2" t="str">
        <f>IFERROR(__xludf.DUMMYFUNCTION("""COMPUTED_VALUE"""),"fsomersetei@craigslist.org")</f>
        <v>fsomersetei@craigslist.org</v>
      </c>
      <c r="D1523" s="4">
        <f>IFERROR(__xludf.DUMMYFUNCTION("""COMPUTED_VALUE"""),121.0)</f>
        <v>121</v>
      </c>
      <c r="E1523" s="4">
        <f>IFERROR(__xludf.DUMMYFUNCTION("""COMPUTED_VALUE"""),64.0)</f>
        <v>64</v>
      </c>
      <c r="F1523" s="4">
        <f>IFERROR(__xludf.DUMMYFUNCTION("""COMPUTED_VALUE"""),4.0)</f>
        <v>4</v>
      </c>
      <c r="G1523" s="4">
        <f>IFERROR(__xludf.DUMMYFUNCTION("""COMPUTED_VALUE"""),1435.0)</f>
        <v>1435</v>
      </c>
      <c r="H1523" s="5">
        <f>IFERROR(__xludf.DUMMYFUNCTION("""COMPUTED_VALUE"""),2419.42)</f>
        <v>2419.42</v>
      </c>
      <c r="I1523" s="5">
        <f>IFERROR(__xludf.DUMMYFUNCTION("""COMPUTED_VALUE"""),9090.38)</f>
        <v>9090.38</v>
      </c>
      <c r="J1523" s="5">
        <f>IFERROR(__xludf.DUMMYFUNCTION("""COMPUTED_VALUE"""),8680.99)</f>
        <v>8680.99</v>
      </c>
      <c r="K1523" s="5">
        <f>IFERROR(__xludf.DUMMYFUNCTION("""COMPUTED_VALUE"""),6147.32)</f>
        <v>6147.32</v>
      </c>
      <c r="L1523" s="4">
        <f>IFERROR(__xludf.DUMMYFUNCTION("""COMPUTED_VALUE"""),8.0)</f>
        <v>8</v>
      </c>
      <c r="M1523" s="4">
        <f>IFERROR(__xludf.DUMMYFUNCTION("""COMPUTED_VALUE"""),53.0)</f>
        <v>53</v>
      </c>
      <c r="N1523" s="2" t="str">
        <f>IFERROR(__xludf.DUMMYFUNCTION("""COMPUTED_VALUE"""),"FALSO")</f>
        <v>FALSO</v>
      </c>
    </row>
    <row r="1524">
      <c r="A1524" s="2">
        <f>IFERROR(__xludf.DUMMYFUNCTION("""COMPUTED_VALUE"""),1523.0)</f>
        <v>1523</v>
      </c>
      <c r="B1524" s="2" t="str">
        <f>IFERROR(__xludf.DUMMYFUNCTION("""COMPUTED_VALUE"""),"Rayna Hughesdon")</f>
        <v>Rayna Hughesdon</v>
      </c>
      <c r="C1524" s="2" t="str">
        <f>IFERROR(__xludf.DUMMYFUNCTION("""COMPUTED_VALUE"""),"rhughesdonej@nydailynews.com")</f>
        <v>rhughesdonej@nydailynews.com</v>
      </c>
      <c r="D1524" s="4">
        <f>IFERROR(__xludf.DUMMYFUNCTION("""COMPUTED_VALUE"""),73.0)</f>
        <v>73</v>
      </c>
      <c r="E1524" s="4">
        <f>IFERROR(__xludf.DUMMYFUNCTION("""COMPUTED_VALUE"""),53.0)</f>
        <v>53</v>
      </c>
      <c r="F1524" s="4">
        <f>IFERROR(__xludf.DUMMYFUNCTION("""COMPUTED_VALUE"""),9.0)</f>
        <v>9</v>
      </c>
      <c r="G1524" s="4">
        <f>IFERROR(__xludf.DUMMYFUNCTION("""COMPUTED_VALUE"""),906.0)</f>
        <v>906</v>
      </c>
      <c r="H1524" s="5">
        <f>IFERROR(__xludf.DUMMYFUNCTION("""COMPUTED_VALUE"""),3497.41)</f>
        <v>3497.41</v>
      </c>
      <c r="I1524" s="5">
        <f>IFERROR(__xludf.DUMMYFUNCTION("""COMPUTED_VALUE"""),5121.76)</f>
        <v>5121.76</v>
      </c>
      <c r="J1524" s="5">
        <f>IFERROR(__xludf.DUMMYFUNCTION("""COMPUTED_VALUE"""),4442.33)</f>
        <v>4442.33</v>
      </c>
      <c r="K1524" s="5">
        <f>IFERROR(__xludf.DUMMYFUNCTION("""COMPUTED_VALUE"""),2635.65)</f>
        <v>2635.65</v>
      </c>
      <c r="L1524" s="4">
        <f>IFERROR(__xludf.DUMMYFUNCTION("""COMPUTED_VALUE"""),9.0)</f>
        <v>9</v>
      </c>
      <c r="M1524" s="4">
        <f>IFERROR(__xludf.DUMMYFUNCTION("""COMPUTED_VALUE"""),95.0)</f>
        <v>95</v>
      </c>
      <c r="N1524" s="2" t="str">
        <f>IFERROR(__xludf.DUMMYFUNCTION("""COMPUTED_VALUE"""),"VERDADERO")</f>
        <v>VERDADERO</v>
      </c>
    </row>
    <row r="1525">
      <c r="A1525" s="2">
        <f>IFERROR(__xludf.DUMMYFUNCTION("""COMPUTED_VALUE"""),1524.0)</f>
        <v>1524</v>
      </c>
      <c r="B1525" s="2" t="str">
        <f>IFERROR(__xludf.DUMMYFUNCTION("""COMPUTED_VALUE"""),"Carlin Locarno")</f>
        <v>Carlin Locarno</v>
      </c>
      <c r="C1525" s="2" t="str">
        <f>IFERROR(__xludf.DUMMYFUNCTION("""COMPUTED_VALUE"""),"clocarnoek@reference.com")</f>
        <v>clocarnoek@reference.com</v>
      </c>
      <c r="D1525" s="4">
        <f>IFERROR(__xludf.DUMMYFUNCTION("""COMPUTED_VALUE"""),12.0)</f>
        <v>12</v>
      </c>
      <c r="E1525" s="4">
        <f>IFERROR(__xludf.DUMMYFUNCTION("""COMPUTED_VALUE"""),64.0)</f>
        <v>64</v>
      </c>
      <c r="F1525" s="4">
        <f>IFERROR(__xludf.DUMMYFUNCTION("""COMPUTED_VALUE"""),4.0)</f>
        <v>4</v>
      </c>
      <c r="G1525" s="4">
        <f>IFERROR(__xludf.DUMMYFUNCTION("""COMPUTED_VALUE"""),440.0)</f>
        <v>440</v>
      </c>
      <c r="H1525" s="5">
        <f>IFERROR(__xludf.DUMMYFUNCTION("""COMPUTED_VALUE"""),487.26)</f>
        <v>487.26</v>
      </c>
      <c r="I1525" s="5">
        <f>IFERROR(__xludf.DUMMYFUNCTION("""COMPUTED_VALUE"""),3265.83)</f>
        <v>3265.83</v>
      </c>
      <c r="J1525" s="5">
        <f>IFERROR(__xludf.DUMMYFUNCTION("""COMPUTED_VALUE"""),2900.84)</f>
        <v>2900.84</v>
      </c>
      <c r="K1525" s="5">
        <f>IFERROR(__xludf.DUMMYFUNCTION("""COMPUTED_VALUE"""),8091.79)</f>
        <v>8091.79</v>
      </c>
      <c r="L1525" s="4">
        <f>IFERROR(__xludf.DUMMYFUNCTION("""COMPUTED_VALUE"""),6.0)</f>
        <v>6</v>
      </c>
      <c r="M1525" s="4">
        <f>IFERROR(__xludf.DUMMYFUNCTION("""COMPUTED_VALUE"""),32.0)</f>
        <v>32</v>
      </c>
      <c r="N1525" s="2" t="str">
        <f>IFERROR(__xludf.DUMMYFUNCTION("""COMPUTED_VALUE"""),"FALSO")</f>
        <v>FALSO</v>
      </c>
    </row>
    <row r="1526">
      <c r="A1526" s="2">
        <f>IFERROR(__xludf.DUMMYFUNCTION("""COMPUTED_VALUE"""),1525.0)</f>
        <v>1525</v>
      </c>
      <c r="B1526" s="2" t="str">
        <f>IFERROR(__xludf.DUMMYFUNCTION("""COMPUTED_VALUE"""),"Allyn MacGee")</f>
        <v>Allyn MacGee</v>
      </c>
      <c r="C1526" s="2" t="str">
        <f>IFERROR(__xludf.DUMMYFUNCTION("""COMPUTED_VALUE"""),"amacgeeel@fastcompany.com")</f>
        <v>amacgeeel@fastcompany.com</v>
      </c>
      <c r="D1526" s="4">
        <f>IFERROR(__xludf.DUMMYFUNCTION("""COMPUTED_VALUE"""),113.0)</f>
        <v>113</v>
      </c>
      <c r="E1526" s="4">
        <f>IFERROR(__xludf.DUMMYFUNCTION("""COMPUTED_VALUE"""),81.0)</f>
        <v>81</v>
      </c>
      <c r="F1526" s="4">
        <f>IFERROR(__xludf.DUMMYFUNCTION("""COMPUTED_VALUE"""),2.0)</f>
        <v>2</v>
      </c>
      <c r="G1526" s="4">
        <f>IFERROR(__xludf.DUMMYFUNCTION("""COMPUTED_VALUE"""),692.0)</f>
        <v>692</v>
      </c>
      <c r="H1526" s="5">
        <f>IFERROR(__xludf.DUMMYFUNCTION("""COMPUTED_VALUE"""),6495.99)</f>
        <v>6495.99</v>
      </c>
      <c r="I1526" s="5">
        <f>IFERROR(__xludf.DUMMYFUNCTION("""COMPUTED_VALUE"""),1703.23)</f>
        <v>1703.23</v>
      </c>
      <c r="J1526" s="5">
        <f>IFERROR(__xludf.DUMMYFUNCTION("""COMPUTED_VALUE"""),6207.05)</f>
        <v>6207.05</v>
      </c>
      <c r="K1526" s="5">
        <f>IFERROR(__xludf.DUMMYFUNCTION("""COMPUTED_VALUE"""),6494.28)</f>
        <v>6494.28</v>
      </c>
      <c r="L1526" s="4">
        <f>IFERROR(__xludf.DUMMYFUNCTION("""COMPUTED_VALUE"""),7.0)</f>
        <v>7</v>
      </c>
      <c r="M1526" s="4">
        <f>IFERROR(__xludf.DUMMYFUNCTION("""COMPUTED_VALUE"""),13.0)</f>
        <v>13</v>
      </c>
      <c r="N1526" s="2" t="str">
        <f>IFERROR(__xludf.DUMMYFUNCTION("""COMPUTED_VALUE"""),"VERDADERO")</f>
        <v>VERDADERO</v>
      </c>
    </row>
    <row r="1527">
      <c r="A1527" s="2">
        <f>IFERROR(__xludf.DUMMYFUNCTION("""COMPUTED_VALUE"""),1526.0)</f>
        <v>1526</v>
      </c>
      <c r="B1527" s="2" t="str">
        <f>IFERROR(__xludf.DUMMYFUNCTION("""COMPUTED_VALUE"""),"Odele Hyne")</f>
        <v>Odele Hyne</v>
      </c>
      <c r="C1527" s="2" t="str">
        <f>IFERROR(__xludf.DUMMYFUNCTION("""COMPUTED_VALUE"""),"ohyneem@merriam-webster.com")</f>
        <v>ohyneem@merriam-webster.com</v>
      </c>
      <c r="D1527" s="4">
        <f>IFERROR(__xludf.DUMMYFUNCTION("""COMPUTED_VALUE"""),119.0)</f>
        <v>119</v>
      </c>
      <c r="E1527" s="4">
        <f>IFERROR(__xludf.DUMMYFUNCTION("""COMPUTED_VALUE"""),9.0)</f>
        <v>9</v>
      </c>
      <c r="F1527" s="4">
        <f>IFERROR(__xludf.DUMMYFUNCTION("""COMPUTED_VALUE"""),10.0)</f>
        <v>10</v>
      </c>
      <c r="G1527" s="4">
        <f>IFERROR(__xludf.DUMMYFUNCTION("""COMPUTED_VALUE"""),404.0)</f>
        <v>404</v>
      </c>
      <c r="H1527" s="5">
        <f>IFERROR(__xludf.DUMMYFUNCTION("""COMPUTED_VALUE"""),9970.2)</f>
        <v>9970.2</v>
      </c>
      <c r="I1527" s="5">
        <f>IFERROR(__xludf.DUMMYFUNCTION("""COMPUTED_VALUE"""),8037.6)</f>
        <v>8037.6</v>
      </c>
      <c r="J1527" s="5">
        <f>IFERROR(__xludf.DUMMYFUNCTION("""COMPUTED_VALUE"""),2671.79)</f>
        <v>2671.79</v>
      </c>
      <c r="K1527" s="5">
        <f>IFERROR(__xludf.DUMMYFUNCTION("""COMPUTED_VALUE"""),4320.5)</f>
        <v>4320.5</v>
      </c>
      <c r="L1527" s="4">
        <f>IFERROR(__xludf.DUMMYFUNCTION("""COMPUTED_VALUE"""),1.0)</f>
        <v>1</v>
      </c>
      <c r="M1527" s="4">
        <f>IFERROR(__xludf.DUMMYFUNCTION("""COMPUTED_VALUE"""),15.0)</f>
        <v>15</v>
      </c>
      <c r="N1527" s="2" t="str">
        <f>IFERROR(__xludf.DUMMYFUNCTION("""COMPUTED_VALUE"""),"FALSO")</f>
        <v>FALSO</v>
      </c>
    </row>
    <row r="1528">
      <c r="A1528" s="2">
        <f>IFERROR(__xludf.DUMMYFUNCTION("""COMPUTED_VALUE"""),1527.0)</f>
        <v>1527</v>
      </c>
      <c r="B1528" s="2" t="str">
        <f>IFERROR(__xludf.DUMMYFUNCTION("""COMPUTED_VALUE"""),"Michail McMenamie")</f>
        <v>Michail McMenamie</v>
      </c>
      <c r="C1528" s="2" t="str">
        <f>IFERROR(__xludf.DUMMYFUNCTION("""COMPUTED_VALUE"""),"mmcmenamieen@dailymail.co.uk")</f>
        <v>mmcmenamieen@dailymail.co.uk</v>
      </c>
      <c r="D1528" s="4">
        <f>IFERROR(__xludf.DUMMYFUNCTION("""COMPUTED_VALUE"""),49.0)</f>
        <v>49</v>
      </c>
      <c r="E1528" s="4">
        <f>IFERROR(__xludf.DUMMYFUNCTION("""COMPUTED_VALUE"""),11.0)</f>
        <v>11</v>
      </c>
      <c r="F1528" s="4">
        <f>IFERROR(__xludf.DUMMYFUNCTION("""COMPUTED_VALUE"""),13.0)</f>
        <v>13</v>
      </c>
      <c r="G1528" s="4">
        <f>IFERROR(__xludf.DUMMYFUNCTION("""COMPUTED_VALUE"""),973.0)</f>
        <v>973</v>
      </c>
      <c r="H1528" s="5">
        <f>IFERROR(__xludf.DUMMYFUNCTION("""COMPUTED_VALUE"""),1414.18)</f>
        <v>1414.18</v>
      </c>
      <c r="I1528" s="5">
        <f>IFERROR(__xludf.DUMMYFUNCTION("""COMPUTED_VALUE"""),8722.97)</f>
        <v>8722.97</v>
      </c>
      <c r="J1528" s="5">
        <f>IFERROR(__xludf.DUMMYFUNCTION("""COMPUTED_VALUE"""),6600.23)</f>
        <v>6600.23</v>
      </c>
      <c r="K1528" s="5">
        <f>IFERROR(__xludf.DUMMYFUNCTION("""COMPUTED_VALUE"""),4459.09)</f>
        <v>4459.09</v>
      </c>
      <c r="L1528" s="4">
        <f>IFERROR(__xludf.DUMMYFUNCTION("""COMPUTED_VALUE"""),14.0)</f>
        <v>14</v>
      </c>
      <c r="M1528" s="4">
        <f>IFERROR(__xludf.DUMMYFUNCTION("""COMPUTED_VALUE"""),41.0)</f>
        <v>41</v>
      </c>
      <c r="N1528" s="2" t="str">
        <f>IFERROR(__xludf.DUMMYFUNCTION("""COMPUTED_VALUE"""),"VERDADERO")</f>
        <v>VERDADERO</v>
      </c>
    </row>
    <row r="1529">
      <c r="A1529" s="2">
        <f>IFERROR(__xludf.DUMMYFUNCTION("""COMPUTED_VALUE"""),1528.0)</f>
        <v>1528</v>
      </c>
      <c r="B1529" s="2" t="str">
        <f>IFERROR(__xludf.DUMMYFUNCTION("""COMPUTED_VALUE"""),"Alena Laffan")</f>
        <v>Alena Laffan</v>
      </c>
      <c r="C1529" s="2" t="str">
        <f>IFERROR(__xludf.DUMMYFUNCTION("""COMPUTED_VALUE"""),"alaffaneo@livejournal.com")</f>
        <v>alaffaneo@livejournal.com</v>
      </c>
      <c r="D1529" s="4">
        <f>IFERROR(__xludf.DUMMYFUNCTION("""COMPUTED_VALUE"""),94.0)</f>
        <v>94</v>
      </c>
      <c r="E1529" s="4">
        <f>IFERROR(__xludf.DUMMYFUNCTION("""COMPUTED_VALUE"""),66.0)</f>
        <v>66</v>
      </c>
      <c r="F1529" s="4">
        <f>IFERROR(__xludf.DUMMYFUNCTION("""COMPUTED_VALUE"""),6.0)</f>
        <v>6</v>
      </c>
      <c r="G1529" s="4">
        <f>IFERROR(__xludf.DUMMYFUNCTION("""COMPUTED_VALUE"""),828.0)</f>
        <v>828</v>
      </c>
      <c r="H1529" s="5">
        <f>IFERROR(__xludf.DUMMYFUNCTION("""COMPUTED_VALUE"""),1386.25)</f>
        <v>1386.25</v>
      </c>
      <c r="I1529" s="5">
        <f>IFERROR(__xludf.DUMMYFUNCTION("""COMPUTED_VALUE"""),3388.56)</f>
        <v>3388.56</v>
      </c>
      <c r="J1529" s="5">
        <f>IFERROR(__xludf.DUMMYFUNCTION("""COMPUTED_VALUE"""),1542.24)</f>
        <v>1542.24</v>
      </c>
      <c r="K1529" s="5">
        <f>IFERROR(__xludf.DUMMYFUNCTION("""COMPUTED_VALUE"""),1288.84)</f>
        <v>1288.84</v>
      </c>
      <c r="L1529" s="4">
        <f>IFERROR(__xludf.DUMMYFUNCTION("""COMPUTED_VALUE"""),3.0)</f>
        <v>3</v>
      </c>
      <c r="M1529" s="4">
        <f>IFERROR(__xludf.DUMMYFUNCTION("""COMPUTED_VALUE"""),88.0)</f>
        <v>88</v>
      </c>
      <c r="N1529" s="2" t="str">
        <f>IFERROR(__xludf.DUMMYFUNCTION("""COMPUTED_VALUE"""),"VERDADERO")</f>
        <v>VERDADERO</v>
      </c>
    </row>
    <row r="1530">
      <c r="A1530" s="2">
        <f>IFERROR(__xludf.DUMMYFUNCTION("""COMPUTED_VALUE"""),1529.0)</f>
        <v>1529</v>
      </c>
      <c r="B1530" s="2" t="str">
        <f>IFERROR(__xludf.DUMMYFUNCTION("""COMPUTED_VALUE"""),"Menard Bednall")</f>
        <v>Menard Bednall</v>
      </c>
      <c r="C1530" s="2" t="str">
        <f>IFERROR(__xludf.DUMMYFUNCTION("""COMPUTED_VALUE"""),"mbednallep@tamu.edu")</f>
        <v>mbednallep@tamu.edu</v>
      </c>
      <c r="D1530" s="4">
        <f>IFERROR(__xludf.DUMMYFUNCTION("""COMPUTED_VALUE"""),65.0)</f>
        <v>65</v>
      </c>
      <c r="E1530" s="4">
        <f>IFERROR(__xludf.DUMMYFUNCTION("""COMPUTED_VALUE"""),66.0)</f>
        <v>66</v>
      </c>
      <c r="F1530" s="4">
        <f>IFERROR(__xludf.DUMMYFUNCTION("""COMPUTED_VALUE"""),6.0)</f>
        <v>6</v>
      </c>
      <c r="G1530" s="4">
        <f>IFERROR(__xludf.DUMMYFUNCTION("""COMPUTED_VALUE"""),645.0)</f>
        <v>645</v>
      </c>
      <c r="H1530" s="5">
        <f>IFERROR(__xludf.DUMMYFUNCTION("""COMPUTED_VALUE"""),6825.01)</f>
        <v>6825.01</v>
      </c>
      <c r="I1530" s="5">
        <f>IFERROR(__xludf.DUMMYFUNCTION("""COMPUTED_VALUE"""),608.52)</f>
        <v>608.52</v>
      </c>
      <c r="J1530" s="5">
        <f>IFERROR(__xludf.DUMMYFUNCTION("""COMPUTED_VALUE"""),1160.35)</f>
        <v>1160.35</v>
      </c>
      <c r="K1530" s="5">
        <f>IFERROR(__xludf.DUMMYFUNCTION("""COMPUTED_VALUE"""),6697.95)</f>
        <v>6697.95</v>
      </c>
      <c r="L1530" s="4">
        <f>IFERROR(__xludf.DUMMYFUNCTION("""COMPUTED_VALUE"""),11.0)</f>
        <v>11</v>
      </c>
      <c r="M1530" s="4">
        <f>IFERROR(__xludf.DUMMYFUNCTION("""COMPUTED_VALUE"""),31.0)</f>
        <v>31</v>
      </c>
      <c r="N1530" s="2" t="str">
        <f>IFERROR(__xludf.DUMMYFUNCTION("""COMPUTED_VALUE"""),"FALSO")</f>
        <v>FALSO</v>
      </c>
    </row>
    <row r="1531">
      <c r="A1531" s="2">
        <f>IFERROR(__xludf.DUMMYFUNCTION("""COMPUTED_VALUE"""),1530.0)</f>
        <v>1530</v>
      </c>
      <c r="B1531" s="2" t="str">
        <f>IFERROR(__xludf.DUMMYFUNCTION("""COMPUTED_VALUE"""),"Brittni Campion")</f>
        <v>Brittni Campion</v>
      </c>
      <c r="C1531" s="2" t="str">
        <f>IFERROR(__xludf.DUMMYFUNCTION("""COMPUTED_VALUE"""),"bcampioneq@psu.edu")</f>
        <v>bcampioneq@psu.edu</v>
      </c>
      <c r="D1531" s="4">
        <f>IFERROR(__xludf.DUMMYFUNCTION("""COMPUTED_VALUE"""),124.0)</f>
        <v>124</v>
      </c>
      <c r="E1531" s="4">
        <f>IFERROR(__xludf.DUMMYFUNCTION("""COMPUTED_VALUE"""),58.0)</f>
        <v>58</v>
      </c>
      <c r="F1531" s="4">
        <f>IFERROR(__xludf.DUMMYFUNCTION("""COMPUTED_VALUE"""),8.0)</f>
        <v>8</v>
      </c>
      <c r="G1531" s="4">
        <f>IFERROR(__xludf.DUMMYFUNCTION("""COMPUTED_VALUE"""),1017.0)</f>
        <v>1017</v>
      </c>
      <c r="H1531" s="5">
        <f>IFERROR(__xludf.DUMMYFUNCTION("""COMPUTED_VALUE"""),8077.47)</f>
        <v>8077.47</v>
      </c>
      <c r="I1531" s="5">
        <f>IFERROR(__xludf.DUMMYFUNCTION("""COMPUTED_VALUE"""),4882.33)</f>
        <v>4882.33</v>
      </c>
      <c r="J1531" s="5">
        <f>IFERROR(__xludf.DUMMYFUNCTION("""COMPUTED_VALUE"""),3545.9)</f>
        <v>3545.9</v>
      </c>
      <c r="K1531" s="5">
        <f>IFERROR(__xludf.DUMMYFUNCTION("""COMPUTED_VALUE"""),6336.38)</f>
        <v>6336.38</v>
      </c>
      <c r="L1531" s="4">
        <f>IFERROR(__xludf.DUMMYFUNCTION("""COMPUTED_VALUE"""),10.0)</f>
        <v>10</v>
      </c>
      <c r="M1531" s="4">
        <f>IFERROR(__xludf.DUMMYFUNCTION("""COMPUTED_VALUE"""),76.0)</f>
        <v>76</v>
      </c>
      <c r="N1531" s="2" t="str">
        <f>IFERROR(__xludf.DUMMYFUNCTION("""COMPUTED_VALUE"""),"VERDADERO")</f>
        <v>VERDADERO</v>
      </c>
    </row>
    <row r="1532">
      <c r="A1532" s="2">
        <f>IFERROR(__xludf.DUMMYFUNCTION("""COMPUTED_VALUE"""),1531.0)</f>
        <v>1531</v>
      </c>
      <c r="B1532" s="2" t="str">
        <f>IFERROR(__xludf.DUMMYFUNCTION("""COMPUTED_VALUE"""),"Rockie Lawton")</f>
        <v>Rockie Lawton</v>
      </c>
      <c r="C1532" s="2" t="str">
        <f>IFERROR(__xludf.DUMMYFUNCTION("""COMPUTED_VALUE"""),"rlawtoner@ehow.com")</f>
        <v>rlawtoner@ehow.com</v>
      </c>
      <c r="D1532" s="4">
        <f>IFERROR(__xludf.DUMMYFUNCTION("""COMPUTED_VALUE"""),4.0)</f>
        <v>4</v>
      </c>
      <c r="E1532" s="4">
        <f>IFERROR(__xludf.DUMMYFUNCTION("""COMPUTED_VALUE"""),81.0)</f>
        <v>81</v>
      </c>
      <c r="F1532" s="4">
        <f>IFERROR(__xludf.DUMMYFUNCTION("""COMPUTED_VALUE"""),2.0)</f>
        <v>2</v>
      </c>
      <c r="G1532" s="4">
        <f>IFERROR(__xludf.DUMMYFUNCTION("""COMPUTED_VALUE"""),42.0)</f>
        <v>42</v>
      </c>
      <c r="H1532" s="5">
        <f>IFERROR(__xludf.DUMMYFUNCTION("""COMPUTED_VALUE"""),7578.03)</f>
        <v>7578.03</v>
      </c>
      <c r="I1532" s="5">
        <f>IFERROR(__xludf.DUMMYFUNCTION("""COMPUTED_VALUE"""),6619.85)</f>
        <v>6619.85</v>
      </c>
      <c r="J1532" s="5">
        <f>IFERROR(__xludf.DUMMYFUNCTION("""COMPUTED_VALUE"""),1318.53)</f>
        <v>1318.53</v>
      </c>
      <c r="K1532" s="5">
        <f>IFERROR(__xludf.DUMMYFUNCTION("""COMPUTED_VALUE"""),4953.36)</f>
        <v>4953.36</v>
      </c>
      <c r="L1532" s="4">
        <f>IFERROR(__xludf.DUMMYFUNCTION("""COMPUTED_VALUE"""),5.0)</f>
        <v>5</v>
      </c>
      <c r="M1532" s="4">
        <f>IFERROR(__xludf.DUMMYFUNCTION("""COMPUTED_VALUE"""),25.0)</f>
        <v>25</v>
      </c>
      <c r="N1532" s="2" t="str">
        <f>IFERROR(__xludf.DUMMYFUNCTION("""COMPUTED_VALUE"""),"VERDADERO")</f>
        <v>VERDADERO</v>
      </c>
    </row>
    <row r="1533">
      <c r="A1533" s="2">
        <f>IFERROR(__xludf.DUMMYFUNCTION("""COMPUTED_VALUE"""),1532.0)</f>
        <v>1532</v>
      </c>
      <c r="B1533" s="2" t="str">
        <f>IFERROR(__xludf.DUMMYFUNCTION("""COMPUTED_VALUE"""),"Ophelia Verna")</f>
        <v>Ophelia Verna</v>
      </c>
      <c r="C1533" s="2" t="str">
        <f>IFERROR(__xludf.DUMMYFUNCTION("""COMPUTED_VALUE"""),"overnaes@linkedin.com")</f>
        <v>overnaes@linkedin.com</v>
      </c>
      <c r="D1533" s="4">
        <f>IFERROR(__xludf.DUMMYFUNCTION("""COMPUTED_VALUE"""),65.0)</f>
        <v>65</v>
      </c>
      <c r="E1533" s="4">
        <f>IFERROR(__xludf.DUMMYFUNCTION("""COMPUTED_VALUE"""),83.0)</f>
        <v>83</v>
      </c>
      <c r="F1533" s="4">
        <f>IFERROR(__xludf.DUMMYFUNCTION("""COMPUTED_VALUE"""),5.0)</f>
        <v>5</v>
      </c>
      <c r="G1533" s="4">
        <f>IFERROR(__xludf.DUMMYFUNCTION("""COMPUTED_VALUE"""),1003.0)</f>
        <v>1003</v>
      </c>
      <c r="H1533" s="5">
        <f>IFERROR(__xludf.DUMMYFUNCTION("""COMPUTED_VALUE"""),3094.28)</f>
        <v>3094.28</v>
      </c>
      <c r="I1533" s="5">
        <f>IFERROR(__xludf.DUMMYFUNCTION("""COMPUTED_VALUE"""),3960.61)</f>
        <v>3960.61</v>
      </c>
      <c r="J1533" s="5">
        <f>IFERROR(__xludf.DUMMYFUNCTION("""COMPUTED_VALUE"""),476.24)</f>
        <v>476.24</v>
      </c>
      <c r="K1533" s="5">
        <f>IFERROR(__xludf.DUMMYFUNCTION("""COMPUTED_VALUE"""),8818.78)</f>
        <v>8818.78</v>
      </c>
      <c r="L1533" s="4">
        <f>IFERROR(__xludf.DUMMYFUNCTION("""COMPUTED_VALUE"""),6.0)</f>
        <v>6</v>
      </c>
      <c r="M1533" s="4">
        <f>IFERROR(__xludf.DUMMYFUNCTION("""COMPUTED_VALUE"""),14.0)</f>
        <v>14</v>
      </c>
      <c r="N1533" s="2" t="str">
        <f>IFERROR(__xludf.DUMMYFUNCTION("""COMPUTED_VALUE"""),"VERDADERO")</f>
        <v>VERDADERO</v>
      </c>
    </row>
    <row r="1534">
      <c r="A1534" s="2">
        <f>IFERROR(__xludf.DUMMYFUNCTION("""COMPUTED_VALUE"""),1533.0)</f>
        <v>1533</v>
      </c>
      <c r="B1534" s="2" t="str">
        <f>IFERROR(__xludf.DUMMYFUNCTION("""COMPUTED_VALUE"""),"Derrik Kirsche")</f>
        <v>Derrik Kirsche</v>
      </c>
      <c r="C1534" s="2" t="str">
        <f>IFERROR(__xludf.DUMMYFUNCTION("""COMPUTED_VALUE"""),"dkirscheet@odnoklassniki.ru")</f>
        <v>dkirscheet@odnoklassniki.ru</v>
      </c>
      <c r="D1534" s="4">
        <f>IFERROR(__xludf.DUMMYFUNCTION("""COMPUTED_VALUE"""),29.0)</f>
        <v>29</v>
      </c>
      <c r="E1534" s="4">
        <f>IFERROR(__xludf.DUMMYFUNCTION("""COMPUTED_VALUE"""),81.0)</f>
        <v>81</v>
      </c>
      <c r="F1534" s="4">
        <f>IFERROR(__xludf.DUMMYFUNCTION("""COMPUTED_VALUE"""),2.0)</f>
        <v>2</v>
      </c>
      <c r="G1534" s="4">
        <f>IFERROR(__xludf.DUMMYFUNCTION("""COMPUTED_VALUE"""),1520.0)</f>
        <v>1520</v>
      </c>
      <c r="H1534" s="5">
        <f>IFERROR(__xludf.DUMMYFUNCTION("""COMPUTED_VALUE"""),4197.52)</f>
        <v>4197.52</v>
      </c>
      <c r="I1534" s="5">
        <f>IFERROR(__xludf.DUMMYFUNCTION("""COMPUTED_VALUE"""),555.32)</f>
        <v>555.32</v>
      </c>
      <c r="J1534" s="5">
        <f>IFERROR(__xludf.DUMMYFUNCTION("""COMPUTED_VALUE"""),8378.98)</f>
        <v>8378.98</v>
      </c>
      <c r="K1534" s="5">
        <f>IFERROR(__xludf.DUMMYFUNCTION("""COMPUTED_VALUE"""),1953.83)</f>
        <v>1953.83</v>
      </c>
      <c r="L1534" s="4">
        <f>IFERROR(__xludf.DUMMYFUNCTION("""COMPUTED_VALUE"""),8.0)</f>
        <v>8</v>
      </c>
      <c r="M1534" s="4">
        <f>IFERROR(__xludf.DUMMYFUNCTION("""COMPUTED_VALUE"""),15.0)</f>
        <v>15</v>
      </c>
      <c r="N1534" s="2" t="str">
        <f>IFERROR(__xludf.DUMMYFUNCTION("""COMPUTED_VALUE"""),"VERDADERO")</f>
        <v>VERDADERO</v>
      </c>
    </row>
    <row r="1535">
      <c r="A1535" s="2">
        <f>IFERROR(__xludf.DUMMYFUNCTION("""COMPUTED_VALUE"""),1534.0)</f>
        <v>1534</v>
      </c>
      <c r="B1535" s="2" t="str">
        <f>IFERROR(__xludf.DUMMYFUNCTION("""COMPUTED_VALUE"""),"Becki Lepper")</f>
        <v>Becki Lepper</v>
      </c>
      <c r="C1535" s="2" t="str">
        <f>IFERROR(__xludf.DUMMYFUNCTION("""COMPUTED_VALUE"""),"bleppereu@tripod.com")</f>
        <v>bleppereu@tripod.com</v>
      </c>
      <c r="D1535" s="4">
        <f>IFERROR(__xludf.DUMMYFUNCTION("""COMPUTED_VALUE"""),121.0)</f>
        <v>121</v>
      </c>
      <c r="E1535" s="4">
        <f>IFERROR(__xludf.DUMMYFUNCTION("""COMPUTED_VALUE"""),120.0)</f>
        <v>120</v>
      </c>
      <c r="F1535" s="4">
        <f>IFERROR(__xludf.DUMMYFUNCTION("""COMPUTED_VALUE"""),5.0)</f>
        <v>5</v>
      </c>
      <c r="G1535" s="4">
        <f>IFERROR(__xludf.DUMMYFUNCTION("""COMPUTED_VALUE"""),1568.0)</f>
        <v>1568</v>
      </c>
      <c r="H1535" s="5">
        <f>IFERROR(__xludf.DUMMYFUNCTION("""COMPUTED_VALUE"""),4467.76)</f>
        <v>4467.76</v>
      </c>
      <c r="I1535" s="5">
        <f>IFERROR(__xludf.DUMMYFUNCTION("""COMPUTED_VALUE"""),5625.83)</f>
        <v>5625.83</v>
      </c>
      <c r="J1535" s="5">
        <f>IFERROR(__xludf.DUMMYFUNCTION("""COMPUTED_VALUE"""),2852.29)</f>
        <v>2852.29</v>
      </c>
      <c r="K1535" s="5">
        <f>IFERROR(__xludf.DUMMYFUNCTION("""COMPUTED_VALUE"""),3383.39)</f>
        <v>3383.39</v>
      </c>
      <c r="L1535" s="4">
        <f>IFERROR(__xludf.DUMMYFUNCTION("""COMPUTED_VALUE"""),19.0)</f>
        <v>19</v>
      </c>
      <c r="M1535" s="4">
        <f>IFERROR(__xludf.DUMMYFUNCTION("""COMPUTED_VALUE"""),11.0)</f>
        <v>11</v>
      </c>
      <c r="N1535" s="2" t="str">
        <f>IFERROR(__xludf.DUMMYFUNCTION("""COMPUTED_VALUE"""),"FALSO")</f>
        <v>FALSO</v>
      </c>
    </row>
    <row r="1536">
      <c r="A1536" s="2">
        <f>IFERROR(__xludf.DUMMYFUNCTION("""COMPUTED_VALUE"""),1535.0)</f>
        <v>1535</v>
      </c>
      <c r="B1536" s="2" t="str">
        <f>IFERROR(__xludf.DUMMYFUNCTION("""COMPUTED_VALUE"""),"Whittaker Matsell")</f>
        <v>Whittaker Matsell</v>
      </c>
      <c r="C1536" s="2" t="str">
        <f>IFERROR(__xludf.DUMMYFUNCTION("""COMPUTED_VALUE"""),"wmatsellev@home.pl")</f>
        <v>wmatsellev@home.pl</v>
      </c>
      <c r="D1536" s="4">
        <f>IFERROR(__xludf.DUMMYFUNCTION("""COMPUTED_VALUE"""),55.0)</f>
        <v>55</v>
      </c>
      <c r="E1536" s="4">
        <f>IFERROR(__xludf.DUMMYFUNCTION("""COMPUTED_VALUE"""),58.0)</f>
        <v>58</v>
      </c>
      <c r="F1536" s="4">
        <f>IFERROR(__xludf.DUMMYFUNCTION("""COMPUTED_VALUE"""),8.0)</f>
        <v>8</v>
      </c>
      <c r="G1536" s="4">
        <f>IFERROR(__xludf.DUMMYFUNCTION("""COMPUTED_VALUE"""),1465.0)</f>
        <v>1465</v>
      </c>
      <c r="H1536" s="5">
        <f>IFERROR(__xludf.DUMMYFUNCTION("""COMPUTED_VALUE"""),6855.92)</f>
        <v>6855.92</v>
      </c>
      <c r="I1536" s="5">
        <f>IFERROR(__xludf.DUMMYFUNCTION("""COMPUTED_VALUE"""),7767.69)</f>
        <v>7767.69</v>
      </c>
      <c r="J1536" s="5">
        <f>IFERROR(__xludf.DUMMYFUNCTION("""COMPUTED_VALUE"""),5241.81)</f>
        <v>5241.81</v>
      </c>
      <c r="K1536" s="5">
        <f>IFERROR(__xludf.DUMMYFUNCTION("""COMPUTED_VALUE"""),8218.34)</f>
        <v>8218.34</v>
      </c>
      <c r="L1536" s="4">
        <f>IFERROR(__xludf.DUMMYFUNCTION("""COMPUTED_VALUE"""),8.0)</f>
        <v>8</v>
      </c>
      <c r="M1536" s="4">
        <f>IFERROR(__xludf.DUMMYFUNCTION("""COMPUTED_VALUE"""),62.0)</f>
        <v>62</v>
      </c>
      <c r="N1536" s="2" t="str">
        <f>IFERROR(__xludf.DUMMYFUNCTION("""COMPUTED_VALUE"""),"VERDADERO")</f>
        <v>VERDADERO</v>
      </c>
    </row>
    <row r="1537">
      <c r="A1537" s="2">
        <f>IFERROR(__xludf.DUMMYFUNCTION("""COMPUTED_VALUE"""),1536.0)</f>
        <v>1536</v>
      </c>
      <c r="B1537" s="2" t="str">
        <f>IFERROR(__xludf.DUMMYFUNCTION("""COMPUTED_VALUE"""),"Waring Prichard")</f>
        <v>Waring Prichard</v>
      </c>
      <c r="C1537" s="2" t="str">
        <f>IFERROR(__xludf.DUMMYFUNCTION("""COMPUTED_VALUE"""),"wprichardew@php.net")</f>
        <v>wprichardew@php.net</v>
      </c>
      <c r="D1537" s="4">
        <f>IFERROR(__xludf.DUMMYFUNCTION("""COMPUTED_VALUE"""),29.0)</f>
        <v>29</v>
      </c>
      <c r="E1537" s="4">
        <f>IFERROR(__xludf.DUMMYFUNCTION("""COMPUTED_VALUE"""),81.0)</f>
        <v>81</v>
      </c>
      <c r="F1537" s="4">
        <f>IFERROR(__xludf.DUMMYFUNCTION("""COMPUTED_VALUE"""),2.0)</f>
        <v>2</v>
      </c>
      <c r="G1537" s="4">
        <f>IFERROR(__xludf.DUMMYFUNCTION("""COMPUTED_VALUE"""),485.0)</f>
        <v>485</v>
      </c>
      <c r="H1537" s="5">
        <f>IFERROR(__xludf.DUMMYFUNCTION("""COMPUTED_VALUE"""),907.59)</f>
        <v>907.59</v>
      </c>
      <c r="I1537" s="5">
        <f>IFERROR(__xludf.DUMMYFUNCTION("""COMPUTED_VALUE"""),198.56)</f>
        <v>198.56</v>
      </c>
      <c r="J1537" s="5">
        <f>IFERROR(__xludf.DUMMYFUNCTION("""COMPUTED_VALUE"""),9137.13)</f>
        <v>9137.13</v>
      </c>
      <c r="K1537" s="5">
        <f>IFERROR(__xludf.DUMMYFUNCTION("""COMPUTED_VALUE"""),9082.34)</f>
        <v>9082.34</v>
      </c>
      <c r="L1537" s="4">
        <f>IFERROR(__xludf.DUMMYFUNCTION("""COMPUTED_VALUE"""),10.0)</f>
        <v>10</v>
      </c>
      <c r="M1537" s="4">
        <f>IFERROR(__xludf.DUMMYFUNCTION("""COMPUTED_VALUE"""),23.0)</f>
        <v>23</v>
      </c>
      <c r="N1537" s="2" t="str">
        <f>IFERROR(__xludf.DUMMYFUNCTION("""COMPUTED_VALUE"""),"VERDADERO")</f>
        <v>VERDADERO</v>
      </c>
    </row>
    <row r="1538">
      <c r="A1538" s="2">
        <f>IFERROR(__xludf.DUMMYFUNCTION("""COMPUTED_VALUE"""),1537.0)</f>
        <v>1537</v>
      </c>
      <c r="B1538" s="2" t="str">
        <f>IFERROR(__xludf.DUMMYFUNCTION("""COMPUTED_VALUE"""),"Adamo Kingstne")</f>
        <v>Adamo Kingstne</v>
      </c>
      <c r="C1538" s="2" t="str">
        <f>IFERROR(__xludf.DUMMYFUNCTION("""COMPUTED_VALUE"""),"akingstneex@google.co.uk")</f>
        <v>akingstneex@google.co.uk</v>
      </c>
      <c r="D1538" s="4">
        <f>IFERROR(__xludf.DUMMYFUNCTION("""COMPUTED_VALUE"""),65.0)</f>
        <v>65</v>
      </c>
      <c r="E1538" s="4">
        <f>IFERROR(__xludf.DUMMYFUNCTION("""COMPUTED_VALUE"""),104.0)</f>
        <v>104</v>
      </c>
      <c r="F1538" s="4">
        <f>IFERROR(__xludf.DUMMYFUNCTION("""COMPUTED_VALUE"""),11.0)</f>
        <v>11</v>
      </c>
      <c r="G1538" s="4">
        <f>IFERROR(__xludf.DUMMYFUNCTION("""COMPUTED_VALUE"""),1187.0)</f>
        <v>1187</v>
      </c>
      <c r="H1538" s="5">
        <f>IFERROR(__xludf.DUMMYFUNCTION("""COMPUTED_VALUE"""),6337.33)</f>
        <v>6337.33</v>
      </c>
      <c r="I1538" s="5">
        <f>IFERROR(__xludf.DUMMYFUNCTION("""COMPUTED_VALUE"""),7354.27)</f>
        <v>7354.27</v>
      </c>
      <c r="J1538" s="5">
        <f>IFERROR(__xludf.DUMMYFUNCTION("""COMPUTED_VALUE"""),923.83)</f>
        <v>923.83</v>
      </c>
      <c r="K1538" s="5">
        <f>IFERROR(__xludf.DUMMYFUNCTION("""COMPUTED_VALUE"""),6333.27)</f>
        <v>6333.27</v>
      </c>
      <c r="L1538" s="4">
        <f>IFERROR(__xludf.DUMMYFUNCTION("""COMPUTED_VALUE"""),16.0)</f>
        <v>16</v>
      </c>
      <c r="M1538" s="4">
        <f>IFERROR(__xludf.DUMMYFUNCTION("""COMPUTED_VALUE"""),54.0)</f>
        <v>54</v>
      </c>
      <c r="N1538" s="2" t="str">
        <f>IFERROR(__xludf.DUMMYFUNCTION("""COMPUTED_VALUE"""),"VERDADERO")</f>
        <v>VERDADERO</v>
      </c>
    </row>
    <row r="1539">
      <c r="A1539" s="2">
        <f>IFERROR(__xludf.DUMMYFUNCTION("""COMPUTED_VALUE"""),1538.0)</f>
        <v>1538</v>
      </c>
      <c r="B1539" s="2" t="str">
        <f>IFERROR(__xludf.DUMMYFUNCTION("""COMPUTED_VALUE"""),"Elisha Winsper")</f>
        <v>Elisha Winsper</v>
      </c>
      <c r="C1539" s="2" t="str">
        <f>IFERROR(__xludf.DUMMYFUNCTION("""COMPUTED_VALUE"""),"ewinsperey@intel.com")</f>
        <v>ewinsperey@intel.com</v>
      </c>
      <c r="D1539" s="4">
        <f>IFERROR(__xludf.DUMMYFUNCTION("""COMPUTED_VALUE"""),22.0)</f>
        <v>22</v>
      </c>
      <c r="E1539" s="4">
        <f>IFERROR(__xludf.DUMMYFUNCTION("""COMPUTED_VALUE"""),82.0)</f>
        <v>82</v>
      </c>
      <c r="F1539" s="4">
        <f>IFERROR(__xludf.DUMMYFUNCTION("""COMPUTED_VALUE"""),1.0)</f>
        <v>1</v>
      </c>
      <c r="G1539" s="4">
        <f>IFERROR(__xludf.DUMMYFUNCTION("""COMPUTED_VALUE"""),1336.0)</f>
        <v>1336</v>
      </c>
      <c r="H1539" s="5">
        <f>IFERROR(__xludf.DUMMYFUNCTION("""COMPUTED_VALUE"""),6205.64)</f>
        <v>6205.64</v>
      </c>
      <c r="I1539" s="5">
        <f>IFERROR(__xludf.DUMMYFUNCTION("""COMPUTED_VALUE"""),3192.26)</f>
        <v>3192.26</v>
      </c>
      <c r="J1539" s="5">
        <f>IFERROR(__xludf.DUMMYFUNCTION("""COMPUTED_VALUE"""),6993.68)</f>
        <v>6993.68</v>
      </c>
      <c r="K1539" s="5">
        <f>IFERROR(__xludf.DUMMYFUNCTION("""COMPUTED_VALUE"""),4816.39)</f>
        <v>4816.39</v>
      </c>
      <c r="L1539" s="4">
        <f>IFERROR(__xludf.DUMMYFUNCTION("""COMPUTED_VALUE"""),15.0)</f>
        <v>15</v>
      </c>
      <c r="M1539" s="4">
        <f>IFERROR(__xludf.DUMMYFUNCTION("""COMPUTED_VALUE"""),1.0)</f>
        <v>1</v>
      </c>
      <c r="N1539" s="2" t="str">
        <f>IFERROR(__xludf.DUMMYFUNCTION("""COMPUTED_VALUE"""),"VERDADERO")</f>
        <v>VERDADERO</v>
      </c>
    </row>
    <row r="1540">
      <c r="A1540" s="2">
        <f>IFERROR(__xludf.DUMMYFUNCTION("""COMPUTED_VALUE"""),1539.0)</f>
        <v>1539</v>
      </c>
      <c r="B1540" s="2" t="str">
        <f>IFERROR(__xludf.DUMMYFUNCTION("""COMPUTED_VALUE"""),"Brigham Ondrusek")</f>
        <v>Brigham Ondrusek</v>
      </c>
      <c r="C1540" s="2" t="str">
        <f>IFERROR(__xludf.DUMMYFUNCTION("""COMPUTED_VALUE"""),"bondrusekez@dailymotion.com")</f>
        <v>bondrusekez@dailymotion.com</v>
      </c>
      <c r="D1540" s="4">
        <f>IFERROR(__xludf.DUMMYFUNCTION("""COMPUTED_VALUE"""),29.0)</f>
        <v>29</v>
      </c>
      <c r="E1540" s="4">
        <f>IFERROR(__xludf.DUMMYFUNCTION("""COMPUTED_VALUE"""),81.0)</f>
        <v>81</v>
      </c>
      <c r="F1540" s="4">
        <f>IFERROR(__xludf.DUMMYFUNCTION("""COMPUTED_VALUE"""),2.0)</f>
        <v>2</v>
      </c>
      <c r="G1540" s="4">
        <f>IFERROR(__xludf.DUMMYFUNCTION("""COMPUTED_VALUE"""),1459.0)</f>
        <v>1459</v>
      </c>
      <c r="H1540" s="5">
        <f>IFERROR(__xludf.DUMMYFUNCTION("""COMPUTED_VALUE"""),4974.57)</f>
        <v>4974.57</v>
      </c>
      <c r="I1540" s="5">
        <f>IFERROR(__xludf.DUMMYFUNCTION("""COMPUTED_VALUE"""),1772.45)</f>
        <v>1772.45</v>
      </c>
      <c r="J1540" s="5">
        <f>IFERROR(__xludf.DUMMYFUNCTION("""COMPUTED_VALUE"""),5631.04)</f>
        <v>5631.04</v>
      </c>
      <c r="K1540" s="5">
        <f>IFERROR(__xludf.DUMMYFUNCTION("""COMPUTED_VALUE"""),8495.82)</f>
        <v>8495.82</v>
      </c>
      <c r="L1540" s="4">
        <f>IFERROR(__xludf.DUMMYFUNCTION("""COMPUTED_VALUE"""),17.0)</f>
        <v>17</v>
      </c>
      <c r="M1540" s="4">
        <f>IFERROR(__xludf.DUMMYFUNCTION("""COMPUTED_VALUE"""),54.0)</f>
        <v>54</v>
      </c>
      <c r="N1540" s="2" t="str">
        <f>IFERROR(__xludf.DUMMYFUNCTION("""COMPUTED_VALUE"""),"VERDADERO")</f>
        <v>VERDADERO</v>
      </c>
    </row>
    <row r="1541">
      <c r="A1541" s="2">
        <f>IFERROR(__xludf.DUMMYFUNCTION("""COMPUTED_VALUE"""),1540.0)</f>
        <v>1540</v>
      </c>
      <c r="B1541" s="2" t="str">
        <f>IFERROR(__xludf.DUMMYFUNCTION("""COMPUTED_VALUE"""),"Bell Bramford")</f>
        <v>Bell Bramford</v>
      </c>
      <c r="C1541" s="2" t="str">
        <f>IFERROR(__xludf.DUMMYFUNCTION("""COMPUTED_VALUE"""),"bbramfordf0@state.gov")</f>
        <v>bbramfordf0@state.gov</v>
      </c>
      <c r="D1541" s="4">
        <f>IFERROR(__xludf.DUMMYFUNCTION("""COMPUTED_VALUE"""),29.0)</f>
        <v>29</v>
      </c>
      <c r="E1541" s="4">
        <f>IFERROR(__xludf.DUMMYFUNCTION("""COMPUTED_VALUE"""),5.0)</f>
        <v>5</v>
      </c>
      <c r="F1541" s="4">
        <f>IFERROR(__xludf.DUMMYFUNCTION("""COMPUTED_VALUE"""),7.0)</f>
        <v>7</v>
      </c>
      <c r="G1541" s="4">
        <f>IFERROR(__xludf.DUMMYFUNCTION("""COMPUTED_VALUE"""),40.0)</f>
        <v>40</v>
      </c>
      <c r="H1541" s="5">
        <f>IFERROR(__xludf.DUMMYFUNCTION("""COMPUTED_VALUE"""),1056.64)</f>
        <v>1056.64</v>
      </c>
      <c r="I1541" s="5">
        <f>IFERROR(__xludf.DUMMYFUNCTION("""COMPUTED_VALUE"""),4506.4)</f>
        <v>4506.4</v>
      </c>
      <c r="J1541" s="5">
        <f>IFERROR(__xludf.DUMMYFUNCTION("""COMPUTED_VALUE"""),1222.06)</f>
        <v>1222.06</v>
      </c>
      <c r="K1541" s="5">
        <f>IFERROR(__xludf.DUMMYFUNCTION("""COMPUTED_VALUE"""),4244.47)</f>
        <v>4244.47</v>
      </c>
      <c r="L1541" s="4">
        <f>IFERROR(__xludf.DUMMYFUNCTION("""COMPUTED_VALUE"""),15.0)</f>
        <v>15</v>
      </c>
      <c r="M1541" s="4">
        <f>IFERROR(__xludf.DUMMYFUNCTION("""COMPUTED_VALUE"""),98.0)</f>
        <v>98</v>
      </c>
      <c r="N1541" s="2" t="str">
        <f>IFERROR(__xludf.DUMMYFUNCTION("""COMPUTED_VALUE"""),"FALSO")</f>
        <v>FALSO</v>
      </c>
    </row>
    <row r="1542">
      <c r="A1542" s="2">
        <f>IFERROR(__xludf.DUMMYFUNCTION("""COMPUTED_VALUE"""),1541.0)</f>
        <v>1541</v>
      </c>
      <c r="B1542" s="2" t="str">
        <f>IFERROR(__xludf.DUMMYFUNCTION("""COMPUTED_VALUE"""),"Paule Hartzog")</f>
        <v>Paule Hartzog</v>
      </c>
      <c r="C1542" s="2" t="str">
        <f>IFERROR(__xludf.DUMMYFUNCTION("""COMPUTED_VALUE"""),"phartzogf1@yelp.com")</f>
        <v>phartzogf1@yelp.com</v>
      </c>
      <c r="D1542" s="4">
        <f>IFERROR(__xludf.DUMMYFUNCTION("""COMPUTED_VALUE"""),115.0)</f>
        <v>115</v>
      </c>
      <c r="E1542" s="4">
        <f>IFERROR(__xludf.DUMMYFUNCTION("""COMPUTED_VALUE"""),117.0)</f>
        <v>117</v>
      </c>
      <c r="F1542" s="4">
        <f>IFERROR(__xludf.DUMMYFUNCTION("""COMPUTED_VALUE"""),4.0)</f>
        <v>4</v>
      </c>
      <c r="G1542" s="4">
        <f>IFERROR(__xludf.DUMMYFUNCTION("""COMPUTED_VALUE"""),96.0)</f>
        <v>96</v>
      </c>
      <c r="H1542" s="5">
        <f>IFERROR(__xludf.DUMMYFUNCTION("""COMPUTED_VALUE"""),8262.36)</f>
        <v>8262.36</v>
      </c>
      <c r="I1542" s="5">
        <f>IFERROR(__xludf.DUMMYFUNCTION("""COMPUTED_VALUE"""),7820.69)</f>
        <v>7820.69</v>
      </c>
      <c r="J1542" s="5">
        <f>IFERROR(__xludf.DUMMYFUNCTION("""COMPUTED_VALUE"""),2871.92)</f>
        <v>2871.92</v>
      </c>
      <c r="K1542" s="5">
        <f>IFERROR(__xludf.DUMMYFUNCTION("""COMPUTED_VALUE"""),4347.59)</f>
        <v>4347.59</v>
      </c>
      <c r="L1542" s="4">
        <f>IFERROR(__xludf.DUMMYFUNCTION("""COMPUTED_VALUE"""),7.0)</f>
        <v>7</v>
      </c>
      <c r="M1542" s="4">
        <f>IFERROR(__xludf.DUMMYFUNCTION("""COMPUTED_VALUE"""),93.0)</f>
        <v>93</v>
      </c>
      <c r="N1542" s="2" t="str">
        <f>IFERROR(__xludf.DUMMYFUNCTION("""COMPUTED_VALUE"""),"VERDADERO")</f>
        <v>VERDADERO</v>
      </c>
    </row>
    <row r="1543">
      <c r="A1543" s="2">
        <f>IFERROR(__xludf.DUMMYFUNCTION("""COMPUTED_VALUE"""),1542.0)</f>
        <v>1542</v>
      </c>
      <c r="B1543" s="2" t="str">
        <f>IFERROR(__xludf.DUMMYFUNCTION("""COMPUTED_VALUE"""),"Carley Cuppleditch")</f>
        <v>Carley Cuppleditch</v>
      </c>
      <c r="C1543" s="2" t="str">
        <f>IFERROR(__xludf.DUMMYFUNCTION("""COMPUTED_VALUE"""),"ccuppleditchf2@independent.co.uk")</f>
        <v>ccuppleditchf2@independent.co.uk</v>
      </c>
      <c r="D1543" s="4">
        <f>IFERROR(__xludf.DUMMYFUNCTION("""COMPUTED_VALUE"""),121.0)</f>
        <v>121</v>
      </c>
      <c r="E1543" s="4">
        <f>IFERROR(__xludf.DUMMYFUNCTION("""COMPUTED_VALUE"""),82.0)</f>
        <v>82</v>
      </c>
      <c r="F1543" s="4">
        <f>IFERROR(__xludf.DUMMYFUNCTION("""COMPUTED_VALUE"""),3.0)</f>
        <v>3</v>
      </c>
      <c r="G1543" s="4">
        <f>IFERROR(__xludf.DUMMYFUNCTION("""COMPUTED_VALUE"""),1033.0)</f>
        <v>1033</v>
      </c>
      <c r="H1543" s="5">
        <f>IFERROR(__xludf.DUMMYFUNCTION("""COMPUTED_VALUE"""),5677.78)</f>
        <v>5677.78</v>
      </c>
      <c r="I1543" s="5">
        <f>IFERROR(__xludf.DUMMYFUNCTION("""COMPUTED_VALUE"""),6368.26)</f>
        <v>6368.26</v>
      </c>
      <c r="J1543" s="5">
        <f>IFERROR(__xludf.DUMMYFUNCTION("""COMPUTED_VALUE"""),9784.57)</f>
        <v>9784.57</v>
      </c>
      <c r="K1543" s="5">
        <f>IFERROR(__xludf.DUMMYFUNCTION("""COMPUTED_VALUE"""),6710.51)</f>
        <v>6710.51</v>
      </c>
      <c r="L1543" s="4">
        <f>IFERROR(__xludf.DUMMYFUNCTION("""COMPUTED_VALUE"""),9.0)</f>
        <v>9</v>
      </c>
      <c r="M1543" s="4">
        <f>IFERROR(__xludf.DUMMYFUNCTION("""COMPUTED_VALUE"""),69.0)</f>
        <v>69</v>
      </c>
      <c r="N1543" s="2" t="str">
        <f>IFERROR(__xludf.DUMMYFUNCTION("""COMPUTED_VALUE"""),"VERDADERO")</f>
        <v>VERDADERO</v>
      </c>
    </row>
    <row r="1544">
      <c r="A1544" s="2">
        <f>IFERROR(__xludf.DUMMYFUNCTION("""COMPUTED_VALUE"""),1543.0)</f>
        <v>1543</v>
      </c>
      <c r="B1544" s="2" t="str">
        <f>IFERROR(__xludf.DUMMYFUNCTION("""COMPUTED_VALUE"""),"Morganica Feathers")</f>
        <v>Morganica Feathers</v>
      </c>
      <c r="C1544" s="2" t="str">
        <f>IFERROR(__xludf.DUMMYFUNCTION("""COMPUTED_VALUE"""),"mfeathersf3@1688.com")</f>
        <v>mfeathersf3@1688.com</v>
      </c>
      <c r="D1544" s="4">
        <f>IFERROR(__xludf.DUMMYFUNCTION("""COMPUTED_VALUE"""),153.0)</f>
        <v>153</v>
      </c>
      <c r="E1544" s="4">
        <f>IFERROR(__xludf.DUMMYFUNCTION("""COMPUTED_VALUE"""),12.0)</f>
        <v>12</v>
      </c>
      <c r="F1544" s="4">
        <f>IFERROR(__xludf.DUMMYFUNCTION("""COMPUTED_VALUE"""),6.0)</f>
        <v>6</v>
      </c>
      <c r="G1544" s="4">
        <f>IFERROR(__xludf.DUMMYFUNCTION("""COMPUTED_VALUE"""),1171.0)</f>
        <v>1171</v>
      </c>
      <c r="H1544" s="5">
        <f>IFERROR(__xludf.DUMMYFUNCTION("""COMPUTED_VALUE"""),2355.93)</f>
        <v>2355.93</v>
      </c>
      <c r="I1544" s="5">
        <f>IFERROR(__xludf.DUMMYFUNCTION("""COMPUTED_VALUE"""),9168.88)</f>
        <v>9168.88</v>
      </c>
      <c r="J1544" s="5">
        <f>IFERROR(__xludf.DUMMYFUNCTION("""COMPUTED_VALUE"""),730.29)</f>
        <v>730.29</v>
      </c>
      <c r="K1544" s="5">
        <f>IFERROR(__xludf.DUMMYFUNCTION("""COMPUTED_VALUE"""),6592.81)</f>
        <v>6592.81</v>
      </c>
      <c r="L1544" s="4">
        <f>IFERROR(__xludf.DUMMYFUNCTION("""COMPUTED_VALUE"""),3.0)</f>
        <v>3</v>
      </c>
      <c r="M1544" s="4">
        <f>IFERROR(__xludf.DUMMYFUNCTION("""COMPUTED_VALUE"""),31.0)</f>
        <v>31</v>
      </c>
      <c r="N1544" s="2" t="str">
        <f>IFERROR(__xludf.DUMMYFUNCTION("""COMPUTED_VALUE"""),"FALSO")</f>
        <v>FALSO</v>
      </c>
    </row>
    <row r="1545">
      <c r="A1545" s="2">
        <f>IFERROR(__xludf.DUMMYFUNCTION("""COMPUTED_VALUE"""),1544.0)</f>
        <v>1544</v>
      </c>
      <c r="B1545" s="2" t="str">
        <f>IFERROR(__xludf.DUMMYFUNCTION("""COMPUTED_VALUE"""),"Clementius Hynson")</f>
        <v>Clementius Hynson</v>
      </c>
      <c r="C1545" s="2" t="str">
        <f>IFERROR(__xludf.DUMMYFUNCTION("""COMPUTED_VALUE"""),"chynsonf4@bbc.co.uk")</f>
        <v>chynsonf4@bbc.co.uk</v>
      </c>
      <c r="D1545" s="4">
        <f>IFERROR(__xludf.DUMMYFUNCTION("""COMPUTED_VALUE"""),29.0)</f>
        <v>29</v>
      </c>
      <c r="E1545" s="4">
        <f>IFERROR(__xludf.DUMMYFUNCTION("""COMPUTED_VALUE"""),81.0)</f>
        <v>81</v>
      </c>
      <c r="F1545" s="4">
        <f>IFERROR(__xludf.DUMMYFUNCTION("""COMPUTED_VALUE"""),2.0)</f>
        <v>2</v>
      </c>
      <c r="G1545" s="4">
        <f>IFERROR(__xludf.DUMMYFUNCTION("""COMPUTED_VALUE"""),582.0)</f>
        <v>582</v>
      </c>
      <c r="H1545" s="5">
        <f>IFERROR(__xludf.DUMMYFUNCTION("""COMPUTED_VALUE"""),1686.39)</f>
        <v>1686.39</v>
      </c>
      <c r="I1545" s="5">
        <f>IFERROR(__xludf.DUMMYFUNCTION("""COMPUTED_VALUE"""),5880.96)</f>
        <v>5880.96</v>
      </c>
      <c r="J1545" s="5">
        <f>IFERROR(__xludf.DUMMYFUNCTION("""COMPUTED_VALUE"""),5055.11)</f>
        <v>5055.11</v>
      </c>
      <c r="K1545" s="5">
        <f>IFERROR(__xludf.DUMMYFUNCTION("""COMPUTED_VALUE"""),8198.18)</f>
        <v>8198.18</v>
      </c>
      <c r="L1545" s="4">
        <f>IFERROR(__xludf.DUMMYFUNCTION("""COMPUTED_VALUE"""),18.0)</f>
        <v>18</v>
      </c>
      <c r="M1545" s="4">
        <f>IFERROR(__xludf.DUMMYFUNCTION("""COMPUTED_VALUE"""),38.0)</f>
        <v>38</v>
      </c>
      <c r="N1545" s="2" t="str">
        <f>IFERROR(__xludf.DUMMYFUNCTION("""COMPUTED_VALUE"""),"VERDADERO")</f>
        <v>VERDADERO</v>
      </c>
    </row>
    <row r="1546">
      <c r="A1546" s="2">
        <f>IFERROR(__xludf.DUMMYFUNCTION("""COMPUTED_VALUE"""),1545.0)</f>
        <v>1545</v>
      </c>
      <c r="B1546" s="2" t="str">
        <f>IFERROR(__xludf.DUMMYFUNCTION("""COMPUTED_VALUE"""),"John Kerfoot")</f>
        <v>John Kerfoot</v>
      </c>
      <c r="C1546" s="2" t="str">
        <f>IFERROR(__xludf.DUMMYFUNCTION("""COMPUTED_VALUE"""),"jkerfootf5@toplist.cz")</f>
        <v>jkerfootf5@toplist.cz</v>
      </c>
      <c r="D1546" s="4">
        <f>IFERROR(__xludf.DUMMYFUNCTION("""COMPUTED_VALUE"""),120.0)</f>
        <v>120</v>
      </c>
      <c r="E1546" s="4">
        <f>IFERROR(__xludf.DUMMYFUNCTION("""COMPUTED_VALUE"""),81.0)</f>
        <v>81</v>
      </c>
      <c r="F1546" s="4">
        <f>IFERROR(__xludf.DUMMYFUNCTION("""COMPUTED_VALUE"""),2.0)</f>
        <v>2</v>
      </c>
      <c r="G1546" s="4">
        <f>IFERROR(__xludf.DUMMYFUNCTION("""COMPUTED_VALUE"""),1477.0)</f>
        <v>1477</v>
      </c>
      <c r="H1546" s="5">
        <f>IFERROR(__xludf.DUMMYFUNCTION("""COMPUTED_VALUE"""),4625.36)</f>
        <v>4625.36</v>
      </c>
      <c r="I1546" s="5">
        <f>IFERROR(__xludf.DUMMYFUNCTION("""COMPUTED_VALUE"""),4277.46)</f>
        <v>4277.46</v>
      </c>
      <c r="J1546" s="5">
        <f>IFERROR(__xludf.DUMMYFUNCTION("""COMPUTED_VALUE"""),5443.52)</f>
        <v>5443.52</v>
      </c>
      <c r="K1546" s="5">
        <f>IFERROR(__xludf.DUMMYFUNCTION("""COMPUTED_VALUE"""),4750.73)</f>
        <v>4750.73</v>
      </c>
      <c r="L1546" s="4">
        <f>IFERROR(__xludf.DUMMYFUNCTION("""COMPUTED_VALUE"""),16.0)</f>
        <v>16</v>
      </c>
      <c r="M1546" s="4">
        <f>IFERROR(__xludf.DUMMYFUNCTION("""COMPUTED_VALUE"""),97.0)</f>
        <v>97</v>
      </c>
      <c r="N1546" s="2" t="str">
        <f>IFERROR(__xludf.DUMMYFUNCTION("""COMPUTED_VALUE"""),"VERDADERO")</f>
        <v>VERDADERO</v>
      </c>
    </row>
    <row r="1547">
      <c r="A1547" s="2">
        <f>IFERROR(__xludf.DUMMYFUNCTION("""COMPUTED_VALUE"""),1546.0)</f>
        <v>1546</v>
      </c>
      <c r="B1547" s="2" t="str">
        <f>IFERROR(__xludf.DUMMYFUNCTION("""COMPUTED_VALUE"""),"Rani Liddyard")</f>
        <v>Rani Liddyard</v>
      </c>
      <c r="C1547" s="2" t="str">
        <f>IFERROR(__xludf.DUMMYFUNCTION("""COMPUTED_VALUE"""),"rliddyardf6@timesonline.co.uk")</f>
        <v>rliddyardf6@timesonline.co.uk</v>
      </c>
      <c r="D1547" s="4">
        <f>IFERROR(__xludf.DUMMYFUNCTION("""COMPUTED_VALUE"""),120.0)</f>
        <v>120</v>
      </c>
      <c r="E1547" s="4">
        <f>IFERROR(__xludf.DUMMYFUNCTION("""COMPUTED_VALUE"""),81.0)</f>
        <v>81</v>
      </c>
      <c r="F1547" s="4">
        <f>IFERROR(__xludf.DUMMYFUNCTION("""COMPUTED_VALUE"""),2.0)</f>
        <v>2</v>
      </c>
      <c r="G1547" s="4">
        <f>IFERROR(__xludf.DUMMYFUNCTION("""COMPUTED_VALUE"""),1161.0)</f>
        <v>1161</v>
      </c>
      <c r="H1547" s="5">
        <f>IFERROR(__xludf.DUMMYFUNCTION("""COMPUTED_VALUE"""),5813.87)</f>
        <v>5813.87</v>
      </c>
      <c r="I1547" s="5">
        <f>IFERROR(__xludf.DUMMYFUNCTION("""COMPUTED_VALUE"""),4299.91)</f>
        <v>4299.91</v>
      </c>
      <c r="J1547" s="5">
        <f>IFERROR(__xludf.DUMMYFUNCTION("""COMPUTED_VALUE"""),1605.68)</f>
        <v>1605.68</v>
      </c>
      <c r="K1547" s="5">
        <f>IFERROR(__xludf.DUMMYFUNCTION("""COMPUTED_VALUE"""),2152.13)</f>
        <v>2152.13</v>
      </c>
      <c r="L1547" s="4">
        <f>IFERROR(__xludf.DUMMYFUNCTION("""COMPUTED_VALUE"""),16.0)</f>
        <v>16</v>
      </c>
      <c r="M1547" s="4">
        <f>IFERROR(__xludf.DUMMYFUNCTION("""COMPUTED_VALUE"""),48.0)</f>
        <v>48</v>
      </c>
      <c r="N1547" s="2" t="str">
        <f>IFERROR(__xludf.DUMMYFUNCTION("""COMPUTED_VALUE"""),"FALSO")</f>
        <v>FALSO</v>
      </c>
    </row>
    <row r="1548">
      <c r="A1548" s="2">
        <f>IFERROR(__xludf.DUMMYFUNCTION("""COMPUTED_VALUE"""),1547.0)</f>
        <v>1547</v>
      </c>
      <c r="B1548" s="2" t="str">
        <f>IFERROR(__xludf.DUMMYFUNCTION("""COMPUTED_VALUE"""),"Fiona Barks")</f>
        <v>Fiona Barks</v>
      </c>
      <c r="C1548" s="2" t="str">
        <f>IFERROR(__xludf.DUMMYFUNCTION("""COMPUTED_VALUE"""),"fbarksf7@studiopress.com")</f>
        <v>fbarksf7@studiopress.com</v>
      </c>
      <c r="D1548" s="4">
        <f>IFERROR(__xludf.DUMMYFUNCTION("""COMPUTED_VALUE"""),65.0)</f>
        <v>65</v>
      </c>
      <c r="E1548" s="4">
        <f>IFERROR(__xludf.DUMMYFUNCTION("""COMPUTED_VALUE"""),106.0)</f>
        <v>106</v>
      </c>
      <c r="F1548" s="4">
        <f>IFERROR(__xludf.DUMMYFUNCTION("""COMPUTED_VALUE"""),4.0)</f>
        <v>4</v>
      </c>
      <c r="G1548" s="4">
        <f>IFERROR(__xludf.DUMMYFUNCTION("""COMPUTED_VALUE"""),599.0)</f>
        <v>599</v>
      </c>
      <c r="H1548" s="5">
        <f>IFERROR(__xludf.DUMMYFUNCTION("""COMPUTED_VALUE"""),9015.1)</f>
        <v>9015.1</v>
      </c>
      <c r="I1548" s="5">
        <f>IFERROR(__xludf.DUMMYFUNCTION("""COMPUTED_VALUE"""),8373.75)</f>
        <v>8373.75</v>
      </c>
      <c r="J1548" s="5">
        <f>IFERROR(__xludf.DUMMYFUNCTION("""COMPUTED_VALUE"""),6199.15)</f>
        <v>6199.15</v>
      </c>
      <c r="K1548" s="5">
        <f>IFERROR(__xludf.DUMMYFUNCTION("""COMPUTED_VALUE"""),7555.75)</f>
        <v>7555.75</v>
      </c>
      <c r="L1548" s="4">
        <f>IFERROR(__xludf.DUMMYFUNCTION("""COMPUTED_VALUE"""),3.0)</f>
        <v>3</v>
      </c>
      <c r="M1548" s="4">
        <f>IFERROR(__xludf.DUMMYFUNCTION("""COMPUTED_VALUE"""),70.0)</f>
        <v>70</v>
      </c>
      <c r="N1548" s="2" t="str">
        <f>IFERROR(__xludf.DUMMYFUNCTION("""COMPUTED_VALUE"""),"FALSO")</f>
        <v>FALSO</v>
      </c>
    </row>
    <row r="1549">
      <c r="A1549" s="2">
        <f>IFERROR(__xludf.DUMMYFUNCTION("""COMPUTED_VALUE"""),1548.0)</f>
        <v>1548</v>
      </c>
      <c r="B1549" s="2" t="str">
        <f>IFERROR(__xludf.DUMMYFUNCTION("""COMPUTED_VALUE"""),"Adelind Lashbrook")</f>
        <v>Adelind Lashbrook</v>
      </c>
      <c r="C1549" s="2" t="str">
        <f>IFERROR(__xludf.DUMMYFUNCTION("""COMPUTED_VALUE"""),"alashbrookf8@tinyurl.com")</f>
        <v>alashbrookf8@tinyurl.com</v>
      </c>
      <c r="D1549" s="4">
        <f>IFERROR(__xludf.DUMMYFUNCTION("""COMPUTED_VALUE"""),29.0)</f>
        <v>29</v>
      </c>
      <c r="E1549" s="4">
        <f>IFERROR(__xludf.DUMMYFUNCTION("""COMPUTED_VALUE"""),58.0)</f>
        <v>58</v>
      </c>
      <c r="F1549" s="4">
        <f>IFERROR(__xludf.DUMMYFUNCTION("""COMPUTED_VALUE"""),8.0)</f>
        <v>8</v>
      </c>
      <c r="G1549" s="4">
        <f>IFERROR(__xludf.DUMMYFUNCTION("""COMPUTED_VALUE"""),860.0)</f>
        <v>860</v>
      </c>
      <c r="H1549" s="5">
        <f>IFERROR(__xludf.DUMMYFUNCTION("""COMPUTED_VALUE"""),286.13)</f>
        <v>286.13</v>
      </c>
      <c r="I1549" s="5">
        <f>IFERROR(__xludf.DUMMYFUNCTION("""COMPUTED_VALUE"""),5695.14)</f>
        <v>5695.14</v>
      </c>
      <c r="J1549" s="5">
        <f>IFERROR(__xludf.DUMMYFUNCTION("""COMPUTED_VALUE"""),261.62)</f>
        <v>261.62</v>
      </c>
      <c r="K1549" s="5">
        <f>IFERROR(__xludf.DUMMYFUNCTION("""COMPUTED_VALUE"""),9407.85)</f>
        <v>9407.85</v>
      </c>
      <c r="L1549" s="4">
        <f>IFERROR(__xludf.DUMMYFUNCTION("""COMPUTED_VALUE"""),11.0)</f>
        <v>11</v>
      </c>
      <c r="M1549" s="4">
        <f>IFERROR(__xludf.DUMMYFUNCTION("""COMPUTED_VALUE"""),63.0)</f>
        <v>63</v>
      </c>
      <c r="N1549" s="2" t="str">
        <f>IFERROR(__xludf.DUMMYFUNCTION("""COMPUTED_VALUE"""),"FALSO")</f>
        <v>FALSO</v>
      </c>
    </row>
    <row r="1550">
      <c r="A1550" s="2">
        <f>IFERROR(__xludf.DUMMYFUNCTION("""COMPUTED_VALUE"""),1549.0)</f>
        <v>1549</v>
      </c>
      <c r="B1550" s="2" t="str">
        <f>IFERROR(__xludf.DUMMYFUNCTION("""COMPUTED_VALUE"""),"Devin Lacey")</f>
        <v>Devin Lacey</v>
      </c>
      <c r="C1550" s="2" t="str">
        <f>IFERROR(__xludf.DUMMYFUNCTION("""COMPUTED_VALUE"""),"dlaceyf9@latimes.com")</f>
        <v>dlaceyf9@latimes.com</v>
      </c>
      <c r="D1550" s="4">
        <f>IFERROR(__xludf.DUMMYFUNCTION("""COMPUTED_VALUE"""),2.0)</f>
        <v>2</v>
      </c>
      <c r="E1550" s="4">
        <f>IFERROR(__xludf.DUMMYFUNCTION("""COMPUTED_VALUE"""),66.0)</f>
        <v>66</v>
      </c>
      <c r="F1550" s="4">
        <f>IFERROR(__xludf.DUMMYFUNCTION("""COMPUTED_VALUE"""),6.0)</f>
        <v>6</v>
      </c>
      <c r="G1550" s="4">
        <f>IFERROR(__xludf.DUMMYFUNCTION("""COMPUTED_VALUE"""),239.0)</f>
        <v>239</v>
      </c>
      <c r="H1550" s="5">
        <f>IFERROR(__xludf.DUMMYFUNCTION("""COMPUTED_VALUE"""),2605.65)</f>
        <v>2605.65</v>
      </c>
      <c r="I1550" s="5">
        <f>IFERROR(__xludf.DUMMYFUNCTION("""COMPUTED_VALUE"""),1516.28)</f>
        <v>1516.28</v>
      </c>
      <c r="J1550" s="5">
        <f>IFERROR(__xludf.DUMMYFUNCTION("""COMPUTED_VALUE"""),2969.73)</f>
        <v>2969.73</v>
      </c>
      <c r="K1550" s="5">
        <f>IFERROR(__xludf.DUMMYFUNCTION("""COMPUTED_VALUE"""),5100.05)</f>
        <v>5100.05</v>
      </c>
      <c r="L1550" s="4">
        <f>IFERROR(__xludf.DUMMYFUNCTION("""COMPUTED_VALUE"""),13.0)</f>
        <v>13</v>
      </c>
      <c r="M1550" s="4">
        <f>IFERROR(__xludf.DUMMYFUNCTION("""COMPUTED_VALUE"""),12.0)</f>
        <v>12</v>
      </c>
      <c r="N1550" s="2" t="str">
        <f>IFERROR(__xludf.DUMMYFUNCTION("""COMPUTED_VALUE"""),"VERDADERO")</f>
        <v>VERDADERO</v>
      </c>
    </row>
    <row r="1551">
      <c r="A1551" s="2">
        <f>IFERROR(__xludf.DUMMYFUNCTION("""COMPUTED_VALUE"""),1550.0)</f>
        <v>1550</v>
      </c>
      <c r="B1551" s="2" t="str">
        <f>IFERROR(__xludf.DUMMYFUNCTION("""COMPUTED_VALUE"""),"Gertrudis Buche")</f>
        <v>Gertrudis Buche</v>
      </c>
      <c r="C1551" s="2" t="str">
        <f>IFERROR(__xludf.DUMMYFUNCTION("""COMPUTED_VALUE"""),"gbuchefa@devhub.com")</f>
        <v>gbuchefa@devhub.com</v>
      </c>
      <c r="D1551" s="4">
        <f>IFERROR(__xludf.DUMMYFUNCTION("""COMPUTED_VALUE"""),65.0)</f>
        <v>65</v>
      </c>
      <c r="E1551" s="4">
        <f>IFERROR(__xludf.DUMMYFUNCTION("""COMPUTED_VALUE"""),47.0)</f>
        <v>47</v>
      </c>
      <c r="F1551" s="4">
        <f>IFERROR(__xludf.DUMMYFUNCTION("""COMPUTED_VALUE"""),4.0)</f>
        <v>4</v>
      </c>
      <c r="G1551" s="4">
        <f>IFERROR(__xludf.DUMMYFUNCTION("""COMPUTED_VALUE"""),1010.0)</f>
        <v>1010</v>
      </c>
      <c r="H1551" s="5">
        <f>IFERROR(__xludf.DUMMYFUNCTION("""COMPUTED_VALUE"""),1997.07)</f>
        <v>1997.07</v>
      </c>
      <c r="I1551" s="5">
        <f>IFERROR(__xludf.DUMMYFUNCTION("""COMPUTED_VALUE"""),5634.58)</f>
        <v>5634.58</v>
      </c>
      <c r="J1551" s="5">
        <f>IFERROR(__xludf.DUMMYFUNCTION("""COMPUTED_VALUE"""),5569.08)</f>
        <v>5569.08</v>
      </c>
      <c r="K1551" s="5">
        <f>IFERROR(__xludf.DUMMYFUNCTION("""COMPUTED_VALUE"""),6063.54)</f>
        <v>6063.54</v>
      </c>
      <c r="L1551" s="4">
        <f>IFERROR(__xludf.DUMMYFUNCTION("""COMPUTED_VALUE"""),7.0)</f>
        <v>7</v>
      </c>
      <c r="M1551" s="4">
        <f>IFERROR(__xludf.DUMMYFUNCTION("""COMPUTED_VALUE"""),15.0)</f>
        <v>15</v>
      </c>
      <c r="N1551" s="2" t="str">
        <f>IFERROR(__xludf.DUMMYFUNCTION("""COMPUTED_VALUE"""),"VERDADERO")</f>
        <v>VERDADERO</v>
      </c>
    </row>
    <row r="1552">
      <c r="A1552" s="2">
        <f>IFERROR(__xludf.DUMMYFUNCTION("""COMPUTED_VALUE"""),1551.0)</f>
        <v>1551</v>
      </c>
      <c r="B1552" s="2" t="str">
        <f>IFERROR(__xludf.DUMMYFUNCTION("""COMPUTED_VALUE"""),"Dexter Dymond")</f>
        <v>Dexter Dymond</v>
      </c>
      <c r="C1552" s="2" t="str">
        <f>IFERROR(__xludf.DUMMYFUNCTION("""COMPUTED_VALUE"""),"ddymondfb@dion.ne.jp")</f>
        <v>ddymondfb@dion.ne.jp</v>
      </c>
      <c r="D1552" s="4">
        <f>IFERROR(__xludf.DUMMYFUNCTION("""COMPUTED_VALUE"""),29.0)</f>
        <v>29</v>
      </c>
      <c r="E1552" s="4">
        <f>IFERROR(__xludf.DUMMYFUNCTION("""COMPUTED_VALUE"""),29.0)</f>
        <v>29</v>
      </c>
      <c r="F1552" s="4">
        <f>IFERROR(__xludf.DUMMYFUNCTION("""COMPUTED_VALUE"""),11.0)</f>
        <v>11</v>
      </c>
      <c r="G1552" s="4">
        <f>IFERROR(__xludf.DUMMYFUNCTION("""COMPUTED_VALUE"""),1280.0)</f>
        <v>1280</v>
      </c>
      <c r="H1552" s="5">
        <f>IFERROR(__xludf.DUMMYFUNCTION("""COMPUTED_VALUE"""),2191.55)</f>
        <v>2191.55</v>
      </c>
      <c r="I1552" s="5">
        <f>IFERROR(__xludf.DUMMYFUNCTION("""COMPUTED_VALUE"""),5371.32)</f>
        <v>5371.32</v>
      </c>
      <c r="J1552" s="5">
        <f>IFERROR(__xludf.DUMMYFUNCTION("""COMPUTED_VALUE"""),1614.5)</f>
        <v>1614.5</v>
      </c>
      <c r="K1552" s="5">
        <f>IFERROR(__xludf.DUMMYFUNCTION("""COMPUTED_VALUE"""),4517.17)</f>
        <v>4517.17</v>
      </c>
      <c r="L1552" s="4">
        <f>IFERROR(__xludf.DUMMYFUNCTION("""COMPUTED_VALUE"""),17.0)</f>
        <v>17</v>
      </c>
      <c r="M1552" s="4">
        <f>IFERROR(__xludf.DUMMYFUNCTION("""COMPUTED_VALUE"""),37.0)</f>
        <v>37</v>
      </c>
      <c r="N1552" s="2" t="str">
        <f>IFERROR(__xludf.DUMMYFUNCTION("""COMPUTED_VALUE"""),"VERDADERO")</f>
        <v>VERDADERO</v>
      </c>
    </row>
    <row r="1553">
      <c r="A1553" s="2">
        <f>IFERROR(__xludf.DUMMYFUNCTION("""COMPUTED_VALUE"""),1552.0)</f>
        <v>1552</v>
      </c>
      <c r="B1553" s="2" t="str">
        <f>IFERROR(__xludf.DUMMYFUNCTION("""COMPUTED_VALUE"""),"Hobard Le-Good")</f>
        <v>Hobard Le-Good</v>
      </c>
      <c r="C1553" s="2" t="str">
        <f>IFERROR(__xludf.DUMMYFUNCTION("""COMPUTED_VALUE"""),"hlegoodfc@yolasite.com")</f>
        <v>hlegoodfc@yolasite.com</v>
      </c>
      <c r="D1553" s="4">
        <f>IFERROR(__xludf.DUMMYFUNCTION("""COMPUTED_VALUE"""),153.0)</f>
        <v>153</v>
      </c>
      <c r="E1553" s="4">
        <f>IFERROR(__xludf.DUMMYFUNCTION("""COMPUTED_VALUE"""),117.0)</f>
        <v>117</v>
      </c>
      <c r="F1553" s="4">
        <f>IFERROR(__xludf.DUMMYFUNCTION("""COMPUTED_VALUE"""),4.0)</f>
        <v>4</v>
      </c>
      <c r="G1553" s="4">
        <f>IFERROR(__xludf.DUMMYFUNCTION("""COMPUTED_VALUE"""),774.0)</f>
        <v>774</v>
      </c>
      <c r="H1553" s="5">
        <f>IFERROR(__xludf.DUMMYFUNCTION("""COMPUTED_VALUE"""),4929.23)</f>
        <v>4929.23</v>
      </c>
      <c r="I1553" s="5">
        <f>IFERROR(__xludf.DUMMYFUNCTION("""COMPUTED_VALUE"""),4687.22)</f>
        <v>4687.22</v>
      </c>
      <c r="J1553" s="5">
        <f>IFERROR(__xludf.DUMMYFUNCTION("""COMPUTED_VALUE"""),2760.25)</f>
        <v>2760.25</v>
      </c>
      <c r="K1553" s="5">
        <f>IFERROR(__xludf.DUMMYFUNCTION("""COMPUTED_VALUE"""),4262.38)</f>
        <v>4262.38</v>
      </c>
      <c r="L1553" s="4">
        <f>IFERROR(__xludf.DUMMYFUNCTION("""COMPUTED_VALUE"""),12.0)</f>
        <v>12</v>
      </c>
      <c r="M1553" s="4">
        <f>IFERROR(__xludf.DUMMYFUNCTION("""COMPUTED_VALUE"""),51.0)</f>
        <v>51</v>
      </c>
      <c r="N1553" s="2" t="str">
        <f>IFERROR(__xludf.DUMMYFUNCTION("""COMPUTED_VALUE"""),"FALSO")</f>
        <v>FALSO</v>
      </c>
    </row>
    <row r="1554">
      <c r="A1554" s="2">
        <f>IFERROR(__xludf.DUMMYFUNCTION("""COMPUTED_VALUE"""),1553.0)</f>
        <v>1553</v>
      </c>
      <c r="B1554" s="2" t="str">
        <f>IFERROR(__xludf.DUMMYFUNCTION("""COMPUTED_VALUE"""),"Seana Christophers")</f>
        <v>Seana Christophers</v>
      </c>
      <c r="C1554" s="2" t="str">
        <f>IFERROR(__xludf.DUMMYFUNCTION("""COMPUTED_VALUE"""),"schristophersfd@wix.com")</f>
        <v>schristophersfd@wix.com</v>
      </c>
      <c r="D1554" s="4">
        <f>IFERROR(__xludf.DUMMYFUNCTION("""COMPUTED_VALUE"""),138.0)</f>
        <v>138</v>
      </c>
      <c r="E1554" s="4">
        <f>IFERROR(__xludf.DUMMYFUNCTION("""COMPUTED_VALUE"""),58.0)</f>
        <v>58</v>
      </c>
      <c r="F1554" s="4">
        <f>IFERROR(__xludf.DUMMYFUNCTION("""COMPUTED_VALUE"""),11.0)</f>
        <v>11</v>
      </c>
      <c r="G1554" s="4">
        <f>IFERROR(__xludf.DUMMYFUNCTION("""COMPUTED_VALUE"""),408.0)</f>
        <v>408</v>
      </c>
      <c r="H1554" s="5">
        <f>IFERROR(__xludf.DUMMYFUNCTION("""COMPUTED_VALUE"""),4216.68)</f>
        <v>4216.68</v>
      </c>
      <c r="I1554" s="5">
        <f>IFERROR(__xludf.DUMMYFUNCTION("""COMPUTED_VALUE"""),125.26)</f>
        <v>125.26</v>
      </c>
      <c r="J1554" s="5">
        <f>IFERROR(__xludf.DUMMYFUNCTION("""COMPUTED_VALUE"""),4674.15)</f>
        <v>4674.15</v>
      </c>
      <c r="K1554" s="5">
        <f>IFERROR(__xludf.DUMMYFUNCTION("""COMPUTED_VALUE"""),6205.72)</f>
        <v>6205.72</v>
      </c>
      <c r="L1554" s="4">
        <f>IFERROR(__xludf.DUMMYFUNCTION("""COMPUTED_VALUE"""),5.0)</f>
        <v>5</v>
      </c>
      <c r="M1554" s="4">
        <f>IFERROR(__xludf.DUMMYFUNCTION("""COMPUTED_VALUE"""),73.0)</f>
        <v>73</v>
      </c>
      <c r="N1554" s="2" t="str">
        <f>IFERROR(__xludf.DUMMYFUNCTION("""COMPUTED_VALUE"""),"VERDADERO")</f>
        <v>VERDADERO</v>
      </c>
    </row>
    <row r="1555">
      <c r="A1555" s="2">
        <f>IFERROR(__xludf.DUMMYFUNCTION("""COMPUTED_VALUE"""),1554.0)</f>
        <v>1554</v>
      </c>
      <c r="B1555" s="2" t="str">
        <f>IFERROR(__xludf.DUMMYFUNCTION("""COMPUTED_VALUE"""),"Ofella Shannahan")</f>
        <v>Ofella Shannahan</v>
      </c>
      <c r="C1555" s="2" t="str">
        <f>IFERROR(__xludf.DUMMYFUNCTION("""COMPUTED_VALUE"""),"oshannahanfe@altervista.org")</f>
        <v>oshannahanfe@altervista.org</v>
      </c>
      <c r="D1555" s="4">
        <f>IFERROR(__xludf.DUMMYFUNCTION("""COMPUTED_VALUE"""),104.0)</f>
        <v>104</v>
      </c>
      <c r="E1555" s="4">
        <f>IFERROR(__xludf.DUMMYFUNCTION("""COMPUTED_VALUE"""),112.0)</f>
        <v>112</v>
      </c>
      <c r="F1555" s="4">
        <f>IFERROR(__xludf.DUMMYFUNCTION("""COMPUTED_VALUE"""),11.0)</f>
        <v>11</v>
      </c>
      <c r="G1555" s="4">
        <f>IFERROR(__xludf.DUMMYFUNCTION("""COMPUTED_VALUE"""),562.0)</f>
        <v>562</v>
      </c>
      <c r="H1555" s="5">
        <f>IFERROR(__xludf.DUMMYFUNCTION("""COMPUTED_VALUE"""),680.04)</f>
        <v>680.04</v>
      </c>
      <c r="I1555" s="5">
        <f>IFERROR(__xludf.DUMMYFUNCTION("""COMPUTED_VALUE"""),549.66)</f>
        <v>549.66</v>
      </c>
      <c r="J1555" s="5">
        <f>IFERROR(__xludf.DUMMYFUNCTION("""COMPUTED_VALUE"""),2525.23)</f>
        <v>2525.23</v>
      </c>
      <c r="K1555" s="5">
        <f>IFERROR(__xludf.DUMMYFUNCTION("""COMPUTED_VALUE"""),9351.44)</f>
        <v>9351.44</v>
      </c>
      <c r="L1555" s="4">
        <f>IFERROR(__xludf.DUMMYFUNCTION("""COMPUTED_VALUE"""),1.0)</f>
        <v>1</v>
      </c>
      <c r="M1555" s="4">
        <f>IFERROR(__xludf.DUMMYFUNCTION("""COMPUTED_VALUE"""),1.0)</f>
        <v>1</v>
      </c>
      <c r="N1555" s="2" t="str">
        <f>IFERROR(__xludf.DUMMYFUNCTION("""COMPUTED_VALUE"""),"VERDADERO")</f>
        <v>VERDADERO</v>
      </c>
    </row>
    <row r="1556">
      <c r="A1556" s="2">
        <f>IFERROR(__xludf.DUMMYFUNCTION("""COMPUTED_VALUE"""),1555.0)</f>
        <v>1555</v>
      </c>
      <c r="B1556" s="2" t="str">
        <f>IFERROR(__xludf.DUMMYFUNCTION("""COMPUTED_VALUE"""),"Mariel Champley")</f>
        <v>Mariel Champley</v>
      </c>
      <c r="C1556" s="2" t="str">
        <f>IFERROR(__xludf.DUMMYFUNCTION("""COMPUTED_VALUE"""),"mchampleyff@google.com.br")</f>
        <v>mchampleyff@google.com.br</v>
      </c>
      <c r="D1556" s="4">
        <f>IFERROR(__xludf.DUMMYFUNCTION("""COMPUTED_VALUE"""),35.0)</f>
        <v>35</v>
      </c>
      <c r="E1556" s="4">
        <f>IFERROR(__xludf.DUMMYFUNCTION("""COMPUTED_VALUE"""),90.0)</f>
        <v>90</v>
      </c>
      <c r="F1556" s="4">
        <f>IFERROR(__xludf.DUMMYFUNCTION("""COMPUTED_VALUE"""),5.0)</f>
        <v>5</v>
      </c>
      <c r="G1556" s="4">
        <f>IFERROR(__xludf.DUMMYFUNCTION("""COMPUTED_VALUE"""),267.0)</f>
        <v>267</v>
      </c>
      <c r="H1556" s="5">
        <f>IFERROR(__xludf.DUMMYFUNCTION("""COMPUTED_VALUE"""),5896.1)</f>
        <v>5896.1</v>
      </c>
      <c r="I1556" s="5">
        <f>IFERROR(__xludf.DUMMYFUNCTION("""COMPUTED_VALUE"""),8875.55)</f>
        <v>8875.55</v>
      </c>
      <c r="J1556" s="5">
        <f>IFERROR(__xludf.DUMMYFUNCTION("""COMPUTED_VALUE"""),2259.1)</f>
        <v>2259.1</v>
      </c>
      <c r="K1556" s="5">
        <f>IFERROR(__xludf.DUMMYFUNCTION("""COMPUTED_VALUE"""),7712.06)</f>
        <v>7712.06</v>
      </c>
      <c r="L1556" s="4">
        <f>IFERROR(__xludf.DUMMYFUNCTION("""COMPUTED_VALUE"""),1.0)</f>
        <v>1</v>
      </c>
      <c r="M1556" s="4">
        <f>IFERROR(__xludf.DUMMYFUNCTION("""COMPUTED_VALUE"""),30.0)</f>
        <v>30</v>
      </c>
      <c r="N1556" s="2" t="str">
        <f>IFERROR(__xludf.DUMMYFUNCTION("""COMPUTED_VALUE"""),"FALSO")</f>
        <v>FALSO</v>
      </c>
    </row>
    <row r="1557">
      <c r="A1557" s="2">
        <f>IFERROR(__xludf.DUMMYFUNCTION("""COMPUTED_VALUE"""),1556.0)</f>
        <v>1556</v>
      </c>
      <c r="B1557" s="2" t="str">
        <f>IFERROR(__xludf.DUMMYFUNCTION("""COMPUTED_VALUE"""),"Pamella Tolomelli")</f>
        <v>Pamella Tolomelli</v>
      </c>
      <c r="C1557" s="2" t="str">
        <f>IFERROR(__xludf.DUMMYFUNCTION("""COMPUTED_VALUE"""),"ptolomellifg@rediff.com")</f>
        <v>ptolomellifg@rediff.com</v>
      </c>
      <c r="D1557" s="4">
        <f>IFERROR(__xludf.DUMMYFUNCTION("""COMPUTED_VALUE"""),65.0)</f>
        <v>65</v>
      </c>
      <c r="E1557" s="4">
        <f>IFERROR(__xludf.DUMMYFUNCTION("""COMPUTED_VALUE"""),60.0)</f>
        <v>60</v>
      </c>
      <c r="F1557" s="4">
        <f>IFERROR(__xludf.DUMMYFUNCTION("""COMPUTED_VALUE"""),3.0)</f>
        <v>3</v>
      </c>
      <c r="G1557" s="4">
        <f>IFERROR(__xludf.DUMMYFUNCTION("""COMPUTED_VALUE"""),1378.0)</f>
        <v>1378</v>
      </c>
      <c r="H1557" s="5">
        <f>IFERROR(__xludf.DUMMYFUNCTION("""COMPUTED_VALUE"""),2305.31)</f>
        <v>2305.31</v>
      </c>
      <c r="I1557" s="5">
        <f>IFERROR(__xludf.DUMMYFUNCTION("""COMPUTED_VALUE"""),1201.8)</f>
        <v>1201.8</v>
      </c>
      <c r="J1557" s="5">
        <f>IFERROR(__xludf.DUMMYFUNCTION("""COMPUTED_VALUE"""),6944.4)</f>
        <v>6944.4</v>
      </c>
      <c r="K1557" s="5">
        <f>IFERROR(__xludf.DUMMYFUNCTION("""COMPUTED_VALUE"""),8226.03)</f>
        <v>8226.03</v>
      </c>
      <c r="L1557" s="4">
        <f>IFERROR(__xludf.DUMMYFUNCTION("""COMPUTED_VALUE"""),2.0)</f>
        <v>2</v>
      </c>
      <c r="M1557" s="4">
        <f>IFERROR(__xludf.DUMMYFUNCTION("""COMPUTED_VALUE"""),5.0)</f>
        <v>5</v>
      </c>
      <c r="N1557" s="2" t="str">
        <f>IFERROR(__xludf.DUMMYFUNCTION("""COMPUTED_VALUE"""),"VERDADERO")</f>
        <v>VERDADERO</v>
      </c>
    </row>
    <row r="1558">
      <c r="A1558" s="2">
        <f>IFERROR(__xludf.DUMMYFUNCTION("""COMPUTED_VALUE"""),1557.0)</f>
        <v>1557</v>
      </c>
      <c r="B1558" s="2" t="str">
        <f>IFERROR(__xludf.DUMMYFUNCTION("""COMPUTED_VALUE"""),"Fallon McDugal")</f>
        <v>Fallon McDugal</v>
      </c>
      <c r="C1558" s="2" t="str">
        <f>IFERROR(__xludf.DUMMYFUNCTION("""COMPUTED_VALUE"""),"fmcdugalfh@adobe.com")</f>
        <v>fmcdugalfh@adobe.com</v>
      </c>
      <c r="D1558" s="4">
        <f>IFERROR(__xludf.DUMMYFUNCTION("""COMPUTED_VALUE"""),111.0)</f>
        <v>111</v>
      </c>
      <c r="E1558" s="4">
        <f>IFERROR(__xludf.DUMMYFUNCTION("""COMPUTED_VALUE"""),92.0)</f>
        <v>92</v>
      </c>
      <c r="F1558" s="4">
        <f>IFERROR(__xludf.DUMMYFUNCTION("""COMPUTED_VALUE"""),5.0)</f>
        <v>5</v>
      </c>
      <c r="G1558" s="4">
        <f>IFERROR(__xludf.DUMMYFUNCTION("""COMPUTED_VALUE"""),443.0)</f>
        <v>443</v>
      </c>
      <c r="H1558" s="5">
        <f>IFERROR(__xludf.DUMMYFUNCTION("""COMPUTED_VALUE"""),3147.99)</f>
        <v>3147.99</v>
      </c>
      <c r="I1558" s="5">
        <f>IFERROR(__xludf.DUMMYFUNCTION("""COMPUTED_VALUE"""),8776.56)</f>
        <v>8776.56</v>
      </c>
      <c r="J1558" s="5">
        <f>IFERROR(__xludf.DUMMYFUNCTION("""COMPUTED_VALUE"""),7754.71)</f>
        <v>7754.71</v>
      </c>
      <c r="K1558" s="5">
        <f>IFERROR(__xludf.DUMMYFUNCTION("""COMPUTED_VALUE"""),6389.45)</f>
        <v>6389.45</v>
      </c>
      <c r="L1558" s="4">
        <f>IFERROR(__xludf.DUMMYFUNCTION("""COMPUTED_VALUE"""),18.0)</f>
        <v>18</v>
      </c>
      <c r="M1558" s="4">
        <f>IFERROR(__xludf.DUMMYFUNCTION("""COMPUTED_VALUE"""),3.0)</f>
        <v>3</v>
      </c>
      <c r="N1558" s="2" t="str">
        <f>IFERROR(__xludf.DUMMYFUNCTION("""COMPUTED_VALUE"""),"VERDADERO")</f>
        <v>VERDADERO</v>
      </c>
    </row>
    <row r="1559">
      <c r="A1559" s="2">
        <f>IFERROR(__xludf.DUMMYFUNCTION("""COMPUTED_VALUE"""),1558.0)</f>
        <v>1558</v>
      </c>
      <c r="B1559" s="2" t="str">
        <f>IFERROR(__xludf.DUMMYFUNCTION("""COMPUTED_VALUE"""),"Christian Armstead")</f>
        <v>Christian Armstead</v>
      </c>
      <c r="C1559" s="2" t="str">
        <f>IFERROR(__xludf.DUMMYFUNCTION("""COMPUTED_VALUE"""),"carmsteadfi@house.gov")</f>
        <v>carmsteadfi@house.gov</v>
      </c>
      <c r="D1559" s="4">
        <f>IFERROR(__xludf.DUMMYFUNCTION("""COMPUTED_VALUE"""),150.0)</f>
        <v>150</v>
      </c>
      <c r="E1559" s="4">
        <f>IFERROR(__xludf.DUMMYFUNCTION("""COMPUTED_VALUE"""),100.0)</f>
        <v>100</v>
      </c>
      <c r="F1559" s="4">
        <f>IFERROR(__xludf.DUMMYFUNCTION("""COMPUTED_VALUE"""),9.0)</f>
        <v>9</v>
      </c>
      <c r="G1559" s="4">
        <f>IFERROR(__xludf.DUMMYFUNCTION("""COMPUTED_VALUE"""),496.0)</f>
        <v>496</v>
      </c>
      <c r="H1559" s="5">
        <f>IFERROR(__xludf.DUMMYFUNCTION("""COMPUTED_VALUE"""),2585.7)</f>
        <v>2585.7</v>
      </c>
      <c r="I1559" s="5">
        <f>IFERROR(__xludf.DUMMYFUNCTION("""COMPUTED_VALUE"""),7311.51)</f>
        <v>7311.51</v>
      </c>
      <c r="J1559" s="5">
        <f>IFERROR(__xludf.DUMMYFUNCTION("""COMPUTED_VALUE"""),4556.81)</f>
        <v>4556.81</v>
      </c>
      <c r="K1559" s="5">
        <f>IFERROR(__xludf.DUMMYFUNCTION("""COMPUTED_VALUE"""),4800.14)</f>
        <v>4800.14</v>
      </c>
      <c r="L1559" s="4">
        <f>IFERROR(__xludf.DUMMYFUNCTION("""COMPUTED_VALUE"""),2.0)</f>
        <v>2</v>
      </c>
      <c r="M1559" s="4">
        <f>IFERROR(__xludf.DUMMYFUNCTION("""COMPUTED_VALUE"""),34.0)</f>
        <v>34</v>
      </c>
      <c r="N1559" s="2" t="str">
        <f>IFERROR(__xludf.DUMMYFUNCTION("""COMPUTED_VALUE"""),"VERDADERO")</f>
        <v>VERDADERO</v>
      </c>
    </row>
    <row r="1560">
      <c r="A1560" s="2">
        <f>IFERROR(__xludf.DUMMYFUNCTION("""COMPUTED_VALUE"""),1559.0)</f>
        <v>1559</v>
      </c>
      <c r="B1560" s="2" t="str">
        <f>IFERROR(__xludf.DUMMYFUNCTION("""COMPUTED_VALUE"""),"Deina Buard")</f>
        <v>Deina Buard</v>
      </c>
      <c r="C1560" s="2" t="str">
        <f>IFERROR(__xludf.DUMMYFUNCTION("""COMPUTED_VALUE"""),"dbuardfj@state.tx.us")</f>
        <v>dbuardfj@state.tx.us</v>
      </c>
      <c r="D1560" s="4">
        <f>IFERROR(__xludf.DUMMYFUNCTION("""COMPUTED_VALUE"""),87.0)</f>
        <v>87</v>
      </c>
      <c r="E1560" s="4">
        <f>IFERROR(__xludf.DUMMYFUNCTION("""COMPUTED_VALUE"""),64.0)</f>
        <v>64</v>
      </c>
      <c r="F1560" s="4">
        <f>IFERROR(__xludf.DUMMYFUNCTION("""COMPUTED_VALUE"""),4.0)</f>
        <v>4</v>
      </c>
      <c r="G1560" s="4">
        <f>IFERROR(__xludf.DUMMYFUNCTION("""COMPUTED_VALUE"""),1273.0)</f>
        <v>1273</v>
      </c>
      <c r="H1560" s="5">
        <f>IFERROR(__xludf.DUMMYFUNCTION("""COMPUTED_VALUE"""),4856.6)</f>
        <v>4856.6</v>
      </c>
      <c r="I1560" s="5">
        <f>IFERROR(__xludf.DUMMYFUNCTION("""COMPUTED_VALUE"""),1763.52)</f>
        <v>1763.52</v>
      </c>
      <c r="J1560" s="5">
        <f>IFERROR(__xludf.DUMMYFUNCTION("""COMPUTED_VALUE"""),6119.5)</f>
        <v>6119.5</v>
      </c>
      <c r="K1560" s="5">
        <f>IFERROR(__xludf.DUMMYFUNCTION("""COMPUTED_VALUE"""),7111.12)</f>
        <v>7111.12</v>
      </c>
      <c r="L1560" s="4">
        <f>IFERROR(__xludf.DUMMYFUNCTION("""COMPUTED_VALUE"""),4.0)</f>
        <v>4</v>
      </c>
      <c r="M1560" s="4">
        <f>IFERROR(__xludf.DUMMYFUNCTION("""COMPUTED_VALUE"""),5.0)</f>
        <v>5</v>
      </c>
      <c r="N1560" s="2" t="str">
        <f>IFERROR(__xludf.DUMMYFUNCTION("""COMPUTED_VALUE"""),"VERDADERO")</f>
        <v>VERDADERO</v>
      </c>
    </row>
    <row r="1561">
      <c r="A1561" s="2">
        <f>IFERROR(__xludf.DUMMYFUNCTION("""COMPUTED_VALUE"""),1560.0)</f>
        <v>1560</v>
      </c>
      <c r="B1561" s="2" t="str">
        <f>IFERROR(__xludf.DUMMYFUNCTION("""COMPUTED_VALUE"""),"Bone Eakin")</f>
        <v>Bone Eakin</v>
      </c>
      <c r="C1561" s="2" t="str">
        <f>IFERROR(__xludf.DUMMYFUNCTION("""COMPUTED_VALUE"""),"beakinfk@discuz.net")</f>
        <v>beakinfk@discuz.net</v>
      </c>
      <c r="D1561" s="4">
        <f>IFERROR(__xludf.DUMMYFUNCTION("""COMPUTED_VALUE"""),153.0)</f>
        <v>153</v>
      </c>
      <c r="E1561" s="4">
        <f>IFERROR(__xludf.DUMMYFUNCTION("""COMPUTED_VALUE"""),81.0)</f>
        <v>81</v>
      </c>
      <c r="F1561" s="4">
        <f>IFERROR(__xludf.DUMMYFUNCTION("""COMPUTED_VALUE"""),2.0)</f>
        <v>2</v>
      </c>
      <c r="G1561" s="4">
        <f>IFERROR(__xludf.DUMMYFUNCTION("""COMPUTED_VALUE"""),1424.0)</f>
        <v>1424</v>
      </c>
      <c r="H1561" s="5">
        <f>IFERROR(__xludf.DUMMYFUNCTION("""COMPUTED_VALUE"""),886.29)</f>
        <v>886.29</v>
      </c>
      <c r="I1561" s="5">
        <f>IFERROR(__xludf.DUMMYFUNCTION("""COMPUTED_VALUE"""),6452.59)</f>
        <v>6452.59</v>
      </c>
      <c r="J1561" s="5">
        <f>IFERROR(__xludf.DUMMYFUNCTION("""COMPUTED_VALUE"""),5935.48)</f>
        <v>5935.48</v>
      </c>
      <c r="K1561" s="5">
        <f>IFERROR(__xludf.DUMMYFUNCTION("""COMPUTED_VALUE"""),2793.36)</f>
        <v>2793.36</v>
      </c>
      <c r="L1561" s="4">
        <f>IFERROR(__xludf.DUMMYFUNCTION("""COMPUTED_VALUE"""),17.0)</f>
        <v>17</v>
      </c>
      <c r="M1561" s="4">
        <f>IFERROR(__xludf.DUMMYFUNCTION("""COMPUTED_VALUE"""),44.0)</f>
        <v>44</v>
      </c>
      <c r="N1561" s="2" t="str">
        <f>IFERROR(__xludf.DUMMYFUNCTION("""COMPUTED_VALUE"""),"VERDADERO")</f>
        <v>VERDADERO</v>
      </c>
    </row>
    <row r="1562">
      <c r="A1562" s="2">
        <f>IFERROR(__xludf.DUMMYFUNCTION("""COMPUTED_VALUE"""),1561.0)</f>
        <v>1561</v>
      </c>
      <c r="B1562" s="2" t="str">
        <f>IFERROR(__xludf.DUMMYFUNCTION("""COMPUTED_VALUE"""),"Mirna Lassells")</f>
        <v>Mirna Lassells</v>
      </c>
      <c r="C1562" s="2" t="str">
        <f>IFERROR(__xludf.DUMMYFUNCTION("""COMPUTED_VALUE"""),"mlassellsfl@amazon.co.uk")</f>
        <v>mlassellsfl@amazon.co.uk</v>
      </c>
      <c r="D1562" s="4">
        <f>IFERROR(__xludf.DUMMYFUNCTION("""COMPUTED_VALUE"""),29.0)</f>
        <v>29</v>
      </c>
      <c r="E1562" s="4">
        <f>IFERROR(__xludf.DUMMYFUNCTION("""COMPUTED_VALUE"""),112.0)</f>
        <v>112</v>
      </c>
      <c r="F1562" s="4">
        <f>IFERROR(__xludf.DUMMYFUNCTION("""COMPUTED_VALUE"""),11.0)</f>
        <v>11</v>
      </c>
      <c r="G1562" s="4">
        <f>IFERROR(__xludf.DUMMYFUNCTION("""COMPUTED_VALUE"""),20.0)</f>
        <v>20</v>
      </c>
      <c r="H1562" s="5">
        <f>IFERROR(__xludf.DUMMYFUNCTION("""COMPUTED_VALUE"""),3165.58)</f>
        <v>3165.58</v>
      </c>
      <c r="I1562" s="5">
        <f>IFERROR(__xludf.DUMMYFUNCTION("""COMPUTED_VALUE"""),1650.77)</f>
        <v>1650.77</v>
      </c>
      <c r="J1562" s="5">
        <f>IFERROR(__xludf.DUMMYFUNCTION("""COMPUTED_VALUE"""),7617.69)</f>
        <v>7617.69</v>
      </c>
      <c r="K1562" s="5">
        <f>IFERROR(__xludf.DUMMYFUNCTION("""COMPUTED_VALUE"""),4931.11)</f>
        <v>4931.11</v>
      </c>
      <c r="L1562" s="4">
        <f>IFERROR(__xludf.DUMMYFUNCTION("""COMPUTED_VALUE"""),12.0)</f>
        <v>12</v>
      </c>
      <c r="M1562" s="4">
        <f>IFERROR(__xludf.DUMMYFUNCTION("""COMPUTED_VALUE"""),84.0)</f>
        <v>84</v>
      </c>
      <c r="N1562" s="2" t="str">
        <f>IFERROR(__xludf.DUMMYFUNCTION("""COMPUTED_VALUE"""),"FALSO")</f>
        <v>FALSO</v>
      </c>
    </row>
    <row r="1563">
      <c r="A1563" s="2">
        <f>IFERROR(__xludf.DUMMYFUNCTION("""COMPUTED_VALUE"""),1562.0)</f>
        <v>1562</v>
      </c>
      <c r="B1563" s="2" t="str">
        <f>IFERROR(__xludf.DUMMYFUNCTION("""COMPUTED_VALUE"""),"Lavinie Tumilson")</f>
        <v>Lavinie Tumilson</v>
      </c>
      <c r="C1563" s="2" t="str">
        <f>IFERROR(__xludf.DUMMYFUNCTION("""COMPUTED_VALUE"""),"ltumilsonfm@sfgate.com")</f>
        <v>ltumilsonfm@sfgate.com</v>
      </c>
      <c r="D1563" s="4">
        <f>IFERROR(__xludf.DUMMYFUNCTION("""COMPUTED_VALUE"""),54.0)</f>
        <v>54</v>
      </c>
      <c r="E1563" s="4">
        <f>IFERROR(__xludf.DUMMYFUNCTION("""COMPUTED_VALUE"""),101.0)</f>
        <v>101</v>
      </c>
      <c r="F1563" s="4">
        <f>IFERROR(__xludf.DUMMYFUNCTION("""COMPUTED_VALUE"""),5.0)</f>
        <v>5</v>
      </c>
      <c r="G1563" s="4">
        <f>IFERROR(__xludf.DUMMYFUNCTION("""COMPUTED_VALUE"""),982.0)</f>
        <v>982</v>
      </c>
      <c r="H1563" s="5">
        <f>IFERROR(__xludf.DUMMYFUNCTION("""COMPUTED_VALUE"""),9638.81)</f>
        <v>9638.81</v>
      </c>
      <c r="I1563" s="5">
        <f>IFERROR(__xludf.DUMMYFUNCTION("""COMPUTED_VALUE"""),2966.09)</f>
        <v>2966.09</v>
      </c>
      <c r="J1563" s="5">
        <f>IFERROR(__xludf.DUMMYFUNCTION("""COMPUTED_VALUE"""),7729.32)</f>
        <v>7729.32</v>
      </c>
      <c r="K1563" s="5">
        <f>IFERROR(__xludf.DUMMYFUNCTION("""COMPUTED_VALUE"""),2387.42)</f>
        <v>2387.42</v>
      </c>
      <c r="L1563" s="4">
        <f>IFERROR(__xludf.DUMMYFUNCTION("""COMPUTED_VALUE"""),18.0)</f>
        <v>18</v>
      </c>
      <c r="M1563" s="4">
        <f>IFERROR(__xludf.DUMMYFUNCTION("""COMPUTED_VALUE"""),41.0)</f>
        <v>41</v>
      </c>
      <c r="N1563" s="2" t="str">
        <f>IFERROR(__xludf.DUMMYFUNCTION("""COMPUTED_VALUE"""),"VERDADERO")</f>
        <v>VERDADERO</v>
      </c>
    </row>
    <row r="1564">
      <c r="A1564" s="2">
        <f>IFERROR(__xludf.DUMMYFUNCTION("""COMPUTED_VALUE"""),1563.0)</f>
        <v>1563</v>
      </c>
      <c r="B1564" s="2" t="str">
        <f>IFERROR(__xludf.DUMMYFUNCTION("""COMPUTED_VALUE"""),"Bird Lamkin")</f>
        <v>Bird Lamkin</v>
      </c>
      <c r="C1564" s="2" t="str">
        <f>IFERROR(__xludf.DUMMYFUNCTION("""COMPUTED_VALUE"""),"blamkinfn@soup.io")</f>
        <v>blamkinfn@soup.io</v>
      </c>
      <c r="D1564" s="4">
        <f>IFERROR(__xludf.DUMMYFUNCTION("""COMPUTED_VALUE"""),29.0)</f>
        <v>29</v>
      </c>
      <c r="E1564" s="4">
        <f>IFERROR(__xludf.DUMMYFUNCTION("""COMPUTED_VALUE"""),81.0)</f>
        <v>81</v>
      </c>
      <c r="F1564" s="4">
        <f>IFERROR(__xludf.DUMMYFUNCTION("""COMPUTED_VALUE"""),2.0)</f>
        <v>2</v>
      </c>
      <c r="G1564" s="4">
        <f>IFERROR(__xludf.DUMMYFUNCTION("""COMPUTED_VALUE"""),221.0)</f>
        <v>221</v>
      </c>
      <c r="H1564" s="5">
        <f>IFERROR(__xludf.DUMMYFUNCTION("""COMPUTED_VALUE"""),7372.69)</f>
        <v>7372.69</v>
      </c>
      <c r="I1564" s="5">
        <f>IFERROR(__xludf.DUMMYFUNCTION("""COMPUTED_VALUE"""),6222.42)</f>
        <v>6222.42</v>
      </c>
      <c r="J1564" s="5">
        <f>IFERROR(__xludf.DUMMYFUNCTION("""COMPUTED_VALUE"""),7774.31)</f>
        <v>7774.31</v>
      </c>
      <c r="K1564" s="5">
        <f>IFERROR(__xludf.DUMMYFUNCTION("""COMPUTED_VALUE"""),2661.45)</f>
        <v>2661.45</v>
      </c>
      <c r="L1564" s="4">
        <f>IFERROR(__xludf.DUMMYFUNCTION("""COMPUTED_VALUE"""),15.0)</f>
        <v>15</v>
      </c>
      <c r="M1564" s="4">
        <f>IFERROR(__xludf.DUMMYFUNCTION("""COMPUTED_VALUE"""),94.0)</f>
        <v>94</v>
      </c>
      <c r="N1564" s="2" t="str">
        <f>IFERROR(__xludf.DUMMYFUNCTION("""COMPUTED_VALUE"""),"VERDADERO")</f>
        <v>VERDADERO</v>
      </c>
    </row>
    <row r="1565">
      <c r="A1565" s="2">
        <f>IFERROR(__xludf.DUMMYFUNCTION("""COMPUTED_VALUE"""),1564.0)</f>
        <v>1564</v>
      </c>
      <c r="B1565" s="2" t="str">
        <f>IFERROR(__xludf.DUMMYFUNCTION("""COMPUTED_VALUE"""),"Cecilio Godding")</f>
        <v>Cecilio Godding</v>
      </c>
      <c r="C1565" s="2" t="str">
        <f>IFERROR(__xludf.DUMMYFUNCTION("""COMPUTED_VALUE"""),"cgoddingfo@miitbeian.gov.cn")</f>
        <v>cgoddingfo@miitbeian.gov.cn</v>
      </c>
      <c r="D1565" s="4">
        <f>IFERROR(__xludf.DUMMYFUNCTION("""COMPUTED_VALUE"""),150.0)</f>
        <v>150</v>
      </c>
      <c r="E1565" s="4">
        <f>IFERROR(__xludf.DUMMYFUNCTION("""COMPUTED_VALUE"""),81.0)</f>
        <v>81</v>
      </c>
      <c r="F1565" s="4">
        <f>IFERROR(__xludf.DUMMYFUNCTION("""COMPUTED_VALUE"""),2.0)</f>
        <v>2</v>
      </c>
      <c r="G1565" s="4">
        <f>IFERROR(__xludf.DUMMYFUNCTION("""COMPUTED_VALUE"""),1254.0)</f>
        <v>1254</v>
      </c>
      <c r="H1565" s="5">
        <f>IFERROR(__xludf.DUMMYFUNCTION("""COMPUTED_VALUE"""),6640.83)</f>
        <v>6640.83</v>
      </c>
      <c r="I1565" s="5">
        <f>IFERROR(__xludf.DUMMYFUNCTION("""COMPUTED_VALUE"""),1602.2)</f>
        <v>1602.2</v>
      </c>
      <c r="J1565" s="5">
        <f>IFERROR(__xludf.DUMMYFUNCTION("""COMPUTED_VALUE"""),196.65)</f>
        <v>196.65</v>
      </c>
      <c r="K1565" s="5">
        <f>IFERROR(__xludf.DUMMYFUNCTION("""COMPUTED_VALUE"""),9287.53)</f>
        <v>9287.53</v>
      </c>
      <c r="L1565" s="4">
        <f>IFERROR(__xludf.DUMMYFUNCTION("""COMPUTED_VALUE"""),19.0)</f>
        <v>19</v>
      </c>
      <c r="M1565" s="4">
        <f>IFERROR(__xludf.DUMMYFUNCTION("""COMPUTED_VALUE"""),22.0)</f>
        <v>22</v>
      </c>
      <c r="N1565" s="2" t="str">
        <f>IFERROR(__xludf.DUMMYFUNCTION("""COMPUTED_VALUE"""),"FALSO")</f>
        <v>FALSO</v>
      </c>
    </row>
    <row r="1566">
      <c r="A1566" s="2">
        <f>IFERROR(__xludf.DUMMYFUNCTION("""COMPUTED_VALUE"""),1565.0)</f>
        <v>1565</v>
      </c>
      <c r="B1566" s="2" t="str">
        <f>IFERROR(__xludf.DUMMYFUNCTION("""COMPUTED_VALUE"""),"Penni Belmont")</f>
        <v>Penni Belmont</v>
      </c>
      <c r="C1566" s="2" t="str">
        <f>IFERROR(__xludf.DUMMYFUNCTION("""COMPUTED_VALUE"""),"pbelmontfp@guardian.co.uk")</f>
        <v>pbelmontfp@guardian.co.uk</v>
      </c>
      <c r="D1566" s="4">
        <f>IFERROR(__xludf.DUMMYFUNCTION("""COMPUTED_VALUE"""),49.0)</f>
        <v>49</v>
      </c>
      <c r="E1566" s="4">
        <f>IFERROR(__xludf.DUMMYFUNCTION("""COMPUTED_VALUE"""),57.0)</f>
        <v>57</v>
      </c>
      <c r="F1566" s="4">
        <f>IFERROR(__xludf.DUMMYFUNCTION("""COMPUTED_VALUE"""),5.0)</f>
        <v>5</v>
      </c>
      <c r="G1566" s="4">
        <f>IFERROR(__xludf.DUMMYFUNCTION("""COMPUTED_VALUE"""),1587.0)</f>
        <v>1587</v>
      </c>
      <c r="H1566" s="5">
        <f>IFERROR(__xludf.DUMMYFUNCTION("""COMPUTED_VALUE"""),1714.79)</f>
        <v>1714.79</v>
      </c>
      <c r="I1566" s="5">
        <f>IFERROR(__xludf.DUMMYFUNCTION("""COMPUTED_VALUE"""),9031.63)</f>
        <v>9031.63</v>
      </c>
      <c r="J1566" s="5">
        <f>IFERROR(__xludf.DUMMYFUNCTION("""COMPUTED_VALUE"""),6131.45)</f>
        <v>6131.45</v>
      </c>
      <c r="K1566" s="5">
        <f>IFERROR(__xludf.DUMMYFUNCTION("""COMPUTED_VALUE"""),6420.19)</f>
        <v>6420.19</v>
      </c>
      <c r="L1566" s="4">
        <f>IFERROR(__xludf.DUMMYFUNCTION("""COMPUTED_VALUE"""),16.0)</f>
        <v>16</v>
      </c>
      <c r="M1566" s="4">
        <f>IFERROR(__xludf.DUMMYFUNCTION("""COMPUTED_VALUE"""),91.0)</f>
        <v>91</v>
      </c>
      <c r="N1566" s="2" t="str">
        <f>IFERROR(__xludf.DUMMYFUNCTION("""COMPUTED_VALUE"""),"FALSO")</f>
        <v>FALSO</v>
      </c>
    </row>
    <row r="1567">
      <c r="A1567" s="2">
        <f>IFERROR(__xludf.DUMMYFUNCTION("""COMPUTED_VALUE"""),1566.0)</f>
        <v>1566</v>
      </c>
      <c r="B1567" s="2" t="str">
        <f>IFERROR(__xludf.DUMMYFUNCTION("""COMPUTED_VALUE"""),"Lynnett Eble")</f>
        <v>Lynnett Eble</v>
      </c>
      <c r="C1567" s="2" t="str">
        <f>IFERROR(__xludf.DUMMYFUNCTION("""COMPUTED_VALUE"""),"leblefq@technorati.com")</f>
        <v>leblefq@technorati.com</v>
      </c>
      <c r="D1567" s="4">
        <f>IFERROR(__xludf.DUMMYFUNCTION("""COMPUTED_VALUE"""),89.0)</f>
        <v>89</v>
      </c>
      <c r="E1567" s="4">
        <f>IFERROR(__xludf.DUMMYFUNCTION("""COMPUTED_VALUE"""),66.0)</f>
        <v>66</v>
      </c>
      <c r="F1567" s="4">
        <f>IFERROR(__xludf.DUMMYFUNCTION("""COMPUTED_VALUE"""),6.0)</f>
        <v>6</v>
      </c>
      <c r="G1567" s="4">
        <f>IFERROR(__xludf.DUMMYFUNCTION("""COMPUTED_VALUE"""),637.0)</f>
        <v>637</v>
      </c>
      <c r="H1567" s="5">
        <f>IFERROR(__xludf.DUMMYFUNCTION("""COMPUTED_VALUE"""),5396.57)</f>
        <v>5396.57</v>
      </c>
      <c r="I1567" s="5">
        <f>IFERROR(__xludf.DUMMYFUNCTION("""COMPUTED_VALUE"""),9598.69)</f>
        <v>9598.69</v>
      </c>
      <c r="J1567" s="5">
        <f>IFERROR(__xludf.DUMMYFUNCTION("""COMPUTED_VALUE"""),7060.45)</f>
        <v>7060.45</v>
      </c>
      <c r="K1567" s="5">
        <f>IFERROR(__xludf.DUMMYFUNCTION("""COMPUTED_VALUE"""),5568.67)</f>
        <v>5568.67</v>
      </c>
      <c r="L1567" s="4">
        <f>IFERROR(__xludf.DUMMYFUNCTION("""COMPUTED_VALUE"""),9.0)</f>
        <v>9</v>
      </c>
      <c r="M1567" s="4">
        <f>IFERROR(__xludf.DUMMYFUNCTION("""COMPUTED_VALUE"""),40.0)</f>
        <v>40</v>
      </c>
      <c r="N1567" s="2" t="str">
        <f>IFERROR(__xludf.DUMMYFUNCTION("""COMPUTED_VALUE"""),"VERDADERO")</f>
        <v>VERDADERO</v>
      </c>
    </row>
    <row r="1568">
      <c r="A1568" s="2">
        <f>IFERROR(__xludf.DUMMYFUNCTION("""COMPUTED_VALUE"""),1567.0)</f>
        <v>1567</v>
      </c>
      <c r="B1568" s="2" t="str">
        <f>IFERROR(__xludf.DUMMYFUNCTION("""COMPUTED_VALUE"""),"Jacinta Avramchik")</f>
        <v>Jacinta Avramchik</v>
      </c>
      <c r="C1568" s="2" t="str">
        <f>IFERROR(__xludf.DUMMYFUNCTION("""COMPUTED_VALUE"""),"javramchikfr@statcounter.com")</f>
        <v>javramchikfr@statcounter.com</v>
      </c>
      <c r="D1568" s="4">
        <f>IFERROR(__xludf.DUMMYFUNCTION("""COMPUTED_VALUE"""),70.0)</f>
        <v>70</v>
      </c>
      <c r="E1568" s="4">
        <f>IFERROR(__xludf.DUMMYFUNCTION("""COMPUTED_VALUE"""),29.0)</f>
        <v>29</v>
      </c>
      <c r="F1568" s="4">
        <f>IFERROR(__xludf.DUMMYFUNCTION("""COMPUTED_VALUE"""),11.0)</f>
        <v>11</v>
      </c>
      <c r="G1568" s="4">
        <f>IFERROR(__xludf.DUMMYFUNCTION("""COMPUTED_VALUE"""),1096.0)</f>
        <v>1096</v>
      </c>
      <c r="H1568" s="5">
        <f>IFERROR(__xludf.DUMMYFUNCTION("""COMPUTED_VALUE"""),5993.95)</f>
        <v>5993.95</v>
      </c>
      <c r="I1568" s="5">
        <f>IFERROR(__xludf.DUMMYFUNCTION("""COMPUTED_VALUE"""),2328.39)</f>
        <v>2328.39</v>
      </c>
      <c r="J1568" s="5">
        <f>IFERROR(__xludf.DUMMYFUNCTION("""COMPUTED_VALUE"""),9590.59)</f>
        <v>9590.59</v>
      </c>
      <c r="K1568" s="5">
        <f>IFERROR(__xludf.DUMMYFUNCTION("""COMPUTED_VALUE"""),1231.0)</f>
        <v>1231</v>
      </c>
      <c r="L1568" s="4">
        <f>IFERROR(__xludf.DUMMYFUNCTION("""COMPUTED_VALUE"""),3.0)</f>
        <v>3</v>
      </c>
      <c r="M1568" s="4">
        <f>IFERROR(__xludf.DUMMYFUNCTION("""COMPUTED_VALUE"""),84.0)</f>
        <v>84</v>
      </c>
      <c r="N1568" s="2" t="str">
        <f>IFERROR(__xludf.DUMMYFUNCTION("""COMPUTED_VALUE"""),"FALSO")</f>
        <v>FALSO</v>
      </c>
    </row>
    <row r="1569">
      <c r="A1569" s="2">
        <f>IFERROR(__xludf.DUMMYFUNCTION("""COMPUTED_VALUE"""),1568.0)</f>
        <v>1568</v>
      </c>
      <c r="B1569" s="2" t="str">
        <f>IFERROR(__xludf.DUMMYFUNCTION("""COMPUTED_VALUE"""),"Kippie Duinkerk")</f>
        <v>Kippie Duinkerk</v>
      </c>
      <c r="C1569" s="2" t="str">
        <f>IFERROR(__xludf.DUMMYFUNCTION("""COMPUTED_VALUE"""),"kduinkerkfs@globo.com")</f>
        <v>kduinkerkfs@globo.com</v>
      </c>
      <c r="D1569" s="4">
        <f>IFERROR(__xludf.DUMMYFUNCTION("""COMPUTED_VALUE"""),36.0)</f>
        <v>36</v>
      </c>
      <c r="E1569" s="4">
        <f>IFERROR(__xludf.DUMMYFUNCTION("""COMPUTED_VALUE"""),107.0)</f>
        <v>107</v>
      </c>
      <c r="F1569" s="4">
        <f>IFERROR(__xludf.DUMMYFUNCTION("""COMPUTED_VALUE"""),5.0)</f>
        <v>5</v>
      </c>
      <c r="G1569" s="4">
        <f>IFERROR(__xludf.DUMMYFUNCTION("""COMPUTED_VALUE"""),402.0)</f>
        <v>402</v>
      </c>
      <c r="H1569" s="5">
        <f>IFERROR(__xludf.DUMMYFUNCTION("""COMPUTED_VALUE"""),308.58)</f>
        <v>308.58</v>
      </c>
      <c r="I1569" s="5">
        <f>IFERROR(__xludf.DUMMYFUNCTION("""COMPUTED_VALUE"""),1711.06)</f>
        <v>1711.06</v>
      </c>
      <c r="J1569" s="5">
        <f>IFERROR(__xludf.DUMMYFUNCTION("""COMPUTED_VALUE"""),5042.29)</f>
        <v>5042.29</v>
      </c>
      <c r="K1569" s="5">
        <f>IFERROR(__xludf.DUMMYFUNCTION("""COMPUTED_VALUE"""),9915.1)</f>
        <v>9915.1</v>
      </c>
      <c r="L1569" s="4">
        <f>IFERROR(__xludf.DUMMYFUNCTION("""COMPUTED_VALUE"""),8.0)</f>
        <v>8</v>
      </c>
      <c r="M1569" s="4">
        <f>IFERROR(__xludf.DUMMYFUNCTION("""COMPUTED_VALUE"""),95.0)</f>
        <v>95</v>
      </c>
      <c r="N1569" s="2" t="str">
        <f>IFERROR(__xludf.DUMMYFUNCTION("""COMPUTED_VALUE"""),"VERDADERO")</f>
        <v>VERDADERO</v>
      </c>
    </row>
    <row r="1570">
      <c r="A1570" s="2">
        <f>IFERROR(__xludf.DUMMYFUNCTION("""COMPUTED_VALUE"""),1569.0)</f>
        <v>1569</v>
      </c>
      <c r="B1570" s="2" t="str">
        <f>IFERROR(__xludf.DUMMYFUNCTION("""COMPUTED_VALUE"""),"Edi Gookey")</f>
        <v>Edi Gookey</v>
      </c>
      <c r="C1570" s="2" t="str">
        <f>IFERROR(__xludf.DUMMYFUNCTION("""COMPUTED_VALUE"""),"egookeyft@hao123.com")</f>
        <v>egookeyft@hao123.com</v>
      </c>
      <c r="D1570" s="4">
        <f>IFERROR(__xludf.DUMMYFUNCTION("""COMPUTED_VALUE"""),49.0)</f>
        <v>49</v>
      </c>
      <c r="E1570" s="4">
        <f>IFERROR(__xludf.DUMMYFUNCTION("""COMPUTED_VALUE"""),81.0)</f>
        <v>81</v>
      </c>
      <c r="F1570" s="4">
        <f>IFERROR(__xludf.DUMMYFUNCTION("""COMPUTED_VALUE"""),2.0)</f>
        <v>2</v>
      </c>
      <c r="G1570" s="4">
        <f>IFERROR(__xludf.DUMMYFUNCTION("""COMPUTED_VALUE"""),381.0)</f>
        <v>381</v>
      </c>
      <c r="H1570" s="5">
        <f>IFERROR(__xludf.DUMMYFUNCTION("""COMPUTED_VALUE"""),5220.59)</f>
        <v>5220.59</v>
      </c>
      <c r="I1570" s="5">
        <f>IFERROR(__xludf.DUMMYFUNCTION("""COMPUTED_VALUE"""),2038.81)</f>
        <v>2038.81</v>
      </c>
      <c r="J1570" s="5">
        <f>IFERROR(__xludf.DUMMYFUNCTION("""COMPUTED_VALUE"""),3175.05)</f>
        <v>3175.05</v>
      </c>
      <c r="K1570" s="5">
        <f>IFERROR(__xludf.DUMMYFUNCTION("""COMPUTED_VALUE"""),9666.42)</f>
        <v>9666.42</v>
      </c>
      <c r="L1570" s="4">
        <f>IFERROR(__xludf.DUMMYFUNCTION("""COMPUTED_VALUE"""),12.0)</f>
        <v>12</v>
      </c>
      <c r="M1570" s="4">
        <f>IFERROR(__xludf.DUMMYFUNCTION("""COMPUTED_VALUE"""),64.0)</f>
        <v>64</v>
      </c>
      <c r="N1570" s="2" t="str">
        <f>IFERROR(__xludf.DUMMYFUNCTION("""COMPUTED_VALUE"""),"VERDADERO")</f>
        <v>VERDADERO</v>
      </c>
    </row>
    <row r="1571">
      <c r="A1571" s="2">
        <f>IFERROR(__xludf.DUMMYFUNCTION("""COMPUTED_VALUE"""),1570.0)</f>
        <v>1570</v>
      </c>
      <c r="B1571" s="2" t="str">
        <f>IFERROR(__xludf.DUMMYFUNCTION("""COMPUTED_VALUE"""),"Zonnya Porteous")</f>
        <v>Zonnya Porteous</v>
      </c>
      <c r="C1571" s="2" t="str">
        <f>IFERROR(__xludf.DUMMYFUNCTION("""COMPUTED_VALUE"""),"zporteousfu@youtube.com")</f>
        <v>zporteousfu@youtube.com</v>
      </c>
      <c r="D1571" s="4">
        <f>IFERROR(__xludf.DUMMYFUNCTION("""COMPUTED_VALUE"""),120.0)</f>
        <v>120</v>
      </c>
      <c r="E1571" s="4">
        <f>IFERROR(__xludf.DUMMYFUNCTION("""COMPUTED_VALUE"""),64.0)</f>
        <v>64</v>
      </c>
      <c r="F1571" s="4">
        <f>IFERROR(__xludf.DUMMYFUNCTION("""COMPUTED_VALUE"""),4.0)</f>
        <v>4</v>
      </c>
      <c r="G1571" s="4">
        <f>IFERROR(__xludf.DUMMYFUNCTION("""COMPUTED_VALUE"""),596.0)</f>
        <v>596</v>
      </c>
      <c r="H1571" s="5">
        <f>IFERROR(__xludf.DUMMYFUNCTION("""COMPUTED_VALUE"""),4281.88)</f>
        <v>4281.88</v>
      </c>
      <c r="I1571" s="5">
        <f>IFERROR(__xludf.DUMMYFUNCTION("""COMPUTED_VALUE"""),601.87)</f>
        <v>601.87</v>
      </c>
      <c r="J1571" s="5">
        <f>IFERROR(__xludf.DUMMYFUNCTION("""COMPUTED_VALUE"""),8752.67)</f>
        <v>8752.67</v>
      </c>
      <c r="K1571" s="5">
        <f>IFERROR(__xludf.DUMMYFUNCTION("""COMPUTED_VALUE"""),3748.83)</f>
        <v>3748.83</v>
      </c>
      <c r="L1571" s="4">
        <f>IFERROR(__xludf.DUMMYFUNCTION("""COMPUTED_VALUE"""),16.0)</f>
        <v>16</v>
      </c>
      <c r="M1571" s="4">
        <f>IFERROR(__xludf.DUMMYFUNCTION("""COMPUTED_VALUE"""),76.0)</f>
        <v>76</v>
      </c>
      <c r="N1571" s="2" t="str">
        <f>IFERROR(__xludf.DUMMYFUNCTION("""COMPUTED_VALUE"""),"FALSO")</f>
        <v>FALSO</v>
      </c>
    </row>
    <row r="1572">
      <c r="A1572" s="2">
        <f>IFERROR(__xludf.DUMMYFUNCTION("""COMPUTED_VALUE"""),1571.0)</f>
        <v>1571</v>
      </c>
      <c r="B1572" s="2" t="str">
        <f>IFERROR(__xludf.DUMMYFUNCTION("""COMPUTED_VALUE"""),"Ezmeralda Murrow")</f>
        <v>Ezmeralda Murrow</v>
      </c>
      <c r="C1572" s="2" t="str">
        <f>IFERROR(__xludf.DUMMYFUNCTION("""COMPUTED_VALUE"""),"emurrowfv@purevolume.com")</f>
        <v>emurrowfv@purevolume.com</v>
      </c>
      <c r="D1572" s="4">
        <f>IFERROR(__xludf.DUMMYFUNCTION("""COMPUTED_VALUE"""),8.0)</f>
        <v>8</v>
      </c>
      <c r="E1572" s="4">
        <f>IFERROR(__xludf.DUMMYFUNCTION("""COMPUTED_VALUE"""),55.0)</f>
        <v>55</v>
      </c>
      <c r="F1572" s="4">
        <f>IFERROR(__xludf.DUMMYFUNCTION("""COMPUTED_VALUE"""),5.0)</f>
        <v>5</v>
      </c>
      <c r="G1572" s="4">
        <f>IFERROR(__xludf.DUMMYFUNCTION("""COMPUTED_VALUE"""),1320.0)</f>
        <v>1320</v>
      </c>
      <c r="H1572" s="5">
        <f>IFERROR(__xludf.DUMMYFUNCTION("""COMPUTED_VALUE"""),3226.67)</f>
        <v>3226.67</v>
      </c>
      <c r="I1572" s="5">
        <f>IFERROR(__xludf.DUMMYFUNCTION("""COMPUTED_VALUE"""),281.25)</f>
        <v>281.25</v>
      </c>
      <c r="J1572" s="5">
        <f>IFERROR(__xludf.DUMMYFUNCTION("""COMPUTED_VALUE"""),7593.37)</f>
        <v>7593.37</v>
      </c>
      <c r="K1572" s="5">
        <f>IFERROR(__xludf.DUMMYFUNCTION("""COMPUTED_VALUE"""),9855.06)</f>
        <v>9855.06</v>
      </c>
      <c r="L1572" s="4">
        <f>IFERROR(__xludf.DUMMYFUNCTION("""COMPUTED_VALUE"""),7.0)</f>
        <v>7</v>
      </c>
      <c r="M1572" s="4">
        <f>IFERROR(__xludf.DUMMYFUNCTION("""COMPUTED_VALUE"""),25.0)</f>
        <v>25</v>
      </c>
      <c r="N1572" s="2" t="str">
        <f>IFERROR(__xludf.DUMMYFUNCTION("""COMPUTED_VALUE"""),"VERDADERO")</f>
        <v>VERDADERO</v>
      </c>
    </row>
    <row r="1573">
      <c r="A1573" s="2">
        <f>IFERROR(__xludf.DUMMYFUNCTION("""COMPUTED_VALUE"""),1572.0)</f>
        <v>1572</v>
      </c>
      <c r="B1573" s="2" t="str">
        <f>IFERROR(__xludf.DUMMYFUNCTION("""COMPUTED_VALUE"""),"Ricca Bedbrough")</f>
        <v>Ricca Bedbrough</v>
      </c>
      <c r="C1573" s="2" t="str">
        <f>IFERROR(__xludf.DUMMYFUNCTION("""COMPUTED_VALUE"""),"rbedbroughfw@smh.com.au")</f>
        <v>rbedbroughfw@smh.com.au</v>
      </c>
      <c r="D1573" s="4">
        <f>IFERROR(__xludf.DUMMYFUNCTION("""COMPUTED_VALUE"""),5.0)</f>
        <v>5</v>
      </c>
      <c r="E1573" s="4">
        <f>IFERROR(__xludf.DUMMYFUNCTION("""COMPUTED_VALUE"""),100.0)</f>
        <v>100</v>
      </c>
      <c r="F1573" s="4">
        <f>IFERROR(__xludf.DUMMYFUNCTION("""COMPUTED_VALUE"""),9.0)</f>
        <v>9</v>
      </c>
      <c r="G1573" s="4">
        <f>IFERROR(__xludf.DUMMYFUNCTION("""COMPUTED_VALUE"""),39.0)</f>
        <v>39</v>
      </c>
      <c r="H1573" s="5">
        <f>IFERROR(__xludf.DUMMYFUNCTION("""COMPUTED_VALUE"""),564.4)</f>
        <v>564.4</v>
      </c>
      <c r="I1573" s="5">
        <f>IFERROR(__xludf.DUMMYFUNCTION("""COMPUTED_VALUE"""),9393.58)</f>
        <v>9393.58</v>
      </c>
      <c r="J1573" s="5">
        <f>IFERROR(__xludf.DUMMYFUNCTION("""COMPUTED_VALUE"""),8105.89)</f>
        <v>8105.89</v>
      </c>
      <c r="K1573" s="5">
        <f>IFERROR(__xludf.DUMMYFUNCTION("""COMPUTED_VALUE"""),7791.15)</f>
        <v>7791.15</v>
      </c>
      <c r="L1573" s="4">
        <f>IFERROR(__xludf.DUMMYFUNCTION("""COMPUTED_VALUE"""),8.0)</f>
        <v>8</v>
      </c>
      <c r="M1573" s="4">
        <f>IFERROR(__xludf.DUMMYFUNCTION("""COMPUTED_VALUE"""),12.0)</f>
        <v>12</v>
      </c>
      <c r="N1573" s="2" t="str">
        <f>IFERROR(__xludf.DUMMYFUNCTION("""COMPUTED_VALUE"""),"FALSO")</f>
        <v>FALSO</v>
      </c>
    </row>
    <row r="1574">
      <c r="A1574" s="2">
        <f>IFERROR(__xludf.DUMMYFUNCTION("""COMPUTED_VALUE"""),1573.0)</f>
        <v>1573</v>
      </c>
      <c r="B1574" s="2" t="str">
        <f>IFERROR(__xludf.DUMMYFUNCTION("""COMPUTED_VALUE"""),"Lydia Boor")</f>
        <v>Lydia Boor</v>
      </c>
      <c r="C1574" s="2" t="str">
        <f>IFERROR(__xludf.DUMMYFUNCTION("""COMPUTED_VALUE"""),"lboorfx@va.gov")</f>
        <v>lboorfx@va.gov</v>
      </c>
      <c r="D1574" s="4">
        <f>IFERROR(__xludf.DUMMYFUNCTION("""COMPUTED_VALUE"""),120.0)</f>
        <v>120</v>
      </c>
      <c r="E1574" s="4">
        <f>IFERROR(__xludf.DUMMYFUNCTION("""COMPUTED_VALUE"""),12.0)</f>
        <v>12</v>
      </c>
      <c r="F1574" s="4">
        <f>IFERROR(__xludf.DUMMYFUNCTION("""COMPUTED_VALUE"""),6.0)</f>
        <v>6</v>
      </c>
      <c r="G1574" s="4">
        <f>IFERROR(__xludf.DUMMYFUNCTION("""COMPUTED_VALUE"""),995.0)</f>
        <v>995</v>
      </c>
      <c r="H1574" s="5">
        <f>IFERROR(__xludf.DUMMYFUNCTION("""COMPUTED_VALUE"""),8935.86)</f>
        <v>8935.86</v>
      </c>
      <c r="I1574" s="5">
        <f>IFERROR(__xludf.DUMMYFUNCTION("""COMPUTED_VALUE"""),9671.35)</f>
        <v>9671.35</v>
      </c>
      <c r="J1574" s="5">
        <f>IFERROR(__xludf.DUMMYFUNCTION("""COMPUTED_VALUE"""),6744.74)</f>
        <v>6744.74</v>
      </c>
      <c r="K1574" s="5">
        <f>IFERROR(__xludf.DUMMYFUNCTION("""COMPUTED_VALUE"""),8745.52)</f>
        <v>8745.52</v>
      </c>
      <c r="L1574" s="4">
        <f>IFERROR(__xludf.DUMMYFUNCTION("""COMPUTED_VALUE"""),8.0)</f>
        <v>8</v>
      </c>
      <c r="M1574" s="4">
        <f>IFERROR(__xludf.DUMMYFUNCTION("""COMPUTED_VALUE"""),7.0)</f>
        <v>7</v>
      </c>
      <c r="N1574" s="2" t="str">
        <f>IFERROR(__xludf.DUMMYFUNCTION("""COMPUTED_VALUE"""),"VERDADERO")</f>
        <v>VERDADERO</v>
      </c>
    </row>
    <row r="1575">
      <c r="A1575" s="2">
        <f>IFERROR(__xludf.DUMMYFUNCTION("""COMPUTED_VALUE"""),1574.0)</f>
        <v>1574</v>
      </c>
      <c r="B1575" s="2" t="str">
        <f>IFERROR(__xludf.DUMMYFUNCTION("""COMPUTED_VALUE"""),"Jaynell Garford")</f>
        <v>Jaynell Garford</v>
      </c>
      <c r="C1575" s="2" t="str">
        <f>IFERROR(__xludf.DUMMYFUNCTION("""COMPUTED_VALUE"""),"jgarfordfy@patch.com")</f>
        <v>jgarfordfy@patch.com</v>
      </c>
      <c r="D1575" s="4">
        <f>IFERROR(__xludf.DUMMYFUNCTION("""COMPUTED_VALUE"""),29.0)</f>
        <v>29</v>
      </c>
      <c r="E1575" s="4">
        <f>IFERROR(__xludf.DUMMYFUNCTION("""COMPUTED_VALUE"""),66.0)</f>
        <v>66</v>
      </c>
      <c r="F1575" s="4">
        <f>IFERROR(__xludf.DUMMYFUNCTION("""COMPUTED_VALUE"""),6.0)</f>
        <v>6</v>
      </c>
      <c r="G1575" s="4">
        <f>IFERROR(__xludf.DUMMYFUNCTION("""COMPUTED_VALUE"""),980.0)</f>
        <v>980</v>
      </c>
      <c r="H1575" s="5">
        <f>IFERROR(__xludf.DUMMYFUNCTION("""COMPUTED_VALUE"""),1694.83)</f>
        <v>1694.83</v>
      </c>
      <c r="I1575" s="5">
        <f>IFERROR(__xludf.DUMMYFUNCTION("""COMPUTED_VALUE"""),3547.8)</f>
        <v>3547.8</v>
      </c>
      <c r="J1575" s="5">
        <f>IFERROR(__xludf.DUMMYFUNCTION("""COMPUTED_VALUE"""),2596.43)</f>
        <v>2596.43</v>
      </c>
      <c r="K1575" s="5">
        <f>IFERROR(__xludf.DUMMYFUNCTION("""COMPUTED_VALUE"""),7046.27)</f>
        <v>7046.27</v>
      </c>
      <c r="L1575" s="4">
        <f>IFERROR(__xludf.DUMMYFUNCTION("""COMPUTED_VALUE"""),19.0)</f>
        <v>19</v>
      </c>
      <c r="M1575" s="4">
        <f>IFERROR(__xludf.DUMMYFUNCTION("""COMPUTED_VALUE"""),84.0)</f>
        <v>84</v>
      </c>
      <c r="N1575" s="2" t="str">
        <f>IFERROR(__xludf.DUMMYFUNCTION("""COMPUTED_VALUE"""),"FALSO")</f>
        <v>FALSO</v>
      </c>
    </row>
    <row r="1576">
      <c r="A1576" s="2">
        <f>IFERROR(__xludf.DUMMYFUNCTION("""COMPUTED_VALUE"""),1575.0)</f>
        <v>1575</v>
      </c>
      <c r="B1576" s="2" t="str">
        <f>IFERROR(__xludf.DUMMYFUNCTION("""COMPUTED_VALUE"""),"Darb Haggus")</f>
        <v>Darb Haggus</v>
      </c>
      <c r="C1576" s="2" t="str">
        <f>IFERROR(__xludf.DUMMYFUNCTION("""COMPUTED_VALUE"""),"dhaggusfz@surveymonkey.com")</f>
        <v>dhaggusfz@surveymonkey.com</v>
      </c>
      <c r="D1576" s="4">
        <f>IFERROR(__xludf.DUMMYFUNCTION("""COMPUTED_VALUE"""),128.0)</f>
        <v>128</v>
      </c>
      <c r="E1576" s="4">
        <f>IFERROR(__xludf.DUMMYFUNCTION("""COMPUTED_VALUE"""),119.0)</f>
        <v>119</v>
      </c>
      <c r="F1576" s="4">
        <f>IFERROR(__xludf.DUMMYFUNCTION("""COMPUTED_VALUE"""),1.0)</f>
        <v>1</v>
      </c>
      <c r="G1576" s="4">
        <f>IFERROR(__xludf.DUMMYFUNCTION("""COMPUTED_VALUE"""),1177.0)</f>
        <v>1177</v>
      </c>
      <c r="H1576" s="5">
        <f>IFERROR(__xludf.DUMMYFUNCTION("""COMPUTED_VALUE"""),9189.56)</f>
        <v>9189.56</v>
      </c>
      <c r="I1576" s="5">
        <f>IFERROR(__xludf.DUMMYFUNCTION("""COMPUTED_VALUE"""),5340.26)</f>
        <v>5340.26</v>
      </c>
      <c r="J1576" s="5">
        <f>IFERROR(__xludf.DUMMYFUNCTION("""COMPUTED_VALUE"""),6353.66)</f>
        <v>6353.66</v>
      </c>
      <c r="K1576" s="5">
        <f>IFERROR(__xludf.DUMMYFUNCTION("""COMPUTED_VALUE"""),5588.05)</f>
        <v>5588.05</v>
      </c>
      <c r="L1576" s="4">
        <f>IFERROR(__xludf.DUMMYFUNCTION("""COMPUTED_VALUE"""),17.0)</f>
        <v>17</v>
      </c>
      <c r="M1576" s="4">
        <f>IFERROR(__xludf.DUMMYFUNCTION("""COMPUTED_VALUE"""),66.0)</f>
        <v>66</v>
      </c>
      <c r="N1576" s="2" t="str">
        <f>IFERROR(__xludf.DUMMYFUNCTION("""COMPUTED_VALUE"""),"FALSO")</f>
        <v>FALSO</v>
      </c>
    </row>
    <row r="1577">
      <c r="A1577" s="2">
        <f>IFERROR(__xludf.DUMMYFUNCTION("""COMPUTED_VALUE"""),1576.0)</f>
        <v>1576</v>
      </c>
      <c r="B1577" s="2" t="str">
        <f>IFERROR(__xludf.DUMMYFUNCTION("""COMPUTED_VALUE"""),"Bunnie Arondel")</f>
        <v>Bunnie Arondel</v>
      </c>
      <c r="C1577" s="2" t="str">
        <f>IFERROR(__xludf.DUMMYFUNCTION("""COMPUTED_VALUE"""),"barondelg0@google.it")</f>
        <v>barondelg0@google.it</v>
      </c>
      <c r="D1577" s="4">
        <f>IFERROR(__xludf.DUMMYFUNCTION("""COMPUTED_VALUE"""),73.0)</f>
        <v>73</v>
      </c>
      <c r="E1577" s="4">
        <f>IFERROR(__xludf.DUMMYFUNCTION("""COMPUTED_VALUE"""),66.0)</f>
        <v>66</v>
      </c>
      <c r="F1577" s="4">
        <f>IFERROR(__xludf.DUMMYFUNCTION("""COMPUTED_VALUE"""),6.0)</f>
        <v>6</v>
      </c>
      <c r="G1577" s="4">
        <f>IFERROR(__xludf.DUMMYFUNCTION("""COMPUTED_VALUE"""),980.0)</f>
        <v>980</v>
      </c>
      <c r="H1577" s="5">
        <f>IFERROR(__xludf.DUMMYFUNCTION("""COMPUTED_VALUE"""),7652.26)</f>
        <v>7652.26</v>
      </c>
      <c r="I1577" s="5">
        <f>IFERROR(__xludf.DUMMYFUNCTION("""COMPUTED_VALUE"""),9230.56)</f>
        <v>9230.56</v>
      </c>
      <c r="J1577" s="5">
        <f>IFERROR(__xludf.DUMMYFUNCTION("""COMPUTED_VALUE"""),5867.13)</f>
        <v>5867.13</v>
      </c>
      <c r="K1577" s="5">
        <f>IFERROR(__xludf.DUMMYFUNCTION("""COMPUTED_VALUE"""),9108.34)</f>
        <v>9108.34</v>
      </c>
      <c r="L1577" s="4">
        <f>IFERROR(__xludf.DUMMYFUNCTION("""COMPUTED_VALUE"""),17.0)</f>
        <v>17</v>
      </c>
      <c r="M1577" s="4">
        <f>IFERROR(__xludf.DUMMYFUNCTION("""COMPUTED_VALUE"""),62.0)</f>
        <v>62</v>
      </c>
      <c r="N1577" s="2" t="str">
        <f>IFERROR(__xludf.DUMMYFUNCTION("""COMPUTED_VALUE"""),"VERDADERO")</f>
        <v>VERDADERO</v>
      </c>
    </row>
    <row r="1578">
      <c r="A1578" s="2">
        <f>IFERROR(__xludf.DUMMYFUNCTION("""COMPUTED_VALUE"""),1577.0)</f>
        <v>1577</v>
      </c>
      <c r="B1578" s="2" t="str">
        <f>IFERROR(__xludf.DUMMYFUNCTION("""COMPUTED_VALUE"""),"Devora Sarch")</f>
        <v>Devora Sarch</v>
      </c>
      <c r="C1578" s="2" t="str">
        <f>IFERROR(__xludf.DUMMYFUNCTION("""COMPUTED_VALUE"""),"dsarchg1@ameblo.jp")</f>
        <v>dsarchg1@ameblo.jp</v>
      </c>
      <c r="D1578" s="4">
        <f>IFERROR(__xludf.DUMMYFUNCTION("""COMPUTED_VALUE"""),111.0)</f>
        <v>111</v>
      </c>
      <c r="E1578" s="4">
        <f>IFERROR(__xludf.DUMMYFUNCTION("""COMPUTED_VALUE"""),90.0)</f>
        <v>90</v>
      </c>
      <c r="F1578" s="4">
        <f>IFERROR(__xludf.DUMMYFUNCTION("""COMPUTED_VALUE"""),5.0)</f>
        <v>5</v>
      </c>
      <c r="G1578" s="4">
        <f>IFERROR(__xludf.DUMMYFUNCTION("""COMPUTED_VALUE"""),321.0)</f>
        <v>321</v>
      </c>
      <c r="H1578" s="5">
        <f>IFERROR(__xludf.DUMMYFUNCTION("""COMPUTED_VALUE"""),5618.59)</f>
        <v>5618.59</v>
      </c>
      <c r="I1578" s="5">
        <f>IFERROR(__xludf.DUMMYFUNCTION("""COMPUTED_VALUE"""),8124.07)</f>
        <v>8124.07</v>
      </c>
      <c r="J1578" s="5">
        <f>IFERROR(__xludf.DUMMYFUNCTION("""COMPUTED_VALUE"""),3592.53)</f>
        <v>3592.53</v>
      </c>
      <c r="K1578" s="5">
        <f>IFERROR(__xludf.DUMMYFUNCTION("""COMPUTED_VALUE"""),7394.9)</f>
        <v>7394.9</v>
      </c>
      <c r="L1578" s="4">
        <f>IFERROR(__xludf.DUMMYFUNCTION("""COMPUTED_VALUE"""),18.0)</f>
        <v>18</v>
      </c>
      <c r="M1578" s="4">
        <f>IFERROR(__xludf.DUMMYFUNCTION("""COMPUTED_VALUE"""),56.0)</f>
        <v>56</v>
      </c>
      <c r="N1578" s="2" t="str">
        <f>IFERROR(__xludf.DUMMYFUNCTION("""COMPUTED_VALUE"""),"VERDADERO")</f>
        <v>VERDADERO</v>
      </c>
    </row>
    <row r="1579">
      <c r="A1579" s="2">
        <f>IFERROR(__xludf.DUMMYFUNCTION("""COMPUTED_VALUE"""),1578.0)</f>
        <v>1578</v>
      </c>
      <c r="B1579" s="2" t="str">
        <f>IFERROR(__xludf.DUMMYFUNCTION("""COMPUTED_VALUE"""),"Casey Mathelin")</f>
        <v>Casey Mathelin</v>
      </c>
      <c r="C1579" s="2" t="str">
        <f>IFERROR(__xludf.DUMMYFUNCTION("""COMPUTED_VALUE"""),"cmatheling2@tiny.cc")</f>
        <v>cmatheling2@tiny.cc</v>
      </c>
      <c r="D1579" s="4">
        <f>IFERROR(__xludf.DUMMYFUNCTION("""COMPUTED_VALUE"""),145.0)</f>
        <v>145</v>
      </c>
      <c r="E1579" s="4">
        <f>IFERROR(__xludf.DUMMYFUNCTION("""COMPUTED_VALUE"""),72.0)</f>
        <v>72</v>
      </c>
      <c r="F1579" s="4">
        <f>IFERROR(__xludf.DUMMYFUNCTION("""COMPUTED_VALUE"""),6.0)</f>
        <v>6</v>
      </c>
      <c r="G1579" s="4">
        <f>IFERROR(__xludf.DUMMYFUNCTION("""COMPUTED_VALUE"""),1536.0)</f>
        <v>1536</v>
      </c>
      <c r="H1579" s="5">
        <f>IFERROR(__xludf.DUMMYFUNCTION("""COMPUTED_VALUE"""),4132.26)</f>
        <v>4132.26</v>
      </c>
      <c r="I1579" s="5">
        <f>IFERROR(__xludf.DUMMYFUNCTION("""COMPUTED_VALUE"""),2951.63)</f>
        <v>2951.63</v>
      </c>
      <c r="J1579" s="5">
        <f>IFERROR(__xludf.DUMMYFUNCTION("""COMPUTED_VALUE"""),5892.14)</f>
        <v>5892.14</v>
      </c>
      <c r="K1579" s="5">
        <f>IFERROR(__xludf.DUMMYFUNCTION("""COMPUTED_VALUE"""),3135.23)</f>
        <v>3135.23</v>
      </c>
      <c r="L1579" s="4">
        <f>IFERROR(__xludf.DUMMYFUNCTION("""COMPUTED_VALUE"""),11.0)</f>
        <v>11</v>
      </c>
      <c r="M1579" s="4">
        <f>IFERROR(__xludf.DUMMYFUNCTION("""COMPUTED_VALUE"""),7.0)</f>
        <v>7</v>
      </c>
      <c r="N1579" s="2" t="str">
        <f>IFERROR(__xludf.DUMMYFUNCTION("""COMPUTED_VALUE"""),"FALSO")</f>
        <v>FALSO</v>
      </c>
    </row>
    <row r="1580">
      <c r="A1580" s="2">
        <f>IFERROR(__xludf.DUMMYFUNCTION("""COMPUTED_VALUE"""),1579.0)</f>
        <v>1579</v>
      </c>
      <c r="B1580" s="2" t="str">
        <f>IFERROR(__xludf.DUMMYFUNCTION("""COMPUTED_VALUE"""),"Ealasaid Sustin")</f>
        <v>Ealasaid Sustin</v>
      </c>
      <c r="C1580" s="2" t="str">
        <f>IFERROR(__xludf.DUMMYFUNCTION("""COMPUTED_VALUE"""),"esusting3@usda.gov")</f>
        <v>esusting3@usda.gov</v>
      </c>
      <c r="D1580" s="4">
        <f>IFERROR(__xludf.DUMMYFUNCTION("""COMPUTED_VALUE"""),99.0)</f>
        <v>99</v>
      </c>
      <c r="E1580" s="4">
        <f>IFERROR(__xludf.DUMMYFUNCTION("""COMPUTED_VALUE"""),66.0)</f>
        <v>66</v>
      </c>
      <c r="F1580" s="4">
        <f>IFERROR(__xludf.DUMMYFUNCTION("""COMPUTED_VALUE"""),6.0)</f>
        <v>6</v>
      </c>
      <c r="G1580" s="4">
        <f>IFERROR(__xludf.DUMMYFUNCTION("""COMPUTED_VALUE"""),1413.0)</f>
        <v>1413</v>
      </c>
      <c r="H1580" s="5">
        <f>IFERROR(__xludf.DUMMYFUNCTION("""COMPUTED_VALUE"""),9764.13)</f>
        <v>9764.13</v>
      </c>
      <c r="I1580" s="5">
        <f>IFERROR(__xludf.DUMMYFUNCTION("""COMPUTED_VALUE"""),8885.37)</f>
        <v>8885.37</v>
      </c>
      <c r="J1580" s="5">
        <f>IFERROR(__xludf.DUMMYFUNCTION("""COMPUTED_VALUE"""),5382.83)</f>
        <v>5382.83</v>
      </c>
      <c r="K1580" s="5">
        <f>IFERROR(__xludf.DUMMYFUNCTION("""COMPUTED_VALUE"""),7022.08)</f>
        <v>7022.08</v>
      </c>
      <c r="L1580" s="4">
        <f>IFERROR(__xludf.DUMMYFUNCTION("""COMPUTED_VALUE"""),5.0)</f>
        <v>5</v>
      </c>
      <c r="M1580" s="4">
        <f>IFERROR(__xludf.DUMMYFUNCTION("""COMPUTED_VALUE"""),97.0)</f>
        <v>97</v>
      </c>
      <c r="N1580" s="2" t="str">
        <f>IFERROR(__xludf.DUMMYFUNCTION("""COMPUTED_VALUE"""),"FALSO")</f>
        <v>FALSO</v>
      </c>
    </row>
    <row r="1581">
      <c r="A1581" s="2">
        <f>IFERROR(__xludf.DUMMYFUNCTION("""COMPUTED_VALUE"""),1580.0)</f>
        <v>1580</v>
      </c>
      <c r="B1581" s="2" t="str">
        <f>IFERROR(__xludf.DUMMYFUNCTION("""COMPUTED_VALUE"""),"Rey Ofener")</f>
        <v>Rey Ofener</v>
      </c>
      <c r="C1581" s="2" t="str">
        <f>IFERROR(__xludf.DUMMYFUNCTION("""COMPUTED_VALUE"""),"rofenerg4@usnews.com")</f>
        <v>rofenerg4@usnews.com</v>
      </c>
      <c r="D1581" s="4">
        <f>IFERROR(__xludf.DUMMYFUNCTION("""COMPUTED_VALUE"""),121.0)</f>
        <v>121</v>
      </c>
      <c r="E1581" s="4">
        <f>IFERROR(__xludf.DUMMYFUNCTION("""COMPUTED_VALUE"""),65.0)</f>
        <v>65</v>
      </c>
      <c r="F1581" s="4">
        <f>IFERROR(__xludf.DUMMYFUNCTION("""COMPUTED_VALUE"""),9.0)</f>
        <v>9</v>
      </c>
      <c r="G1581" s="4">
        <f>IFERROR(__xludf.DUMMYFUNCTION("""COMPUTED_VALUE"""),764.0)</f>
        <v>764</v>
      </c>
      <c r="H1581" s="5">
        <f>IFERROR(__xludf.DUMMYFUNCTION("""COMPUTED_VALUE"""),2326.58)</f>
        <v>2326.58</v>
      </c>
      <c r="I1581" s="5">
        <f>IFERROR(__xludf.DUMMYFUNCTION("""COMPUTED_VALUE"""),8100.36)</f>
        <v>8100.36</v>
      </c>
      <c r="J1581" s="5">
        <f>IFERROR(__xludf.DUMMYFUNCTION("""COMPUTED_VALUE"""),7768.34)</f>
        <v>7768.34</v>
      </c>
      <c r="K1581" s="5">
        <f>IFERROR(__xludf.DUMMYFUNCTION("""COMPUTED_VALUE"""),7388.1)</f>
        <v>7388.1</v>
      </c>
      <c r="L1581" s="4">
        <f>IFERROR(__xludf.DUMMYFUNCTION("""COMPUTED_VALUE"""),9.0)</f>
        <v>9</v>
      </c>
      <c r="M1581" s="4">
        <f>IFERROR(__xludf.DUMMYFUNCTION("""COMPUTED_VALUE"""),32.0)</f>
        <v>32</v>
      </c>
      <c r="N1581" s="2" t="str">
        <f>IFERROR(__xludf.DUMMYFUNCTION("""COMPUTED_VALUE"""),"VERDADERO")</f>
        <v>VERDADERO</v>
      </c>
    </row>
    <row r="1582">
      <c r="A1582" s="2">
        <f>IFERROR(__xludf.DUMMYFUNCTION("""COMPUTED_VALUE"""),1581.0)</f>
        <v>1581</v>
      </c>
      <c r="B1582" s="2" t="str">
        <f>IFERROR(__xludf.DUMMYFUNCTION("""COMPUTED_VALUE"""),"Leah Eighteen")</f>
        <v>Leah Eighteen</v>
      </c>
      <c r="C1582" s="2" t="str">
        <f>IFERROR(__xludf.DUMMYFUNCTION("""COMPUTED_VALUE"""),"leighteeng5@epa.gov")</f>
        <v>leighteeng5@epa.gov</v>
      </c>
      <c r="D1582" s="4">
        <f>IFERROR(__xludf.DUMMYFUNCTION("""COMPUTED_VALUE"""),17.0)</f>
        <v>17</v>
      </c>
      <c r="E1582" s="4">
        <f>IFERROR(__xludf.DUMMYFUNCTION("""COMPUTED_VALUE"""),112.0)</f>
        <v>112</v>
      </c>
      <c r="F1582" s="4">
        <f>IFERROR(__xludf.DUMMYFUNCTION("""COMPUTED_VALUE"""),11.0)</f>
        <v>11</v>
      </c>
      <c r="G1582" s="4">
        <f>IFERROR(__xludf.DUMMYFUNCTION("""COMPUTED_VALUE"""),504.0)</f>
        <v>504</v>
      </c>
      <c r="H1582" s="5">
        <f>IFERROR(__xludf.DUMMYFUNCTION("""COMPUTED_VALUE"""),230.87)</f>
        <v>230.87</v>
      </c>
      <c r="I1582" s="5">
        <f>IFERROR(__xludf.DUMMYFUNCTION("""COMPUTED_VALUE"""),4186.2)</f>
        <v>4186.2</v>
      </c>
      <c r="J1582" s="5">
        <f>IFERROR(__xludf.DUMMYFUNCTION("""COMPUTED_VALUE"""),9400.94)</f>
        <v>9400.94</v>
      </c>
      <c r="K1582" s="5">
        <f>IFERROR(__xludf.DUMMYFUNCTION("""COMPUTED_VALUE"""),4380.57)</f>
        <v>4380.57</v>
      </c>
      <c r="L1582" s="4">
        <f>IFERROR(__xludf.DUMMYFUNCTION("""COMPUTED_VALUE"""),12.0)</f>
        <v>12</v>
      </c>
      <c r="M1582" s="4">
        <f>IFERROR(__xludf.DUMMYFUNCTION("""COMPUTED_VALUE"""),69.0)</f>
        <v>69</v>
      </c>
      <c r="N1582" s="2" t="str">
        <f>IFERROR(__xludf.DUMMYFUNCTION("""COMPUTED_VALUE"""),"FALSO")</f>
        <v>FALSO</v>
      </c>
    </row>
    <row r="1583">
      <c r="A1583" s="2">
        <f>IFERROR(__xludf.DUMMYFUNCTION("""COMPUTED_VALUE"""),1582.0)</f>
        <v>1582</v>
      </c>
      <c r="B1583" s="2" t="str">
        <f>IFERROR(__xludf.DUMMYFUNCTION("""COMPUTED_VALUE"""),"Doralin Bagenal")</f>
        <v>Doralin Bagenal</v>
      </c>
      <c r="C1583" s="2" t="str">
        <f>IFERROR(__xludf.DUMMYFUNCTION("""COMPUTED_VALUE"""),"dbagenalg6@livejournal.com")</f>
        <v>dbagenalg6@livejournal.com</v>
      </c>
      <c r="D1583" s="4">
        <f>IFERROR(__xludf.DUMMYFUNCTION("""COMPUTED_VALUE"""),70.0)</f>
        <v>70</v>
      </c>
      <c r="E1583" s="4">
        <f>IFERROR(__xludf.DUMMYFUNCTION("""COMPUTED_VALUE"""),66.0)</f>
        <v>66</v>
      </c>
      <c r="F1583" s="4">
        <f>IFERROR(__xludf.DUMMYFUNCTION("""COMPUTED_VALUE"""),6.0)</f>
        <v>6</v>
      </c>
      <c r="G1583" s="4">
        <f>IFERROR(__xludf.DUMMYFUNCTION("""COMPUTED_VALUE"""),1346.0)</f>
        <v>1346</v>
      </c>
      <c r="H1583" s="5">
        <f>IFERROR(__xludf.DUMMYFUNCTION("""COMPUTED_VALUE"""),315.21)</f>
        <v>315.21</v>
      </c>
      <c r="I1583" s="5">
        <f>IFERROR(__xludf.DUMMYFUNCTION("""COMPUTED_VALUE"""),2317.01)</f>
        <v>2317.01</v>
      </c>
      <c r="J1583" s="5">
        <f>IFERROR(__xludf.DUMMYFUNCTION("""COMPUTED_VALUE"""),8737.78)</f>
        <v>8737.78</v>
      </c>
      <c r="K1583" s="5">
        <f>IFERROR(__xludf.DUMMYFUNCTION("""COMPUTED_VALUE"""),302.43)</f>
        <v>302.43</v>
      </c>
      <c r="L1583" s="4">
        <f>IFERROR(__xludf.DUMMYFUNCTION("""COMPUTED_VALUE"""),18.0)</f>
        <v>18</v>
      </c>
      <c r="M1583" s="4">
        <f>IFERROR(__xludf.DUMMYFUNCTION("""COMPUTED_VALUE"""),72.0)</f>
        <v>72</v>
      </c>
      <c r="N1583" s="2" t="str">
        <f>IFERROR(__xludf.DUMMYFUNCTION("""COMPUTED_VALUE"""),"VERDADERO")</f>
        <v>VERDADERO</v>
      </c>
    </row>
    <row r="1584">
      <c r="A1584" s="2">
        <f>IFERROR(__xludf.DUMMYFUNCTION("""COMPUTED_VALUE"""),1583.0)</f>
        <v>1583</v>
      </c>
      <c r="B1584" s="2" t="str">
        <f>IFERROR(__xludf.DUMMYFUNCTION("""COMPUTED_VALUE"""),"Skip Bynold")</f>
        <v>Skip Bynold</v>
      </c>
      <c r="C1584" s="2" t="str">
        <f>IFERROR(__xludf.DUMMYFUNCTION("""COMPUTED_VALUE"""),"sbynoldg7@ocn.ne.jp")</f>
        <v>sbynoldg7@ocn.ne.jp</v>
      </c>
      <c r="D1584" s="4">
        <f>IFERROR(__xludf.DUMMYFUNCTION("""COMPUTED_VALUE"""),29.0)</f>
        <v>29</v>
      </c>
      <c r="E1584" s="4">
        <f>IFERROR(__xludf.DUMMYFUNCTION("""COMPUTED_VALUE"""),59.0)</f>
        <v>59</v>
      </c>
      <c r="F1584" s="4">
        <f>IFERROR(__xludf.DUMMYFUNCTION("""COMPUTED_VALUE"""),6.0)</f>
        <v>6</v>
      </c>
      <c r="G1584" s="4">
        <f>IFERROR(__xludf.DUMMYFUNCTION("""COMPUTED_VALUE"""),1584.0)</f>
        <v>1584</v>
      </c>
      <c r="H1584" s="5">
        <f>IFERROR(__xludf.DUMMYFUNCTION("""COMPUTED_VALUE"""),710.65)</f>
        <v>710.65</v>
      </c>
      <c r="I1584" s="5">
        <f>IFERROR(__xludf.DUMMYFUNCTION("""COMPUTED_VALUE"""),7371.32)</f>
        <v>7371.32</v>
      </c>
      <c r="J1584" s="5">
        <f>IFERROR(__xludf.DUMMYFUNCTION("""COMPUTED_VALUE"""),8202.16)</f>
        <v>8202.16</v>
      </c>
      <c r="K1584" s="5">
        <f>IFERROR(__xludf.DUMMYFUNCTION("""COMPUTED_VALUE"""),4059.97)</f>
        <v>4059.97</v>
      </c>
      <c r="L1584" s="4">
        <f>IFERROR(__xludf.DUMMYFUNCTION("""COMPUTED_VALUE"""),9.0)</f>
        <v>9</v>
      </c>
      <c r="M1584" s="4">
        <f>IFERROR(__xludf.DUMMYFUNCTION("""COMPUTED_VALUE"""),45.0)</f>
        <v>45</v>
      </c>
      <c r="N1584" s="2" t="str">
        <f>IFERROR(__xludf.DUMMYFUNCTION("""COMPUTED_VALUE"""),"VERDADERO")</f>
        <v>VERDADERO</v>
      </c>
    </row>
    <row r="1585">
      <c r="A1585" s="2">
        <f>IFERROR(__xludf.DUMMYFUNCTION("""COMPUTED_VALUE"""),1584.0)</f>
        <v>1584</v>
      </c>
      <c r="B1585" s="2" t="str">
        <f>IFERROR(__xludf.DUMMYFUNCTION("""COMPUTED_VALUE"""),"Xenia Barth")</f>
        <v>Xenia Barth</v>
      </c>
      <c r="C1585" s="2" t="str">
        <f>IFERROR(__xludf.DUMMYFUNCTION("""COMPUTED_VALUE"""),"xbarthg8@sitemeter.com")</f>
        <v>xbarthg8@sitemeter.com</v>
      </c>
      <c r="D1585" s="4">
        <f>IFERROR(__xludf.DUMMYFUNCTION("""COMPUTED_VALUE"""),124.0)</f>
        <v>124</v>
      </c>
      <c r="E1585" s="4">
        <f>IFERROR(__xludf.DUMMYFUNCTION("""COMPUTED_VALUE"""),55.0)</f>
        <v>55</v>
      </c>
      <c r="F1585" s="4">
        <f>IFERROR(__xludf.DUMMYFUNCTION("""COMPUTED_VALUE"""),8.0)</f>
        <v>8</v>
      </c>
      <c r="G1585" s="4">
        <f>IFERROR(__xludf.DUMMYFUNCTION("""COMPUTED_VALUE"""),1414.0)</f>
        <v>1414</v>
      </c>
      <c r="H1585" s="5">
        <f>IFERROR(__xludf.DUMMYFUNCTION("""COMPUTED_VALUE"""),915.69)</f>
        <v>915.69</v>
      </c>
      <c r="I1585" s="5">
        <f>IFERROR(__xludf.DUMMYFUNCTION("""COMPUTED_VALUE"""),490.74)</f>
        <v>490.74</v>
      </c>
      <c r="J1585" s="5">
        <f>IFERROR(__xludf.DUMMYFUNCTION("""COMPUTED_VALUE"""),7379.08)</f>
        <v>7379.08</v>
      </c>
      <c r="K1585" s="5">
        <f>IFERROR(__xludf.DUMMYFUNCTION("""COMPUTED_VALUE"""),8719.66)</f>
        <v>8719.66</v>
      </c>
      <c r="L1585" s="4">
        <f>IFERROR(__xludf.DUMMYFUNCTION("""COMPUTED_VALUE"""),18.0)</f>
        <v>18</v>
      </c>
      <c r="M1585" s="4">
        <f>IFERROR(__xludf.DUMMYFUNCTION("""COMPUTED_VALUE"""),23.0)</f>
        <v>23</v>
      </c>
      <c r="N1585" s="2" t="str">
        <f>IFERROR(__xludf.DUMMYFUNCTION("""COMPUTED_VALUE"""),"VERDADERO")</f>
        <v>VERDADERO</v>
      </c>
    </row>
    <row r="1586">
      <c r="A1586" s="2">
        <f>IFERROR(__xludf.DUMMYFUNCTION("""COMPUTED_VALUE"""),1585.0)</f>
        <v>1585</v>
      </c>
      <c r="B1586" s="2" t="str">
        <f>IFERROR(__xludf.DUMMYFUNCTION("""COMPUTED_VALUE"""),"Blancha McQuade")</f>
        <v>Blancha McQuade</v>
      </c>
      <c r="C1586" s="2" t="str">
        <f>IFERROR(__xludf.DUMMYFUNCTION("""COMPUTED_VALUE"""),"bmcquadeg9@meetup.com")</f>
        <v>bmcquadeg9@meetup.com</v>
      </c>
      <c r="D1586" s="4">
        <f>IFERROR(__xludf.DUMMYFUNCTION("""COMPUTED_VALUE"""),120.0)</f>
        <v>120</v>
      </c>
      <c r="E1586" s="4">
        <f>IFERROR(__xludf.DUMMYFUNCTION("""COMPUTED_VALUE"""),40.0)</f>
        <v>40</v>
      </c>
      <c r="F1586" s="4">
        <f>IFERROR(__xludf.DUMMYFUNCTION("""COMPUTED_VALUE"""),1.0)</f>
        <v>1</v>
      </c>
      <c r="G1586" s="4">
        <f>IFERROR(__xludf.DUMMYFUNCTION("""COMPUTED_VALUE"""),151.0)</f>
        <v>151</v>
      </c>
      <c r="H1586" s="5">
        <f>IFERROR(__xludf.DUMMYFUNCTION("""COMPUTED_VALUE"""),1515.93)</f>
        <v>1515.93</v>
      </c>
      <c r="I1586" s="5">
        <f>IFERROR(__xludf.DUMMYFUNCTION("""COMPUTED_VALUE"""),5313.57)</f>
        <v>5313.57</v>
      </c>
      <c r="J1586" s="5">
        <f>IFERROR(__xludf.DUMMYFUNCTION("""COMPUTED_VALUE"""),1219.72)</f>
        <v>1219.72</v>
      </c>
      <c r="K1586" s="5">
        <f>IFERROR(__xludf.DUMMYFUNCTION("""COMPUTED_VALUE"""),5252.29)</f>
        <v>5252.29</v>
      </c>
      <c r="L1586" s="4">
        <f>IFERROR(__xludf.DUMMYFUNCTION("""COMPUTED_VALUE"""),11.0)</f>
        <v>11</v>
      </c>
      <c r="M1586" s="4">
        <f>IFERROR(__xludf.DUMMYFUNCTION("""COMPUTED_VALUE"""),68.0)</f>
        <v>68</v>
      </c>
      <c r="N1586" s="2" t="str">
        <f>IFERROR(__xludf.DUMMYFUNCTION("""COMPUTED_VALUE"""),"VERDADERO")</f>
        <v>VERDADERO</v>
      </c>
    </row>
    <row r="1587">
      <c r="A1587" s="2">
        <f>IFERROR(__xludf.DUMMYFUNCTION("""COMPUTED_VALUE"""),1586.0)</f>
        <v>1586</v>
      </c>
      <c r="B1587" s="2" t="str">
        <f>IFERROR(__xludf.DUMMYFUNCTION("""COMPUTED_VALUE"""),"Niall Farherty")</f>
        <v>Niall Farherty</v>
      </c>
      <c r="C1587" s="2" t="str">
        <f>IFERROR(__xludf.DUMMYFUNCTION("""COMPUTED_VALUE"""),"nfarhertyga@howstuffworks.com")</f>
        <v>nfarhertyga@howstuffworks.com</v>
      </c>
      <c r="D1587" s="4">
        <f>IFERROR(__xludf.DUMMYFUNCTION("""COMPUTED_VALUE"""),40.0)</f>
        <v>40</v>
      </c>
      <c r="E1587" s="4">
        <f>IFERROR(__xludf.DUMMYFUNCTION("""COMPUTED_VALUE"""),107.0)</f>
        <v>107</v>
      </c>
      <c r="F1587" s="4">
        <f>IFERROR(__xludf.DUMMYFUNCTION("""COMPUTED_VALUE"""),5.0)</f>
        <v>5</v>
      </c>
      <c r="G1587" s="4">
        <f>IFERROR(__xludf.DUMMYFUNCTION("""COMPUTED_VALUE"""),1531.0)</f>
        <v>1531</v>
      </c>
      <c r="H1587" s="5">
        <f>IFERROR(__xludf.DUMMYFUNCTION("""COMPUTED_VALUE"""),2935.0)</f>
        <v>2935</v>
      </c>
      <c r="I1587" s="5">
        <f>IFERROR(__xludf.DUMMYFUNCTION("""COMPUTED_VALUE"""),8673.37)</f>
        <v>8673.37</v>
      </c>
      <c r="J1587" s="5">
        <f>IFERROR(__xludf.DUMMYFUNCTION("""COMPUTED_VALUE"""),700.44)</f>
        <v>700.44</v>
      </c>
      <c r="K1587" s="5">
        <f>IFERROR(__xludf.DUMMYFUNCTION("""COMPUTED_VALUE"""),1705.46)</f>
        <v>1705.46</v>
      </c>
      <c r="L1587" s="4">
        <f>IFERROR(__xludf.DUMMYFUNCTION("""COMPUTED_VALUE"""),5.0)</f>
        <v>5</v>
      </c>
      <c r="M1587" s="4">
        <f>IFERROR(__xludf.DUMMYFUNCTION("""COMPUTED_VALUE"""),51.0)</f>
        <v>51</v>
      </c>
      <c r="N1587" s="2" t="str">
        <f>IFERROR(__xludf.DUMMYFUNCTION("""COMPUTED_VALUE"""),"VERDADERO")</f>
        <v>VERDADERO</v>
      </c>
    </row>
    <row r="1588">
      <c r="A1588" s="2">
        <f>IFERROR(__xludf.DUMMYFUNCTION("""COMPUTED_VALUE"""),1587.0)</f>
        <v>1587</v>
      </c>
      <c r="B1588" s="2" t="str">
        <f>IFERROR(__xludf.DUMMYFUNCTION("""COMPUTED_VALUE"""),"Gare Strelitzer")</f>
        <v>Gare Strelitzer</v>
      </c>
      <c r="C1588" s="2" t="str">
        <f>IFERROR(__xludf.DUMMYFUNCTION("""COMPUTED_VALUE"""),"gstrelitzergb@hatena.ne.jp")</f>
        <v>gstrelitzergb@hatena.ne.jp</v>
      </c>
      <c r="D1588" s="4">
        <f>IFERROR(__xludf.DUMMYFUNCTION("""COMPUTED_VALUE"""),106.0)</f>
        <v>106</v>
      </c>
      <c r="E1588" s="4">
        <f>IFERROR(__xludf.DUMMYFUNCTION("""COMPUTED_VALUE"""),107.0)</f>
        <v>107</v>
      </c>
      <c r="F1588" s="4">
        <f>IFERROR(__xludf.DUMMYFUNCTION("""COMPUTED_VALUE"""),5.0)</f>
        <v>5</v>
      </c>
      <c r="G1588" s="4">
        <f>IFERROR(__xludf.DUMMYFUNCTION("""COMPUTED_VALUE"""),588.0)</f>
        <v>588</v>
      </c>
      <c r="H1588" s="5">
        <f>IFERROR(__xludf.DUMMYFUNCTION("""COMPUTED_VALUE"""),8406.96)</f>
        <v>8406.96</v>
      </c>
      <c r="I1588" s="5">
        <f>IFERROR(__xludf.DUMMYFUNCTION("""COMPUTED_VALUE"""),5523.93)</f>
        <v>5523.93</v>
      </c>
      <c r="J1588" s="5">
        <f>IFERROR(__xludf.DUMMYFUNCTION("""COMPUTED_VALUE"""),8707.98)</f>
        <v>8707.98</v>
      </c>
      <c r="K1588" s="5">
        <f>IFERROR(__xludf.DUMMYFUNCTION("""COMPUTED_VALUE"""),6755.17)</f>
        <v>6755.17</v>
      </c>
      <c r="L1588" s="4">
        <f>IFERROR(__xludf.DUMMYFUNCTION("""COMPUTED_VALUE"""),13.0)</f>
        <v>13</v>
      </c>
      <c r="M1588" s="4">
        <f>IFERROR(__xludf.DUMMYFUNCTION("""COMPUTED_VALUE"""),26.0)</f>
        <v>26</v>
      </c>
      <c r="N1588" s="2" t="str">
        <f>IFERROR(__xludf.DUMMYFUNCTION("""COMPUTED_VALUE"""),"VERDADERO")</f>
        <v>VERDADERO</v>
      </c>
    </row>
    <row r="1589">
      <c r="A1589" s="2">
        <f>IFERROR(__xludf.DUMMYFUNCTION("""COMPUTED_VALUE"""),1588.0)</f>
        <v>1588</v>
      </c>
      <c r="B1589" s="2" t="str">
        <f>IFERROR(__xludf.DUMMYFUNCTION("""COMPUTED_VALUE"""),"Jack Hairs")</f>
        <v>Jack Hairs</v>
      </c>
      <c r="C1589" s="2" t="str">
        <f>IFERROR(__xludf.DUMMYFUNCTION("""COMPUTED_VALUE"""),"jhairsgc@oaic.gov.au")</f>
        <v>jhairsgc@oaic.gov.au</v>
      </c>
      <c r="D1589" s="4">
        <f>IFERROR(__xludf.DUMMYFUNCTION("""COMPUTED_VALUE"""),49.0)</f>
        <v>49</v>
      </c>
      <c r="E1589" s="4">
        <f>IFERROR(__xludf.DUMMYFUNCTION("""COMPUTED_VALUE"""),66.0)</f>
        <v>66</v>
      </c>
      <c r="F1589" s="4">
        <f>IFERROR(__xludf.DUMMYFUNCTION("""COMPUTED_VALUE"""),6.0)</f>
        <v>6</v>
      </c>
      <c r="G1589" s="4">
        <f>IFERROR(__xludf.DUMMYFUNCTION("""COMPUTED_VALUE"""),1501.0)</f>
        <v>1501</v>
      </c>
      <c r="H1589" s="5">
        <f>IFERROR(__xludf.DUMMYFUNCTION("""COMPUTED_VALUE"""),573.17)</f>
        <v>573.17</v>
      </c>
      <c r="I1589" s="5">
        <f>IFERROR(__xludf.DUMMYFUNCTION("""COMPUTED_VALUE"""),6996.7)</f>
        <v>6996.7</v>
      </c>
      <c r="J1589" s="5">
        <f>IFERROR(__xludf.DUMMYFUNCTION("""COMPUTED_VALUE"""),870.13)</f>
        <v>870.13</v>
      </c>
      <c r="K1589" s="5">
        <f>IFERROR(__xludf.DUMMYFUNCTION("""COMPUTED_VALUE"""),2270.5)</f>
        <v>2270.5</v>
      </c>
      <c r="L1589" s="4">
        <f>IFERROR(__xludf.DUMMYFUNCTION("""COMPUTED_VALUE"""),7.0)</f>
        <v>7</v>
      </c>
      <c r="M1589" s="4">
        <f>IFERROR(__xludf.DUMMYFUNCTION("""COMPUTED_VALUE"""),12.0)</f>
        <v>12</v>
      </c>
      <c r="N1589" s="2" t="str">
        <f>IFERROR(__xludf.DUMMYFUNCTION("""COMPUTED_VALUE"""),"VERDADERO")</f>
        <v>VERDADERO</v>
      </c>
    </row>
    <row r="1590">
      <c r="A1590" s="2">
        <f>IFERROR(__xludf.DUMMYFUNCTION("""COMPUTED_VALUE"""),1589.0)</f>
        <v>1589</v>
      </c>
      <c r="B1590" s="2" t="str">
        <f>IFERROR(__xludf.DUMMYFUNCTION("""COMPUTED_VALUE"""),"Clive Pedlar")</f>
        <v>Clive Pedlar</v>
      </c>
      <c r="C1590" s="2" t="str">
        <f>IFERROR(__xludf.DUMMYFUNCTION("""COMPUTED_VALUE"""),"cpedlargd@java.com")</f>
        <v>cpedlargd@java.com</v>
      </c>
      <c r="D1590" s="4">
        <f>IFERROR(__xludf.DUMMYFUNCTION("""COMPUTED_VALUE"""),65.0)</f>
        <v>65</v>
      </c>
      <c r="E1590" s="4">
        <f>IFERROR(__xludf.DUMMYFUNCTION("""COMPUTED_VALUE"""),66.0)</f>
        <v>66</v>
      </c>
      <c r="F1590" s="4">
        <f>IFERROR(__xludf.DUMMYFUNCTION("""COMPUTED_VALUE"""),6.0)</f>
        <v>6</v>
      </c>
      <c r="G1590" s="4">
        <f>IFERROR(__xludf.DUMMYFUNCTION("""COMPUTED_VALUE"""),1469.0)</f>
        <v>1469</v>
      </c>
      <c r="H1590" s="5">
        <f>IFERROR(__xludf.DUMMYFUNCTION("""COMPUTED_VALUE"""),3903.92)</f>
        <v>3903.92</v>
      </c>
      <c r="I1590" s="5">
        <f>IFERROR(__xludf.DUMMYFUNCTION("""COMPUTED_VALUE"""),987.27)</f>
        <v>987.27</v>
      </c>
      <c r="J1590" s="5">
        <f>IFERROR(__xludf.DUMMYFUNCTION("""COMPUTED_VALUE"""),784.5)</f>
        <v>784.5</v>
      </c>
      <c r="K1590" s="5">
        <f>IFERROR(__xludf.DUMMYFUNCTION("""COMPUTED_VALUE"""),4605.02)</f>
        <v>4605.02</v>
      </c>
      <c r="L1590" s="4">
        <f>IFERROR(__xludf.DUMMYFUNCTION("""COMPUTED_VALUE"""),6.0)</f>
        <v>6</v>
      </c>
      <c r="M1590" s="4">
        <f>IFERROR(__xludf.DUMMYFUNCTION("""COMPUTED_VALUE"""),91.0)</f>
        <v>91</v>
      </c>
      <c r="N1590" s="2" t="str">
        <f>IFERROR(__xludf.DUMMYFUNCTION("""COMPUTED_VALUE"""),"FALSO")</f>
        <v>FALSO</v>
      </c>
    </row>
    <row r="1591">
      <c r="A1591" s="2">
        <f>IFERROR(__xludf.DUMMYFUNCTION("""COMPUTED_VALUE"""),1590.0)</f>
        <v>1590</v>
      </c>
      <c r="B1591" s="2" t="str">
        <f>IFERROR(__xludf.DUMMYFUNCTION("""COMPUTED_VALUE"""),"Granger Helliar")</f>
        <v>Granger Helliar</v>
      </c>
      <c r="C1591" s="2" t="str">
        <f>IFERROR(__xludf.DUMMYFUNCTION("""COMPUTED_VALUE"""),"ghelliarge@people.com.cn")</f>
        <v>ghelliarge@people.com.cn</v>
      </c>
      <c r="D1591" s="4">
        <f>IFERROR(__xludf.DUMMYFUNCTION("""COMPUTED_VALUE"""),46.0)</f>
        <v>46</v>
      </c>
      <c r="E1591" s="4">
        <f>IFERROR(__xludf.DUMMYFUNCTION("""COMPUTED_VALUE"""),32.0)</f>
        <v>32</v>
      </c>
      <c r="F1591" s="4">
        <f>IFERROR(__xludf.DUMMYFUNCTION("""COMPUTED_VALUE"""),10.0)</f>
        <v>10</v>
      </c>
      <c r="G1591" s="4">
        <f>IFERROR(__xludf.DUMMYFUNCTION("""COMPUTED_VALUE"""),1302.0)</f>
        <v>1302</v>
      </c>
      <c r="H1591" s="5">
        <f>IFERROR(__xludf.DUMMYFUNCTION("""COMPUTED_VALUE"""),5353.48)</f>
        <v>5353.48</v>
      </c>
      <c r="I1591" s="5">
        <f>IFERROR(__xludf.DUMMYFUNCTION("""COMPUTED_VALUE"""),2343.7)</f>
        <v>2343.7</v>
      </c>
      <c r="J1591" s="5">
        <f>IFERROR(__xludf.DUMMYFUNCTION("""COMPUTED_VALUE"""),2418.2)</f>
        <v>2418.2</v>
      </c>
      <c r="K1591" s="5">
        <f>IFERROR(__xludf.DUMMYFUNCTION("""COMPUTED_VALUE"""),9270.81)</f>
        <v>9270.81</v>
      </c>
      <c r="L1591" s="4">
        <f>IFERROR(__xludf.DUMMYFUNCTION("""COMPUTED_VALUE"""),9.0)</f>
        <v>9</v>
      </c>
      <c r="M1591" s="4">
        <f>IFERROR(__xludf.DUMMYFUNCTION("""COMPUTED_VALUE"""),10.0)</f>
        <v>10</v>
      </c>
      <c r="N1591" s="2" t="str">
        <f>IFERROR(__xludf.DUMMYFUNCTION("""COMPUTED_VALUE"""),"VERDADERO")</f>
        <v>VERDADERO</v>
      </c>
    </row>
    <row r="1592">
      <c r="A1592" s="2">
        <f>IFERROR(__xludf.DUMMYFUNCTION("""COMPUTED_VALUE"""),1591.0)</f>
        <v>1591</v>
      </c>
      <c r="B1592" s="2" t="str">
        <f>IFERROR(__xludf.DUMMYFUNCTION("""COMPUTED_VALUE"""),"Sandy Cornewell")</f>
        <v>Sandy Cornewell</v>
      </c>
      <c r="C1592" s="2" t="str">
        <f>IFERROR(__xludf.DUMMYFUNCTION("""COMPUTED_VALUE"""),"scornewellgf@printfriendly.com")</f>
        <v>scornewellgf@printfriendly.com</v>
      </c>
      <c r="D1592" s="4">
        <f>IFERROR(__xludf.DUMMYFUNCTION("""COMPUTED_VALUE"""),124.0)</f>
        <v>124</v>
      </c>
      <c r="E1592" s="4">
        <f>IFERROR(__xludf.DUMMYFUNCTION("""COMPUTED_VALUE"""),35.0)</f>
        <v>35</v>
      </c>
      <c r="F1592" s="4">
        <f>IFERROR(__xludf.DUMMYFUNCTION("""COMPUTED_VALUE"""),10.0)</f>
        <v>10</v>
      </c>
      <c r="G1592" s="4">
        <f>IFERROR(__xludf.DUMMYFUNCTION("""COMPUTED_VALUE"""),403.0)</f>
        <v>403</v>
      </c>
      <c r="H1592" s="5">
        <f>IFERROR(__xludf.DUMMYFUNCTION("""COMPUTED_VALUE"""),9791.68)</f>
        <v>9791.68</v>
      </c>
      <c r="I1592" s="5">
        <f>IFERROR(__xludf.DUMMYFUNCTION("""COMPUTED_VALUE"""),6235.34)</f>
        <v>6235.34</v>
      </c>
      <c r="J1592" s="5">
        <f>IFERROR(__xludf.DUMMYFUNCTION("""COMPUTED_VALUE"""),8573.07)</f>
        <v>8573.07</v>
      </c>
      <c r="K1592" s="5">
        <f>IFERROR(__xludf.DUMMYFUNCTION("""COMPUTED_VALUE"""),9602.0)</f>
        <v>9602</v>
      </c>
      <c r="L1592" s="4">
        <f>IFERROR(__xludf.DUMMYFUNCTION("""COMPUTED_VALUE"""),19.0)</f>
        <v>19</v>
      </c>
      <c r="M1592" s="4">
        <f>IFERROR(__xludf.DUMMYFUNCTION("""COMPUTED_VALUE"""),74.0)</f>
        <v>74</v>
      </c>
      <c r="N1592" s="2" t="str">
        <f>IFERROR(__xludf.DUMMYFUNCTION("""COMPUTED_VALUE"""),"FALSO")</f>
        <v>FALSO</v>
      </c>
    </row>
    <row r="1593">
      <c r="A1593" s="2">
        <f>IFERROR(__xludf.DUMMYFUNCTION("""COMPUTED_VALUE"""),1592.0)</f>
        <v>1592</v>
      </c>
      <c r="B1593" s="2" t="str">
        <f>IFERROR(__xludf.DUMMYFUNCTION("""COMPUTED_VALUE"""),"Teddie Camplejohn")</f>
        <v>Teddie Camplejohn</v>
      </c>
      <c r="C1593" s="2" t="str">
        <f>IFERROR(__xludf.DUMMYFUNCTION("""COMPUTED_VALUE"""),"tcamplejohngg@last.fm")</f>
        <v>tcamplejohngg@last.fm</v>
      </c>
      <c r="D1593" s="4">
        <f>IFERROR(__xludf.DUMMYFUNCTION("""COMPUTED_VALUE"""),139.0)</f>
        <v>139</v>
      </c>
      <c r="E1593" s="4">
        <f>IFERROR(__xludf.DUMMYFUNCTION("""COMPUTED_VALUE"""),99.0)</f>
        <v>99</v>
      </c>
      <c r="F1593" s="4">
        <f>IFERROR(__xludf.DUMMYFUNCTION("""COMPUTED_VALUE"""),1.0)</f>
        <v>1</v>
      </c>
      <c r="G1593" s="4">
        <f>IFERROR(__xludf.DUMMYFUNCTION("""COMPUTED_VALUE"""),1023.0)</f>
        <v>1023</v>
      </c>
      <c r="H1593" s="5">
        <f>IFERROR(__xludf.DUMMYFUNCTION("""COMPUTED_VALUE"""),569.26)</f>
        <v>569.26</v>
      </c>
      <c r="I1593" s="5">
        <f>IFERROR(__xludf.DUMMYFUNCTION("""COMPUTED_VALUE"""),1254.02)</f>
        <v>1254.02</v>
      </c>
      <c r="J1593" s="5">
        <f>IFERROR(__xludf.DUMMYFUNCTION("""COMPUTED_VALUE"""),5044.6)</f>
        <v>5044.6</v>
      </c>
      <c r="K1593" s="5">
        <f>IFERROR(__xludf.DUMMYFUNCTION("""COMPUTED_VALUE"""),717.72)</f>
        <v>717.72</v>
      </c>
      <c r="L1593" s="4">
        <f>IFERROR(__xludf.DUMMYFUNCTION("""COMPUTED_VALUE"""),16.0)</f>
        <v>16</v>
      </c>
      <c r="M1593" s="4">
        <f>IFERROR(__xludf.DUMMYFUNCTION("""COMPUTED_VALUE"""),11.0)</f>
        <v>11</v>
      </c>
      <c r="N1593" s="2" t="str">
        <f>IFERROR(__xludf.DUMMYFUNCTION("""COMPUTED_VALUE"""),"FALSO")</f>
        <v>FALSO</v>
      </c>
    </row>
    <row r="1594">
      <c r="A1594" s="2">
        <f>IFERROR(__xludf.DUMMYFUNCTION("""COMPUTED_VALUE"""),1593.0)</f>
        <v>1593</v>
      </c>
      <c r="B1594" s="2" t="str">
        <f>IFERROR(__xludf.DUMMYFUNCTION("""COMPUTED_VALUE"""),"Drew Candlin")</f>
        <v>Drew Candlin</v>
      </c>
      <c r="C1594" s="2" t="str">
        <f>IFERROR(__xludf.DUMMYFUNCTION("""COMPUTED_VALUE"""),"dcandlingh@scribd.com")</f>
        <v>dcandlingh@scribd.com</v>
      </c>
      <c r="D1594" s="4">
        <f>IFERROR(__xludf.DUMMYFUNCTION("""COMPUTED_VALUE"""),43.0)</f>
        <v>43</v>
      </c>
      <c r="E1594" s="4">
        <f>IFERROR(__xludf.DUMMYFUNCTION("""COMPUTED_VALUE"""),78.0)</f>
        <v>78</v>
      </c>
      <c r="F1594" s="4">
        <f>IFERROR(__xludf.DUMMYFUNCTION("""COMPUTED_VALUE"""),5.0)</f>
        <v>5</v>
      </c>
      <c r="G1594" s="4">
        <f>IFERROR(__xludf.DUMMYFUNCTION("""COMPUTED_VALUE"""),550.0)</f>
        <v>550</v>
      </c>
      <c r="H1594" s="5">
        <f>IFERROR(__xludf.DUMMYFUNCTION("""COMPUTED_VALUE"""),7733.07)</f>
        <v>7733.07</v>
      </c>
      <c r="I1594" s="5">
        <f>IFERROR(__xludf.DUMMYFUNCTION("""COMPUTED_VALUE"""),5036.57)</f>
        <v>5036.57</v>
      </c>
      <c r="J1594" s="5">
        <f>IFERROR(__xludf.DUMMYFUNCTION("""COMPUTED_VALUE"""),4409.53)</f>
        <v>4409.53</v>
      </c>
      <c r="K1594" s="5">
        <f>IFERROR(__xludf.DUMMYFUNCTION("""COMPUTED_VALUE"""),6292.95)</f>
        <v>6292.95</v>
      </c>
      <c r="L1594" s="4">
        <f>IFERROR(__xludf.DUMMYFUNCTION("""COMPUTED_VALUE"""),16.0)</f>
        <v>16</v>
      </c>
      <c r="M1594" s="4">
        <f>IFERROR(__xludf.DUMMYFUNCTION("""COMPUTED_VALUE"""),79.0)</f>
        <v>79</v>
      </c>
      <c r="N1594" s="2" t="str">
        <f>IFERROR(__xludf.DUMMYFUNCTION("""COMPUTED_VALUE"""),"FALSO")</f>
        <v>FALSO</v>
      </c>
    </row>
    <row r="1595">
      <c r="A1595" s="2">
        <f>IFERROR(__xludf.DUMMYFUNCTION("""COMPUTED_VALUE"""),1594.0)</f>
        <v>1594</v>
      </c>
      <c r="B1595" s="2" t="str">
        <f>IFERROR(__xludf.DUMMYFUNCTION("""COMPUTED_VALUE"""),"Cori Adamou")</f>
        <v>Cori Adamou</v>
      </c>
      <c r="C1595" s="2" t="str">
        <f>IFERROR(__xludf.DUMMYFUNCTION("""COMPUTED_VALUE"""),"cadamougi@gnu.org")</f>
        <v>cadamougi@gnu.org</v>
      </c>
      <c r="D1595" s="4">
        <f>IFERROR(__xludf.DUMMYFUNCTION("""COMPUTED_VALUE"""),121.0)</f>
        <v>121</v>
      </c>
      <c r="E1595" s="4">
        <f>IFERROR(__xludf.DUMMYFUNCTION("""COMPUTED_VALUE"""),26.0)</f>
        <v>26</v>
      </c>
      <c r="F1595" s="4">
        <f>IFERROR(__xludf.DUMMYFUNCTION("""COMPUTED_VALUE"""),11.0)</f>
        <v>11</v>
      </c>
      <c r="G1595" s="4">
        <f>IFERROR(__xludf.DUMMYFUNCTION("""COMPUTED_VALUE"""),244.0)</f>
        <v>244</v>
      </c>
      <c r="H1595" s="5">
        <f>IFERROR(__xludf.DUMMYFUNCTION("""COMPUTED_VALUE"""),6111.7)</f>
        <v>6111.7</v>
      </c>
      <c r="I1595" s="5">
        <f>IFERROR(__xludf.DUMMYFUNCTION("""COMPUTED_VALUE"""),7636.89)</f>
        <v>7636.89</v>
      </c>
      <c r="J1595" s="5">
        <f>IFERROR(__xludf.DUMMYFUNCTION("""COMPUTED_VALUE"""),2415.76)</f>
        <v>2415.76</v>
      </c>
      <c r="K1595" s="5">
        <f>IFERROR(__xludf.DUMMYFUNCTION("""COMPUTED_VALUE"""),7521.84)</f>
        <v>7521.84</v>
      </c>
      <c r="L1595" s="4">
        <f>IFERROR(__xludf.DUMMYFUNCTION("""COMPUTED_VALUE"""),20.0)</f>
        <v>20</v>
      </c>
      <c r="M1595" s="4">
        <f>IFERROR(__xludf.DUMMYFUNCTION("""COMPUTED_VALUE"""),28.0)</f>
        <v>28</v>
      </c>
      <c r="N1595" s="2" t="str">
        <f>IFERROR(__xludf.DUMMYFUNCTION("""COMPUTED_VALUE"""),"FALSO")</f>
        <v>FALSO</v>
      </c>
    </row>
    <row r="1596">
      <c r="A1596" s="2">
        <f>IFERROR(__xludf.DUMMYFUNCTION("""COMPUTED_VALUE"""),1595.0)</f>
        <v>1595</v>
      </c>
      <c r="B1596" s="2" t="str">
        <f>IFERROR(__xludf.DUMMYFUNCTION("""COMPUTED_VALUE"""),"Alfy Whittleton")</f>
        <v>Alfy Whittleton</v>
      </c>
      <c r="C1596" s="2" t="str">
        <f>IFERROR(__xludf.DUMMYFUNCTION("""COMPUTED_VALUE"""),"awhittletongj@godaddy.com")</f>
        <v>awhittletongj@godaddy.com</v>
      </c>
      <c r="D1596" s="4">
        <f>IFERROR(__xludf.DUMMYFUNCTION("""COMPUTED_VALUE"""),29.0)</f>
        <v>29</v>
      </c>
      <c r="E1596" s="4">
        <f>IFERROR(__xludf.DUMMYFUNCTION("""COMPUTED_VALUE"""),21.0)</f>
        <v>21</v>
      </c>
      <c r="F1596" s="4">
        <f>IFERROR(__xludf.DUMMYFUNCTION("""COMPUTED_VALUE"""),12.0)</f>
        <v>12</v>
      </c>
      <c r="G1596" s="4">
        <f>IFERROR(__xludf.DUMMYFUNCTION("""COMPUTED_VALUE"""),1194.0)</f>
        <v>1194</v>
      </c>
      <c r="H1596" s="5">
        <f>IFERROR(__xludf.DUMMYFUNCTION("""COMPUTED_VALUE"""),1454.16)</f>
        <v>1454.16</v>
      </c>
      <c r="I1596" s="5">
        <f>IFERROR(__xludf.DUMMYFUNCTION("""COMPUTED_VALUE"""),4318.64)</f>
        <v>4318.64</v>
      </c>
      <c r="J1596" s="5">
        <f>IFERROR(__xludf.DUMMYFUNCTION("""COMPUTED_VALUE"""),1190.15)</f>
        <v>1190.15</v>
      </c>
      <c r="K1596" s="5">
        <f>IFERROR(__xludf.DUMMYFUNCTION("""COMPUTED_VALUE"""),2165.82)</f>
        <v>2165.82</v>
      </c>
      <c r="L1596" s="4">
        <f>IFERROR(__xludf.DUMMYFUNCTION("""COMPUTED_VALUE"""),2.0)</f>
        <v>2</v>
      </c>
      <c r="M1596" s="4">
        <f>IFERROR(__xludf.DUMMYFUNCTION("""COMPUTED_VALUE"""),64.0)</f>
        <v>64</v>
      </c>
      <c r="N1596" s="2" t="str">
        <f>IFERROR(__xludf.DUMMYFUNCTION("""COMPUTED_VALUE"""),"FALSO")</f>
        <v>FALSO</v>
      </c>
    </row>
    <row r="1597">
      <c r="A1597" s="2">
        <f>IFERROR(__xludf.DUMMYFUNCTION("""COMPUTED_VALUE"""),1596.0)</f>
        <v>1596</v>
      </c>
      <c r="B1597" s="2" t="str">
        <f>IFERROR(__xludf.DUMMYFUNCTION("""COMPUTED_VALUE"""),"Rubetta Brook")</f>
        <v>Rubetta Brook</v>
      </c>
      <c r="C1597" s="2" t="str">
        <f>IFERROR(__xludf.DUMMYFUNCTION("""COMPUTED_VALUE"""),"rbrookgk@networksolutions.com")</f>
        <v>rbrookgk@networksolutions.com</v>
      </c>
      <c r="D1597" s="4">
        <f>IFERROR(__xludf.DUMMYFUNCTION("""COMPUTED_VALUE"""),65.0)</f>
        <v>65</v>
      </c>
      <c r="E1597" s="4">
        <f>IFERROR(__xludf.DUMMYFUNCTION("""COMPUTED_VALUE"""),101.0)</f>
        <v>101</v>
      </c>
      <c r="F1597" s="4">
        <f>IFERROR(__xludf.DUMMYFUNCTION("""COMPUTED_VALUE"""),11.0)</f>
        <v>11</v>
      </c>
      <c r="G1597" s="4">
        <f>IFERROR(__xludf.DUMMYFUNCTION("""COMPUTED_VALUE"""),450.0)</f>
        <v>450</v>
      </c>
      <c r="H1597" s="5">
        <f>IFERROR(__xludf.DUMMYFUNCTION("""COMPUTED_VALUE"""),8178.99)</f>
        <v>8178.99</v>
      </c>
      <c r="I1597" s="5">
        <f>IFERROR(__xludf.DUMMYFUNCTION("""COMPUTED_VALUE"""),7735.84)</f>
        <v>7735.84</v>
      </c>
      <c r="J1597" s="5">
        <f>IFERROR(__xludf.DUMMYFUNCTION("""COMPUTED_VALUE"""),7474.25)</f>
        <v>7474.25</v>
      </c>
      <c r="K1597" s="5">
        <f>IFERROR(__xludf.DUMMYFUNCTION("""COMPUTED_VALUE"""),6315.71)</f>
        <v>6315.71</v>
      </c>
      <c r="L1597" s="4">
        <f>IFERROR(__xludf.DUMMYFUNCTION("""COMPUTED_VALUE"""),3.0)</f>
        <v>3</v>
      </c>
      <c r="M1597" s="4">
        <f>IFERROR(__xludf.DUMMYFUNCTION("""COMPUTED_VALUE"""),67.0)</f>
        <v>67</v>
      </c>
      <c r="N1597" s="2" t="str">
        <f>IFERROR(__xludf.DUMMYFUNCTION("""COMPUTED_VALUE"""),"FALSO")</f>
        <v>FALSO</v>
      </c>
    </row>
    <row r="1598">
      <c r="A1598" s="2">
        <f>IFERROR(__xludf.DUMMYFUNCTION("""COMPUTED_VALUE"""),1597.0)</f>
        <v>1597</v>
      </c>
      <c r="B1598" s="2" t="str">
        <f>IFERROR(__xludf.DUMMYFUNCTION("""COMPUTED_VALUE"""),"Elly McCloch")</f>
        <v>Elly McCloch</v>
      </c>
      <c r="C1598" s="2" t="str">
        <f>IFERROR(__xludf.DUMMYFUNCTION("""COMPUTED_VALUE"""),"emcclochgl@printfriendly.com")</f>
        <v>emcclochgl@printfriendly.com</v>
      </c>
      <c r="D1598" s="4">
        <f>IFERROR(__xludf.DUMMYFUNCTION("""COMPUTED_VALUE"""),65.0)</f>
        <v>65</v>
      </c>
      <c r="E1598" s="4">
        <f>IFERROR(__xludf.DUMMYFUNCTION("""COMPUTED_VALUE"""),73.0)</f>
        <v>73</v>
      </c>
      <c r="F1598" s="4">
        <f>IFERROR(__xludf.DUMMYFUNCTION("""COMPUTED_VALUE"""),3.0)</f>
        <v>3</v>
      </c>
      <c r="G1598" s="4">
        <f>IFERROR(__xludf.DUMMYFUNCTION("""COMPUTED_VALUE"""),1543.0)</f>
        <v>1543</v>
      </c>
      <c r="H1598" s="5">
        <f>IFERROR(__xludf.DUMMYFUNCTION("""COMPUTED_VALUE"""),5972.49)</f>
        <v>5972.49</v>
      </c>
      <c r="I1598" s="5">
        <f>IFERROR(__xludf.DUMMYFUNCTION("""COMPUTED_VALUE"""),7189.78)</f>
        <v>7189.78</v>
      </c>
      <c r="J1598" s="5">
        <f>IFERROR(__xludf.DUMMYFUNCTION("""COMPUTED_VALUE"""),8202.06)</f>
        <v>8202.06</v>
      </c>
      <c r="K1598" s="5">
        <f>IFERROR(__xludf.DUMMYFUNCTION("""COMPUTED_VALUE"""),4701.46)</f>
        <v>4701.46</v>
      </c>
      <c r="L1598" s="4">
        <f>IFERROR(__xludf.DUMMYFUNCTION("""COMPUTED_VALUE"""),11.0)</f>
        <v>11</v>
      </c>
      <c r="M1598" s="4">
        <f>IFERROR(__xludf.DUMMYFUNCTION("""COMPUTED_VALUE"""),24.0)</f>
        <v>24</v>
      </c>
      <c r="N1598" s="2" t="str">
        <f>IFERROR(__xludf.DUMMYFUNCTION("""COMPUTED_VALUE"""),"VERDADERO")</f>
        <v>VERDADERO</v>
      </c>
    </row>
    <row r="1599">
      <c r="A1599" s="2">
        <f>IFERROR(__xludf.DUMMYFUNCTION("""COMPUTED_VALUE"""),1598.0)</f>
        <v>1598</v>
      </c>
      <c r="B1599" s="2" t="str">
        <f>IFERROR(__xludf.DUMMYFUNCTION("""COMPUTED_VALUE"""),"Sileas Kinsell")</f>
        <v>Sileas Kinsell</v>
      </c>
      <c r="C1599" s="2" t="str">
        <f>IFERROR(__xludf.DUMMYFUNCTION("""COMPUTED_VALUE"""),"skinsellgm@acquirethisname.com")</f>
        <v>skinsellgm@acquirethisname.com</v>
      </c>
      <c r="D1599" s="4">
        <f>IFERROR(__xludf.DUMMYFUNCTION("""COMPUTED_VALUE"""),137.0)</f>
        <v>137</v>
      </c>
      <c r="E1599" s="4">
        <f>IFERROR(__xludf.DUMMYFUNCTION("""COMPUTED_VALUE"""),81.0)</f>
        <v>81</v>
      </c>
      <c r="F1599" s="4">
        <f>IFERROR(__xludf.DUMMYFUNCTION("""COMPUTED_VALUE"""),2.0)</f>
        <v>2</v>
      </c>
      <c r="G1599" s="4">
        <f>IFERROR(__xludf.DUMMYFUNCTION("""COMPUTED_VALUE"""),355.0)</f>
        <v>355</v>
      </c>
      <c r="H1599" s="5">
        <f>IFERROR(__xludf.DUMMYFUNCTION("""COMPUTED_VALUE"""),5065.25)</f>
        <v>5065.25</v>
      </c>
      <c r="I1599" s="5">
        <f>IFERROR(__xludf.DUMMYFUNCTION("""COMPUTED_VALUE"""),3315.78)</f>
        <v>3315.78</v>
      </c>
      <c r="J1599" s="5">
        <f>IFERROR(__xludf.DUMMYFUNCTION("""COMPUTED_VALUE"""),7630.96)</f>
        <v>7630.96</v>
      </c>
      <c r="K1599" s="5">
        <f>IFERROR(__xludf.DUMMYFUNCTION("""COMPUTED_VALUE"""),4719.91)</f>
        <v>4719.91</v>
      </c>
      <c r="L1599" s="4">
        <f>IFERROR(__xludf.DUMMYFUNCTION("""COMPUTED_VALUE"""),18.0)</f>
        <v>18</v>
      </c>
      <c r="M1599" s="4">
        <f>IFERROR(__xludf.DUMMYFUNCTION("""COMPUTED_VALUE"""),50.0)</f>
        <v>50</v>
      </c>
      <c r="N1599" s="2" t="str">
        <f>IFERROR(__xludf.DUMMYFUNCTION("""COMPUTED_VALUE"""),"VERDADERO")</f>
        <v>VERDADERO</v>
      </c>
    </row>
    <row r="1600">
      <c r="A1600" s="2">
        <f>IFERROR(__xludf.DUMMYFUNCTION("""COMPUTED_VALUE"""),1599.0)</f>
        <v>1599</v>
      </c>
      <c r="B1600" s="2" t="str">
        <f>IFERROR(__xludf.DUMMYFUNCTION("""COMPUTED_VALUE"""),"Abdel McAline")</f>
        <v>Abdel McAline</v>
      </c>
      <c r="C1600" s="2" t="str">
        <f>IFERROR(__xludf.DUMMYFUNCTION("""COMPUTED_VALUE"""),"amcalinegn@histats.com")</f>
        <v>amcalinegn@histats.com</v>
      </c>
      <c r="D1600" s="4">
        <f>IFERROR(__xludf.DUMMYFUNCTION("""COMPUTED_VALUE"""),29.0)</f>
        <v>29</v>
      </c>
      <c r="E1600" s="4">
        <f>IFERROR(__xludf.DUMMYFUNCTION("""COMPUTED_VALUE"""),81.0)</f>
        <v>81</v>
      </c>
      <c r="F1600" s="4">
        <f>IFERROR(__xludf.DUMMYFUNCTION("""COMPUTED_VALUE"""),2.0)</f>
        <v>2</v>
      </c>
      <c r="G1600" s="4">
        <f>IFERROR(__xludf.DUMMYFUNCTION("""COMPUTED_VALUE"""),585.0)</f>
        <v>585</v>
      </c>
      <c r="H1600" s="5">
        <f>IFERROR(__xludf.DUMMYFUNCTION("""COMPUTED_VALUE"""),3727.87)</f>
        <v>3727.87</v>
      </c>
      <c r="I1600" s="5">
        <f>IFERROR(__xludf.DUMMYFUNCTION("""COMPUTED_VALUE"""),9137.53)</f>
        <v>9137.53</v>
      </c>
      <c r="J1600" s="5">
        <f>IFERROR(__xludf.DUMMYFUNCTION("""COMPUTED_VALUE"""),8178.18)</f>
        <v>8178.18</v>
      </c>
      <c r="K1600" s="5">
        <f>IFERROR(__xludf.DUMMYFUNCTION("""COMPUTED_VALUE"""),6764.56)</f>
        <v>6764.56</v>
      </c>
      <c r="L1600" s="4">
        <f>IFERROR(__xludf.DUMMYFUNCTION("""COMPUTED_VALUE"""),10.0)</f>
        <v>10</v>
      </c>
      <c r="M1600" s="4">
        <f>IFERROR(__xludf.DUMMYFUNCTION("""COMPUTED_VALUE"""),71.0)</f>
        <v>71</v>
      </c>
      <c r="N1600" s="2" t="str">
        <f>IFERROR(__xludf.DUMMYFUNCTION("""COMPUTED_VALUE"""),"VERDADERO")</f>
        <v>VERDADERO</v>
      </c>
    </row>
    <row r="1601">
      <c r="A1601" s="2">
        <f>IFERROR(__xludf.DUMMYFUNCTION("""COMPUTED_VALUE"""),1600.0)</f>
        <v>1600</v>
      </c>
      <c r="B1601" s="2" t="str">
        <f>IFERROR(__xludf.DUMMYFUNCTION("""COMPUTED_VALUE"""),"Eward Orring")</f>
        <v>Eward Orring</v>
      </c>
      <c r="C1601" s="2" t="str">
        <f>IFERROR(__xludf.DUMMYFUNCTION("""COMPUTED_VALUE"""),"eorringgo@sciencedirect.com")</f>
        <v>eorringgo@sciencedirect.com</v>
      </c>
      <c r="D1601" s="4">
        <f>IFERROR(__xludf.DUMMYFUNCTION("""COMPUTED_VALUE"""),71.0)</f>
        <v>71</v>
      </c>
      <c r="E1601" s="4">
        <f>IFERROR(__xludf.DUMMYFUNCTION("""COMPUTED_VALUE"""),81.0)</f>
        <v>81</v>
      </c>
      <c r="F1601" s="4">
        <f>IFERROR(__xludf.DUMMYFUNCTION("""COMPUTED_VALUE"""),2.0)</f>
        <v>2</v>
      </c>
      <c r="G1601" s="4">
        <f>IFERROR(__xludf.DUMMYFUNCTION("""COMPUTED_VALUE"""),1163.0)</f>
        <v>1163</v>
      </c>
      <c r="H1601" s="5">
        <f>IFERROR(__xludf.DUMMYFUNCTION("""COMPUTED_VALUE"""),9069.22)</f>
        <v>9069.22</v>
      </c>
      <c r="I1601" s="5">
        <f>IFERROR(__xludf.DUMMYFUNCTION("""COMPUTED_VALUE"""),740.13)</f>
        <v>740.13</v>
      </c>
      <c r="J1601" s="5">
        <f>IFERROR(__xludf.DUMMYFUNCTION("""COMPUTED_VALUE"""),5592.29)</f>
        <v>5592.29</v>
      </c>
      <c r="K1601" s="5">
        <f>IFERROR(__xludf.DUMMYFUNCTION("""COMPUTED_VALUE"""),3972.16)</f>
        <v>3972.16</v>
      </c>
      <c r="L1601" s="4">
        <f>IFERROR(__xludf.DUMMYFUNCTION("""COMPUTED_VALUE"""),14.0)</f>
        <v>14</v>
      </c>
      <c r="M1601" s="4">
        <f>IFERROR(__xludf.DUMMYFUNCTION("""COMPUTED_VALUE"""),27.0)</f>
        <v>27</v>
      </c>
      <c r="N1601" s="2" t="str">
        <f>IFERROR(__xludf.DUMMYFUNCTION("""COMPUTED_VALUE"""),"FALSO")</f>
        <v>FALSO</v>
      </c>
    </row>
    <row r="1602">
      <c r="A1602" s="2">
        <f>IFERROR(__xludf.DUMMYFUNCTION("""COMPUTED_VALUE"""),1601.0)</f>
        <v>1601</v>
      </c>
      <c r="B1602" s="2" t="str">
        <f>IFERROR(__xludf.DUMMYFUNCTION("""COMPUTED_VALUE"""),"Mariel Matushevitz")</f>
        <v>Mariel Matushevitz</v>
      </c>
      <c r="C1602" s="2" t="str">
        <f>IFERROR(__xludf.DUMMYFUNCTION("""COMPUTED_VALUE"""),"mmatushevitzgp@purevolume.com")</f>
        <v>mmatushevitzgp@purevolume.com</v>
      </c>
      <c r="D1602" s="4">
        <f>IFERROR(__xludf.DUMMYFUNCTION("""COMPUTED_VALUE"""),122.0)</f>
        <v>122</v>
      </c>
      <c r="E1602" s="4">
        <f>IFERROR(__xludf.DUMMYFUNCTION("""COMPUTED_VALUE"""),102.0)</f>
        <v>102</v>
      </c>
      <c r="F1602" s="4">
        <f>IFERROR(__xludf.DUMMYFUNCTION("""COMPUTED_VALUE"""),4.0)</f>
        <v>4</v>
      </c>
      <c r="G1602" s="4">
        <f>IFERROR(__xludf.DUMMYFUNCTION("""COMPUTED_VALUE"""),162.0)</f>
        <v>162</v>
      </c>
      <c r="H1602" s="5">
        <f>IFERROR(__xludf.DUMMYFUNCTION("""COMPUTED_VALUE"""),6762.36)</f>
        <v>6762.36</v>
      </c>
      <c r="I1602" s="5">
        <f>IFERROR(__xludf.DUMMYFUNCTION("""COMPUTED_VALUE"""),5902.01)</f>
        <v>5902.01</v>
      </c>
      <c r="J1602" s="5">
        <f>IFERROR(__xludf.DUMMYFUNCTION("""COMPUTED_VALUE"""),7330.85)</f>
        <v>7330.85</v>
      </c>
      <c r="K1602" s="5">
        <f>IFERROR(__xludf.DUMMYFUNCTION("""COMPUTED_VALUE"""),8213.46)</f>
        <v>8213.46</v>
      </c>
      <c r="L1602" s="4">
        <f>IFERROR(__xludf.DUMMYFUNCTION("""COMPUTED_VALUE"""),7.0)</f>
        <v>7</v>
      </c>
      <c r="M1602" s="4">
        <f>IFERROR(__xludf.DUMMYFUNCTION("""COMPUTED_VALUE"""),79.0)</f>
        <v>79</v>
      </c>
      <c r="N1602" s="2" t="str">
        <f>IFERROR(__xludf.DUMMYFUNCTION("""COMPUTED_VALUE"""),"FALSO")</f>
        <v>FALSO</v>
      </c>
    </row>
    <row r="1603">
      <c r="A1603" s="2">
        <f>IFERROR(__xludf.DUMMYFUNCTION("""COMPUTED_VALUE"""),1602.0)</f>
        <v>1602</v>
      </c>
      <c r="B1603" s="2" t="str">
        <f>IFERROR(__xludf.DUMMYFUNCTION("""COMPUTED_VALUE"""),"Ingelbert Holson")</f>
        <v>Ingelbert Holson</v>
      </c>
      <c r="C1603" s="2" t="str">
        <f>IFERROR(__xludf.DUMMYFUNCTION("""COMPUTED_VALUE"""),"iholsongq@tuttocitta.it")</f>
        <v>iholsongq@tuttocitta.it</v>
      </c>
      <c r="D1603" s="4">
        <f>IFERROR(__xludf.DUMMYFUNCTION("""COMPUTED_VALUE"""),120.0)</f>
        <v>120</v>
      </c>
      <c r="E1603" s="4">
        <f>IFERROR(__xludf.DUMMYFUNCTION("""COMPUTED_VALUE"""),112.0)</f>
        <v>112</v>
      </c>
      <c r="F1603" s="4">
        <f>IFERROR(__xludf.DUMMYFUNCTION("""COMPUTED_VALUE"""),11.0)</f>
        <v>11</v>
      </c>
      <c r="G1603" s="4">
        <f>IFERROR(__xludf.DUMMYFUNCTION("""COMPUTED_VALUE"""),989.0)</f>
        <v>989</v>
      </c>
      <c r="H1603" s="5">
        <f>IFERROR(__xludf.DUMMYFUNCTION("""COMPUTED_VALUE"""),3002.45)</f>
        <v>3002.45</v>
      </c>
      <c r="I1603" s="5">
        <f>IFERROR(__xludf.DUMMYFUNCTION("""COMPUTED_VALUE"""),289.86)</f>
        <v>289.86</v>
      </c>
      <c r="J1603" s="5">
        <f>IFERROR(__xludf.DUMMYFUNCTION("""COMPUTED_VALUE"""),2170.52)</f>
        <v>2170.52</v>
      </c>
      <c r="K1603" s="5">
        <f>IFERROR(__xludf.DUMMYFUNCTION("""COMPUTED_VALUE"""),4560.78)</f>
        <v>4560.78</v>
      </c>
      <c r="L1603" s="4">
        <f>IFERROR(__xludf.DUMMYFUNCTION("""COMPUTED_VALUE"""),9.0)</f>
        <v>9</v>
      </c>
      <c r="M1603" s="4">
        <f>IFERROR(__xludf.DUMMYFUNCTION("""COMPUTED_VALUE"""),94.0)</f>
        <v>94</v>
      </c>
      <c r="N1603" s="2" t="str">
        <f>IFERROR(__xludf.DUMMYFUNCTION("""COMPUTED_VALUE"""),"VERDADERO")</f>
        <v>VERDADERO</v>
      </c>
    </row>
    <row r="1604">
      <c r="A1604" s="2">
        <f>IFERROR(__xludf.DUMMYFUNCTION("""COMPUTED_VALUE"""),1603.0)</f>
        <v>1603</v>
      </c>
      <c r="B1604" s="2" t="str">
        <f>IFERROR(__xludf.DUMMYFUNCTION("""COMPUTED_VALUE"""),"Jaquith Linley")</f>
        <v>Jaquith Linley</v>
      </c>
      <c r="C1604" s="2" t="str">
        <f>IFERROR(__xludf.DUMMYFUNCTION("""COMPUTED_VALUE"""),"jlinleygr@whitehouse.gov")</f>
        <v>jlinleygr@whitehouse.gov</v>
      </c>
      <c r="D1604" s="4">
        <f>IFERROR(__xludf.DUMMYFUNCTION("""COMPUTED_VALUE"""),49.0)</f>
        <v>49</v>
      </c>
      <c r="E1604" s="4">
        <f>IFERROR(__xludf.DUMMYFUNCTION("""COMPUTED_VALUE"""),81.0)</f>
        <v>81</v>
      </c>
      <c r="F1604" s="4">
        <f>IFERROR(__xludf.DUMMYFUNCTION("""COMPUTED_VALUE"""),2.0)</f>
        <v>2</v>
      </c>
      <c r="G1604" s="4">
        <f>IFERROR(__xludf.DUMMYFUNCTION("""COMPUTED_VALUE"""),484.0)</f>
        <v>484</v>
      </c>
      <c r="H1604" s="5">
        <f>IFERROR(__xludf.DUMMYFUNCTION("""COMPUTED_VALUE"""),1916.19)</f>
        <v>1916.19</v>
      </c>
      <c r="I1604" s="5">
        <f>IFERROR(__xludf.DUMMYFUNCTION("""COMPUTED_VALUE"""),560.81)</f>
        <v>560.81</v>
      </c>
      <c r="J1604" s="5">
        <f>IFERROR(__xludf.DUMMYFUNCTION("""COMPUTED_VALUE"""),5201.97)</f>
        <v>5201.97</v>
      </c>
      <c r="K1604" s="5">
        <f>IFERROR(__xludf.DUMMYFUNCTION("""COMPUTED_VALUE"""),4457.98)</f>
        <v>4457.98</v>
      </c>
      <c r="L1604" s="4">
        <f>IFERROR(__xludf.DUMMYFUNCTION("""COMPUTED_VALUE"""),6.0)</f>
        <v>6</v>
      </c>
      <c r="M1604" s="4">
        <f>IFERROR(__xludf.DUMMYFUNCTION("""COMPUTED_VALUE"""),68.0)</f>
        <v>68</v>
      </c>
      <c r="N1604" s="2" t="str">
        <f>IFERROR(__xludf.DUMMYFUNCTION("""COMPUTED_VALUE"""),"VERDADERO")</f>
        <v>VERDADERO</v>
      </c>
    </row>
    <row r="1605">
      <c r="A1605" s="2">
        <f>IFERROR(__xludf.DUMMYFUNCTION("""COMPUTED_VALUE"""),1604.0)</f>
        <v>1604</v>
      </c>
      <c r="B1605" s="2" t="str">
        <f>IFERROR(__xludf.DUMMYFUNCTION("""COMPUTED_VALUE"""),"Cherish Chatain")</f>
        <v>Cherish Chatain</v>
      </c>
      <c r="C1605" s="2" t="str">
        <f>IFERROR(__xludf.DUMMYFUNCTION("""COMPUTED_VALUE"""),"cchataings@a8.net")</f>
        <v>cchataings@a8.net</v>
      </c>
      <c r="D1605" s="4">
        <f>IFERROR(__xludf.DUMMYFUNCTION("""COMPUTED_VALUE"""),65.0)</f>
        <v>65</v>
      </c>
      <c r="E1605" s="4">
        <f>IFERROR(__xludf.DUMMYFUNCTION("""COMPUTED_VALUE"""),37.0)</f>
        <v>37</v>
      </c>
      <c r="F1605" s="4">
        <f>IFERROR(__xludf.DUMMYFUNCTION("""COMPUTED_VALUE"""),5.0)</f>
        <v>5</v>
      </c>
      <c r="G1605" s="4">
        <f>IFERROR(__xludf.DUMMYFUNCTION("""COMPUTED_VALUE"""),1050.0)</f>
        <v>1050</v>
      </c>
      <c r="H1605" s="5">
        <f>IFERROR(__xludf.DUMMYFUNCTION("""COMPUTED_VALUE"""),3298.12)</f>
        <v>3298.12</v>
      </c>
      <c r="I1605" s="5">
        <f>IFERROR(__xludf.DUMMYFUNCTION("""COMPUTED_VALUE"""),4859.53)</f>
        <v>4859.53</v>
      </c>
      <c r="J1605" s="5">
        <f>IFERROR(__xludf.DUMMYFUNCTION("""COMPUTED_VALUE"""),4148.65)</f>
        <v>4148.65</v>
      </c>
      <c r="K1605" s="5">
        <f>IFERROR(__xludf.DUMMYFUNCTION("""COMPUTED_VALUE"""),3209.89)</f>
        <v>3209.89</v>
      </c>
      <c r="L1605" s="4">
        <f>IFERROR(__xludf.DUMMYFUNCTION("""COMPUTED_VALUE"""),17.0)</f>
        <v>17</v>
      </c>
      <c r="M1605" s="4">
        <f>IFERROR(__xludf.DUMMYFUNCTION("""COMPUTED_VALUE"""),78.0)</f>
        <v>78</v>
      </c>
      <c r="N1605" s="2" t="str">
        <f>IFERROR(__xludf.DUMMYFUNCTION("""COMPUTED_VALUE"""),"FALSO")</f>
        <v>FALSO</v>
      </c>
    </row>
    <row r="1606">
      <c r="A1606" s="2">
        <f>IFERROR(__xludf.DUMMYFUNCTION("""COMPUTED_VALUE"""),1605.0)</f>
        <v>1605</v>
      </c>
      <c r="B1606" s="2" t="str">
        <f>IFERROR(__xludf.DUMMYFUNCTION("""COMPUTED_VALUE"""),"Corinna Dunphy")</f>
        <v>Corinna Dunphy</v>
      </c>
      <c r="C1606" s="2" t="str">
        <f>IFERROR(__xludf.DUMMYFUNCTION("""COMPUTED_VALUE"""),"cdunphygt@cpanel.net")</f>
        <v>cdunphygt@cpanel.net</v>
      </c>
      <c r="D1606" s="4">
        <f>IFERROR(__xludf.DUMMYFUNCTION("""COMPUTED_VALUE"""),19.0)</f>
        <v>19</v>
      </c>
      <c r="E1606" s="4">
        <f>IFERROR(__xludf.DUMMYFUNCTION("""COMPUTED_VALUE"""),21.0)</f>
        <v>21</v>
      </c>
      <c r="F1606" s="4">
        <f>IFERROR(__xludf.DUMMYFUNCTION("""COMPUTED_VALUE"""),4.0)</f>
        <v>4</v>
      </c>
      <c r="G1606" s="4">
        <f>IFERROR(__xludf.DUMMYFUNCTION("""COMPUTED_VALUE"""),884.0)</f>
        <v>884</v>
      </c>
      <c r="H1606" s="5">
        <f>IFERROR(__xludf.DUMMYFUNCTION("""COMPUTED_VALUE"""),2889.66)</f>
        <v>2889.66</v>
      </c>
      <c r="I1606" s="5">
        <f>IFERROR(__xludf.DUMMYFUNCTION("""COMPUTED_VALUE"""),7843.04)</f>
        <v>7843.04</v>
      </c>
      <c r="J1606" s="5">
        <f>IFERROR(__xludf.DUMMYFUNCTION("""COMPUTED_VALUE"""),2883.57)</f>
        <v>2883.57</v>
      </c>
      <c r="K1606" s="5">
        <f>IFERROR(__xludf.DUMMYFUNCTION("""COMPUTED_VALUE"""),5172.3)</f>
        <v>5172.3</v>
      </c>
      <c r="L1606" s="4">
        <f>IFERROR(__xludf.DUMMYFUNCTION("""COMPUTED_VALUE"""),13.0)</f>
        <v>13</v>
      </c>
      <c r="M1606" s="4">
        <f>IFERROR(__xludf.DUMMYFUNCTION("""COMPUTED_VALUE"""),25.0)</f>
        <v>25</v>
      </c>
      <c r="N1606" s="2" t="str">
        <f>IFERROR(__xludf.DUMMYFUNCTION("""COMPUTED_VALUE"""),"FALSO")</f>
        <v>FALSO</v>
      </c>
    </row>
    <row r="1607">
      <c r="A1607" s="2">
        <f>IFERROR(__xludf.DUMMYFUNCTION("""COMPUTED_VALUE"""),1606.0)</f>
        <v>1606</v>
      </c>
      <c r="B1607" s="2" t="str">
        <f>IFERROR(__xludf.DUMMYFUNCTION("""COMPUTED_VALUE"""),"Thedric Moules")</f>
        <v>Thedric Moules</v>
      </c>
      <c r="C1607" s="2" t="str">
        <f>IFERROR(__xludf.DUMMYFUNCTION("""COMPUTED_VALUE"""),"tmoulesgu@tmall.com")</f>
        <v>tmoulesgu@tmall.com</v>
      </c>
      <c r="D1607" s="4">
        <f>IFERROR(__xludf.DUMMYFUNCTION("""COMPUTED_VALUE"""),29.0)</f>
        <v>29</v>
      </c>
      <c r="E1607" s="4">
        <f>IFERROR(__xludf.DUMMYFUNCTION("""COMPUTED_VALUE"""),22.0)</f>
        <v>22</v>
      </c>
      <c r="F1607" s="4">
        <f>IFERROR(__xludf.DUMMYFUNCTION("""COMPUTED_VALUE"""),5.0)</f>
        <v>5</v>
      </c>
      <c r="G1607" s="4">
        <f>IFERROR(__xludf.DUMMYFUNCTION("""COMPUTED_VALUE"""),1078.0)</f>
        <v>1078</v>
      </c>
      <c r="H1607" s="5">
        <f>IFERROR(__xludf.DUMMYFUNCTION("""COMPUTED_VALUE"""),8846.9)</f>
        <v>8846.9</v>
      </c>
      <c r="I1607" s="5">
        <f>IFERROR(__xludf.DUMMYFUNCTION("""COMPUTED_VALUE"""),592.73)</f>
        <v>592.73</v>
      </c>
      <c r="J1607" s="5">
        <f>IFERROR(__xludf.DUMMYFUNCTION("""COMPUTED_VALUE"""),769.6)</f>
        <v>769.6</v>
      </c>
      <c r="K1607" s="5">
        <f>IFERROR(__xludf.DUMMYFUNCTION("""COMPUTED_VALUE"""),3284.97)</f>
        <v>3284.97</v>
      </c>
      <c r="L1607" s="4">
        <f>IFERROR(__xludf.DUMMYFUNCTION("""COMPUTED_VALUE"""),12.0)</f>
        <v>12</v>
      </c>
      <c r="M1607" s="4">
        <f>IFERROR(__xludf.DUMMYFUNCTION("""COMPUTED_VALUE"""),2.0)</f>
        <v>2</v>
      </c>
      <c r="N1607" s="2" t="str">
        <f>IFERROR(__xludf.DUMMYFUNCTION("""COMPUTED_VALUE"""),"VERDADERO")</f>
        <v>VERDADERO</v>
      </c>
    </row>
    <row r="1608">
      <c r="A1608" s="2">
        <f>IFERROR(__xludf.DUMMYFUNCTION("""COMPUTED_VALUE"""),1607.0)</f>
        <v>1607</v>
      </c>
      <c r="B1608" s="2" t="str">
        <f>IFERROR(__xludf.DUMMYFUNCTION("""COMPUTED_VALUE"""),"Robena McGeouch")</f>
        <v>Robena McGeouch</v>
      </c>
      <c r="C1608" s="2" t="str">
        <f>IFERROR(__xludf.DUMMYFUNCTION("""COMPUTED_VALUE"""),"rmcgeouchgv@washington.edu")</f>
        <v>rmcgeouchgv@washington.edu</v>
      </c>
      <c r="D1608" s="4">
        <f>IFERROR(__xludf.DUMMYFUNCTION("""COMPUTED_VALUE"""),29.0)</f>
        <v>29</v>
      </c>
      <c r="E1608" s="4">
        <f>IFERROR(__xludf.DUMMYFUNCTION("""COMPUTED_VALUE"""),115.0)</f>
        <v>115</v>
      </c>
      <c r="F1608" s="4">
        <f>IFERROR(__xludf.DUMMYFUNCTION("""COMPUTED_VALUE"""),10.0)</f>
        <v>10</v>
      </c>
      <c r="G1608" s="4">
        <f>IFERROR(__xludf.DUMMYFUNCTION("""COMPUTED_VALUE"""),318.0)</f>
        <v>318</v>
      </c>
      <c r="H1608" s="5">
        <f>IFERROR(__xludf.DUMMYFUNCTION("""COMPUTED_VALUE"""),9686.13)</f>
        <v>9686.13</v>
      </c>
      <c r="I1608" s="5">
        <f>IFERROR(__xludf.DUMMYFUNCTION("""COMPUTED_VALUE"""),3467.17)</f>
        <v>3467.17</v>
      </c>
      <c r="J1608" s="5">
        <f>IFERROR(__xludf.DUMMYFUNCTION("""COMPUTED_VALUE"""),9771.86)</f>
        <v>9771.86</v>
      </c>
      <c r="K1608" s="5">
        <f>IFERROR(__xludf.DUMMYFUNCTION("""COMPUTED_VALUE"""),964.61)</f>
        <v>964.61</v>
      </c>
      <c r="L1608" s="4">
        <f>IFERROR(__xludf.DUMMYFUNCTION("""COMPUTED_VALUE"""),11.0)</f>
        <v>11</v>
      </c>
      <c r="M1608" s="4">
        <f>IFERROR(__xludf.DUMMYFUNCTION("""COMPUTED_VALUE"""),70.0)</f>
        <v>70</v>
      </c>
      <c r="N1608" s="2" t="str">
        <f>IFERROR(__xludf.DUMMYFUNCTION("""COMPUTED_VALUE"""),"FALSO")</f>
        <v>FALSO</v>
      </c>
    </row>
    <row r="1609">
      <c r="A1609" s="2">
        <f>IFERROR(__xludf.DUMMYFUNCTION("""COMPUTED_VALUE"""),1608.0)</f>
        <v>1608</v>
      </c>
      <c r="B1609" s="2" t="str">
        <f>IFERROR(__xludf.DUMMYFUNCTION("""COMPUTED_VALUE"""),"Tedi Faichnie")</f>
        <v>Tedi Faichnie</v>
      </c>
      <c r="C1609" s="2" t="str">
        <f>IFERROR(__xludf.DUMMYFUNCTION("""COMPUTED_VALUE"""),"tfaichniegw@tamu.edu")</f>
        <v>tfaichniegw@tamu.edu</v>
      </c>
      <c r="D1609" s="4">
        <f>IFERROR(__xludf.DUMMYFUNCTION("""COMPUTED_VALUE"""),29.0)</f>
        <v>29</v>
      </c>
      <c r="E1609" s="4">
        <f>IFERROR(__xludf.DUMMYFUNCTION("""COMPUTED_VALUE"""),105.0)</f>
        <v>105</v>
      </c>
      <c r="F1609" s="4">
        <f>IFERROR(__xludf.DUMMYFUNCTION("""COMPUTED_VALUE"""),8.0)</f>
        <v>8</v>
      </c>
      <c r="G1609" s="4">
        <f>IFERROR(__xludf.DUMMYFUNCTION("""COMPUTED_VALUE"""),609.0)</f>
        <v>609</v>
      </c>
      <c r="H1609" s="5">
        <f>IFERROR(__xludf.DUMMYFUNCTION("""COMPUTED_VALUE"""),5243.76)</f>
        <v>5243.76</v>
      </c>
      <c r="I1609" s="5">
        <f>IFERROR(__xludf.DUMMYFUNCTION("""COMPUTED_VALUE"""),6591.4)</f>
        <v>6591.4</v>
      </c>
      <c r="J1609" s="5">
        <f>IFERROR(__xludf.DUMMYFUNCTION("""COMPUTED_VALUE"""),1145.8)</f>
        <v>1145.8</v>
      </c>
      <c r="K1609" s="5">
        <f>IFERROR(__xludf.DUMMYFUNCTION("""COMPUTED_VALUE"""),6216.48)</f>
        <v>6216.48</v>
      </c>
      <c r="L1609" s="4">
        <f>IFERROR(__xludf.DUMMYFUNCTION("""COMPUTED_VALUE"""),9.0)</f>
        <v>9</v>
      </c>
      <c r="M1609" s="4">
        <f>IFERROR(__xludf.DUMMYFUNCTION("""COMPUTED_VALUE"""),98.0)</f>
        <v>98</v>
      </c>
      <c r="N1609" s="2" t="str">
        <f>IFERROR(__xludf.DUMMYFUNCTION("""COMPUTED_VALUE"""),"VERDADERO")</f>
        <v>VERDADERO</v>
      </c>
    </row>
    <row r="1610">
      <c r="A1610" s="2">
        <f>IFERROR(__xludf.DUMMYFUNCTION("""COMPUTED_VALUE"""),1609.0)</f>
        <v>1609</v>
      </c>
      <c r="B1610" s="2" t="str">
        <f>IFERROR(__xludf.DUMMYFUNCTION("""COMPUTED_VALUE"""),"Sully Redfern")</f>
        <v>Sully Redfern</v>
      </c>
      <c r="C1610" s="2" t="str">
        <f>IFERROR(__xludf.DUMMYFUNCTION("""COMPUTED_VALUE"""),"sredferngx@google.com")</f>
        <v>sredferngx@google.com</v>
      </c>
      <c r="D1610" s="4">
        <f>IFERROR(__xludf.DUMMYFUNCTION("""COMPUTED_VALUE"""),65.0)</f>
        <v>65</v>
      </c>
      <c r="E1610" s="4">
        <f>IFERROR(__xludf.DUMMYFUNCTION("""COMPUTED_VALUE"""),21.0)</f>
        <v>21</v>
      </c>
      <c r="F1610" s="4">
        <f>IFERROR(__xludf.DUMMYFUNCTION("""COMPUTED_VALUE"""),4.0)</f>
        <v>4</v>
      </c>
      <c r="G1610" s="4">
        <f>IFERROR(__xludf.DUMMYFUNCTION("""COMPUTED_VALUE"""),553.0)</f>
        <v>553</v>
      </c>
      <c r="H1610" s="5">
        <f>IFERROR(__xludf.DUMMYFUNCTION("""COMPUTED_VALUE"""),3247.02)</f>
        <v>3247.02</v>
      </c>
      <c r="I1610" s="5">
        <f>IFERROR(__xludf.DUMMYFUNCTION("""COMPUTED_VALUE"""),6461.81)</f>
        <v>6461.81</v>
      </c>
      <c r="J1610" s="5">
        <f>IFERROR(__xludf.DUMMYFUNCTION("""COMPUTED_VALUE"""),4403.56)</f>
        <v>4403.56</v>
      </c>
      <c r="K1610" s="5">
        <f>IFERROR(__xludf.DUMMYFUNCTION("""COMPUTED_VALUE"""),9786.8)</f>
        <v>9786.8</v>
      </c>
      <c r="L1610" s="4">
        <f>IFERROR(__xludf.DUMMYFUNCTION("""COMPUTED_VALUE"""),6.0)</f>
        <v>6</v>
      </c>
      <c r="M1610" s="4">
        <f>IFERROR(__xludf.DUMMYFUNCTION("""COMPUTED_VALUE"""),67.0)</f>
        <v>67</v>
      </c>
      <c r="N1610" s="2" t="str">
        <f>IFERROR(__xludf.DUMMYFUNCTION("""COMPUTED_VALUE"""),"FALSO")</f>
        <v>FALSO</v>
      </c>
    </row>
    <row r="1611">
      <c r="A1611" s="2">
        <f>IFERROR(__xludf.DUMMYFUNCTION("""COMPUTED_VALUE"""),1610.0)</f>
        <v>1610</v>
      </c>
      <c r="B1611" s="2" t="str">
        <f>IFERROR(__xludf.DUMMYFUNCTION("""COMPUTED_VALUE"""),"Lynnea Maides")</f>
        <v>Lynnea Maides</v>
      </c>
      <c r="C1611" s="2" t="str">
        <f>IFERROR(__xludf.DUMMYFUNCTION("""COMPUTED_VALUE"""),"lmaidesgy@unicef.org")</f>
        <v>lmaidesgy@unicef.org</v>
      </c>
      <c r="D1611" s="4">
        <f>IFERROR(__xludf.DUMMYFUNCTION("""COMPUTED_VALUE"""),156.0)</f>
        <v>156</v>
      </c>
      <c r="E1611" s="4">
        <f>IFERROR(__xludf.DUMMYFUNCTION("""COMPUTED_VALUE"""),18.0)</f>
        <v>18</v>
      </c>
      <c r="F1611" s="4">
        <f>IFERROR(__xludf.DUMMYFUNCTION("""COMPUTED_VALUE"""),8.0)</f>
        <v>8</v>
      </c>
      <c r="G1611" s="4">
        <f>IFERROR(__xludf.DUMMYFUNCTION("""COMPUTED_VALUE"""),373.0)</f>
        <v>373</v>
      </c>
      <c r="H1611" s="5">
        <f>IFERROR(__xludf.DUMMYFUNCTION("""COMPUTED_VALUE"""),6184.07)</f>
        <v>6184.07</v>
      </c>
      <c r="I1611" s="5">
        <f>IFERROR(__xludf.DUMMYFUNCTION("""COMPUTED_VALUE"""),2228.3)</f>
        <v>2228.3</v>
      </c>
      <c r="J1611" s="5">
        <f>IFERROR(__xludf.DUMMYFUNCTION("""COMPUTED_VALUE"""),7620.44)</f>
        <v>7620.44</v>
      </c>
      <c r="K1611" s="5">
        <f>IFERROR(__xludf.DUMMYFUNCTION("""COMPUTED_VALUE"""),2096.53)</f>
        <v>2096.53</v>
      </c>
      <c r="L1611" s="4">
        <f>IFERROR(__xludf.DUMMYFUNCTION("""COMPUTED_VALUE"""),18.0)</f>
        <v>18</v>
      </c>
      <c r="M1611" s="4">
        <f>IFERROR(__xludf.DUMMYFUNCTION("""COMPUTED_VALUE"""),12.0)</f>
        <v>12</v>
      </c>
      <c r="N1611" s="2" t="str">
        <f>IFERROR(__xludf.DUMMYFUNCTION("""COMPUTED_VALUE"""),"VERDADERO")</f>
        <v>VERDADERO</v>
      </c>
    </row>
    <row r="1612">
      <c r="A1612" s="2">
        <f>IFERROR(__xludf.DUMMYFUNCTION("""COMPUTED_VALUE"""),1611.0)</f>
        <v>1611</v>
      </c>
      <c r="B1612" s="2" t="str">
        <f>IFERROR(__xludf.DUMMYFUNCTION("""COMPUTED_VALUE"""),"Hagen Seebright")</f>
        <v>Hagen Seebright</v>
      </c>
      <c r="C1612" s="2" t="str">
        <f>IFERROR(__xludf.DUMMYFUNCTION("""COMPUTED_VALUE"""),"hseebrightgz@ocn.ne.jp")</f>
        <v>hseebrightgz@ocn.ne.jp</v>
      </c>
      <c r="D1612" s="4">
        <f>IFERROR(__xludf.DUMMYFUNCTION("""COMPUTED_VALUE"""),121.0)</f>
        <v>121</v>
      </c>
      <c r="E1612" s="4">
        <f>IFERROR(__xludf.DUMMYFUNCTION("""COMPUTED_VALUE"""),118.0)</f>
        <v>118</v>
      </c>
      <c r="F1612" s="4">
        <f>IFERROR(__xludf.DUMMYFUNCTION("""COMPUTED_VALUE"""),9.0)</f>
        <v>9</v>
      </c>
      <c r="G1612" s="4">
        <f>IFERROR(__xludf.DUMMYFUNCTION("""COMPUTED_VALUE"""),1339.0)</f>
        <v>1339</v>
      </c>
      <c r="H1612" s="5">
        <f>IFERROR(__xludf.DUMMYFUNCTION("""COMPUTED_VALUE"""),4065.45)</f>
        <v>4065.45</v>
      </c>
      <c r="I1612" s="5">
        <f>IFERROR(__xludf.DUMMYFUNCTION("""COMPUTED_VALUE"""),1550.22)</f>
        <v>1550.22</v>
      </c>
      <c r="J1612" s="5">
        <f>IFERROR(__xludf.DUMMYFUNCTION("""COMPUTED_VALUE"""),5577.3)</f>
        <v>5577.3</v>
      </c>
      <c r="K1612" s="5">
        <f>IFERROR(__xludf.DUMMYFUNCTION("""COMPUTED_VALUE"""),8064.52)</f>
        <v>8064.52</v>
      </c>
      <c r="L1612" s="4">
        <f>IFERROR(__xludf.DUMMYFUNCTION("""COMPUTED_VALUE"""),16.0)</f>
        <v>16</v>
      </c>
      <c r="M1612" s="4">
        <f>IFERROR(__xludf.DUMMYFUNCTION("""COMPUTED_VALUE"""),31.0)</f>
        <v>31</v>
      </c>
      <c r="N1612" s="2" t="str">
        <f>IFERROR(__xludf.DUMMYFUNCTION("""COMPUTED_VALUE"""),"VERDADERO")</f>
        <v>VERDADERO</v>
      </c>
    </row>
    <row r="1613">
      <c r="A1613" s="2">
        <f>IFERROR(__xludf.DUMMYFUNCTION("""COMPUTED_VALUE"""),1612.0)</f>
        <v>1612</v>
      </c>
      <c r="B1613" s="2" t="str">
        <f>IFERROR(__xludf.DUMMYFUNCTION("""COMPUTED_VALUE"""),"Nara Akitt")</f>
        <v>Nara Akitt</v>
      </c>
      <c r="C1613" s="2" t="str">
        <f>IFERROR(__xludf.DUMMYFUNCTION("""COMPUTED_VALUE"""),"nakitth0@europa.eu")</f>
        <v>nakitth0@europa.eu</v>
      </c>
      <c r="D1613" s="4">
        <f>IFERROR(__xludf.DUMMYFUNCTION("""COMPUTED_VALUE"""),65.0)</f>
        <v>65</v>
      </c>
      <c r="E1613" s="4">
        <f>IFERROR(__xludf.DUMMYFUNCTION("""COMPUTED_VALUE"""),81.0)</f>
        <v>81</v>
      </c>
      <c r="F1613" s="4">
        <f>IFERROR(__xludf.DUMMYFUNCTION("""COMPUTED_VALUE"""),2.0)</f>
        <v>2</v>
      </c>
      <c r="G1613" s="4">
        <f>IFERROR(__xludf.DUMMYFUNCTION("""COMPUTED_VALUE"""),433.0)</f>
        <v>433</v>
      </c>
      <c r="H1613" s="5">
        <f>IFERROR(__xludf.DUMMYFUNCTION("""COMPUTED_VALUE"""),4169.36)</f>
        <v>4169.36</v>
      </c>
      <c r="I1613" s="5">
        <f>IFERROR(__xludf.DUMMYFUNCTION("""COMPUTED_VALUE"""),6400.7)</f>
        <v>6400.7</v>
      </c>
      <c r="J1613" s="5">
        <f>IFERROR(__xludf.DUMMYFUNCTION("""COMPUTED_VALUE"""),4207.45)</f>
        <v>4207.45</v>
      </c>
      <c r="K1613" s="5">
        <f>IFERROR(__xludf.DUMMYFUNCTION("""COMPUTED_VALUE"""),5281.64)</f>
        <v>5281.64</v>
      </c>
      <c r="L1613" s="4">
        <f>IFERROR(__xludf.DUMMYFUNCTION("""COMPUTED_VALUE"""),8.0)</f>
        <v>8</v>
      </c>
      <c r="M1613" s="4">
        <f>IFERROR(__xludf.DUMMYFUNCTION("""COMPUTED_VALUE"""),73.0)</f>
        <v>73</v>
      </c>
      <c r="N1613" s="2" t="str">
        <f>IFERROR(__xludf.DUMMYFUNCTION("""COMPUTED_VALUE"""),"FALSO")</f>
        <v>FALSO</v>
      </c>
    </row>
    <row r="1614">
      <c r="A1614" s="2">
        <f>IFERROR(__xludf.DUMMYFUNCTION("""COMPUTED_VALUE"""),1613.0)</f>
        <v>1613</v>
      </c>
      <c r="B1614" s="2" t="str">
        <f>IFERROR(__xludf.DUMMYFUNCTION("""COMPUTED_VALUE"""),"Tadio Croose")</f>
        <v>Tadio Croose</v>
      </c>
      <c r="C1614" s="2" t="str">
        <f>IFERROR(__xludf.DUMMYFUNCTION("""COMPUTED_VALUE"""),"tcrooseh1@squidoo.com")</f>
        <v>tcrooseh1@squidoo.com</v>
      </c>
      <c r="D1614" s="4">
        <f>IFERROR(__xludf.DUMMYFUNCTION("""COMPUTED_VALUE"""),124.0)</f>
        <v>124</v>
      </c>
      <c r="E1614" s="4">
        <f>IFERROR(__xludf.DUMMYFUNCTION("""COMPUTED_VALUE"""),107.0)</f>
        <v>107</v>
      </c>
      <c r="F1614" s="4">
        <f>IFERROR(__xludf.DUMMYFUNCTION("""COMPUTED_VALUE"""),5.0)</f>
        <v>5</v>
      </c>
      <c r="G1614" s="4">
        <f>IFERROR(__xludf.DUMMYFUNCTION("""COMPUTED_VALUE"""),1407.0)</f>
        <v>1407</v>
      </c>
      <c r="H1614" s="5">
        <f>IFERROR(__xludf.DUMMYFUNCTION("""COMPUTED_VALUE"""),5184.38)</f>
        <v>5184.38</v>
      </c>
      <c r="I1614" s="5">
        <f>IFERROR(__xludf.DUMMYFUNCTION("""COMPUTED_VALUE"""),8213.19)</f>
        <v>8213.19</v>
      </c>
      <c r="J1614" s="5">
        <f>IFERROR(__xludf.DUMMYFUNCTION("""COMPUTED_VALUE"""),3318.54)</f>
        <v>3318.54</v>
      </c>
      <c r="K1614" s="5">
        <f>IFERROR(__xludf.DUMMYFUNCTION("""COMPUTED_VALUE"""),4737.87)</f>
        <v>4737.87</v>
      </c>
      <c r="L1614" s="4">
        <f>IFERROR(__xludf.DUMMYFUNCTION("""COMPUTED_VALUE"""),8.0)</f>
        <v>8</v>
      </c>
      <c r="M1614" s="4">
        <f>IFERROR(__xludf.DUMMYFUNCTION("""COMPUTED_VALUE"""),92.0)</f>
        <v>92</v>
      </c>
      <c r="N1614" s="2" t="str">
        <f>IFERROR(__xludf.DUMMYFUNCTION("""COMPUTED_VALUE"""),"VERDADERO")</f>
        <v>VERDADERO</v>
      </c>
    </row>
    <row r="1615">
      <c r="A1615" s="2">
        <f>IFERROR(__xludf.DUMMYFUNCTION("""COMPUTED_VALUE"""),1614.0)</f>
        <v>1614</v>
      </c>
      <c r="B1615" s="2" t="str">
        <f>IFERROR(__xludf.DUMMYFUNCTION("""COMPUTED_VALUE"""),"Emmit Krause")</f>
        <v>Emmit Krause</v>
      </c>
      <c r="C1615" s="2" t="str">
        <f>IFERROR(__xludf.DUMMYFUNCTION("""COMPUTED_VALUE"""),"ekrauseh2@bloomberg.com")</f>
        <v>ekrauseh2@bloomberg.com</v>
      </c>
      <c r="D1615" s="4">
        <f>IFERROR(__xludf.DUMMYFUNCTION("""COMPUTED_VALUE"""),67.0)</f>
        <v>67</v>
      </c>
      <c r="E1615" s="4">
        <f>IFERROR(__xludf.DUMMYFUNCTION("""COMPUTED_VALUE"""),81.0)</f>
        <v>81</v>
      </c>
      <c r="F1615" s="4">
        <f>IFERROR(__xludf.DUMMYFUNCTION("""COMPUTED_VALUE"""),2.0)</f>
        <v>2</v>
      </c>
      <c r="G1615" s="4">
        <f>IFERROR(__xludf.DUMMYFUNCTION("""COMPUTED_VALUE"""),1216.0)</f>
        <v>1216</v>
      </c>
      <c r="H1615" s="5">
        <f>IFERROR(__xludf.DUMMYFUNCTION("""COMPUTED_VALUE"""),5116.17)</f>
        <v>5116.17</v>
      </c>
      <c r="I1615" s="5">
        <f>IFERROR(__xludf.DUMMYFUNCTION("""COMPUTED_VALUE"""),3468.59)</f>
        <v>3468.59</v>
      </c>
      <c r="J1615" s="5">
        <f>IFERROR(__xludf.DUMMYFUNCTION("""COMPUTED_VALUE"""),2524.87)</f>
        <v>2524.87</v>
      </c>
      <c r="K1615" s="5">
        <f>IFERROR(__xludf.DUMMYFUNCTION("""COMPUTED_VALUE"""),9431.18)</f>
        <v>9431.18</v>
      </c>
      <c r="L1615" s="4">
        <f>IFERROR(__xludf.DUMMYFUNCTION("""COMPUTED_VALUE"""),11.0)</f>
        <v>11</v>
      </c>
      <c r="M1615" s="4">
        <f>IFERROR(__xludf.DUMMYFUNCTION("""COMPUTED_VALUE"""),79.0)</f>
        <v>79</v>
      </c>
      <c r="N1615" s="2" t="str">
        <f>IFERROR(__xludf.DUMMYFUNCTION("""COMPUTED_VALUE"""),"VERDADERO")</f>
        <v>VERDADERO</v>
      </c>
    </row>
    <row r="1616">
      <c r="A1616" s="2">
        <f>IFERROR(__xludf.DUMMYFUNCTION("""COMPUTED_VALUE"""),1615.0)</f>
        <v>1615</v>
      </c>
      <c r="B1616" s="2" t="str">
        <f>IFERROR(__xludf.DUMMYFUNCTION("""COMPUTED_VALUE"""),"Skye Tincknell")</f>
        <v>Skye Tincknell</v>
      </c>
      <c r="C1616" s="2" t="str">
        <f>IFERROR(__xludf.DUMMYFUNCTION("""COMPUTED_VALUE"""),"stincknellh3@people.com.cn")</f>
        <v>stincknellh3@people.com.cn</v>
      </c>
      <c r="D1616" s="4">
        <f>IFERROR(__xludf.DUMMYFUNCTION("""COMPUTED_VALUE"""),120.0)</f>
        <v>120</v>
      </c>
      <c r="E1616" s="4">
        <f>IFERROR(__xludf.DUMMYFUNCTION("""COMPUTED_VALUE"""),39.0)</f>
        <v>39</v>
      </c>
      <c r="F1616" s="4">
        <f>IFERROR(__xludf.DUMMYFUNCTION("""COMPUTED_VALUE"""),11.0)</f>
        <v>11</v>
      </c>
      <c r="G1616" s="4">
        <f>IFERROR(__xludf.DUMMYFUNCTION("""COMPUTED_VALUE"""),488.0)</f>
        <v>488</v>
      </c>
      <c r="H1616" s="5">
        <f>IFERROR(__xludf.DUMMYFUNCTION("""COMPUTED_VALUE"""),4890.91)</f>
        <v>4890.91</v>
      </c>
      <c r="I1616" s="5">
        <f>IFERROR(__xludf.DUMMYFUNCTION("""COMPUTED_VALUE"""),6262.09)</f>
        <v>6262.09</v>
      </c>
      <c r="J1616" s="5">
        <f>IFERROR(__xludf.DUMMYFUNCTION("""COMPUTED_VALUE"""),755.51)</f>
        <v>755.51</v>
      </c>
      <c r="K1616" s="5">
        <f>IFERROR(__xludf.DUMMYFUNCTION("""COMPUTED_VALUE"""),2802.8)</f>
        <v>2802.8</v>
      </c>
      <c r="L1616" s="4">
        <f>IFERROR(__xludf.DUMMYFUNCTION("""COMPUTED_VALUE"""),11.0)</f>
        <v>11</v>
      </c>
      <c r="M1616" s="4">
        <f>IFERROR(__xludf.DUMMYFUNCTION("""COMPUTED_VALUE"""),7.0)</f>
        <v>7</v>
      </c>
      <c r="N1616" s="2" t="str">
        <f>IFERROR(__xludf.DUMMYFUNCTION("""COMPUTED_VALUE"""),"VERDADERO")</f>
        <v>VERDADERO</v>
      </c>
    </row>
    <row r="1617">
      <c r="A1617" s="2">
        <f>IFERROR(__xludf.DUMMYFUNCTION("""COMPUTED_VALUE"""),1616.0)</f>
        <v>1616</v>
      </c>
      <c r="B1617" s="2" t="str">
        <f>IFERROR(__xludf.DUMMYFUNCTION("""COMPUTED_VALUE"""),"Dare Stoakley")</f>
        <v>Dare Stoakley</v>
      </c>
      <c r="C1617" s="2" t="str">
        <f>IFERROR(__xludf.DUMMYFUNCTION("""COMPUTED_VALUE"""),"dstoakleyh4@walmart.com")</f>
        <v>dstoakleyh4@walmart.com</v>
      </c>
      <c r="D1617" s="4">
        <f>IFERROR(__xludf.DUMMYFUNCTION("""COMPUTED_VALUE"""),65.0)</f>
        <v>65</v>
      </c>
      <c r="E1617" s="4">
        <f>IFERROR(__xludf.DUMMYFUNCTION("""COMPUTED_VALUE"""),57.0)</f>
        <v>57</v>
      </c>
      <c r="F1617" s="4">
        <f>IFERROR(__xludf.DUMMYFUNCTION("""COMPUTED_VALUE"""),5.0)</f>
        <v>5</v>
      </c>
      <c r="G1617" s="4">
        <f>IFERROR(__xludf.DUMMYFUNCTION("""COMPUTED_VALUE"""),841.0)</f>
        <v>841</v>
      </c>
      <c r="H1617" s="5">
        <f>IFERROR(__xludf.DUMMYFUNCTION("""COMPUTED_VALUE"""),7646.05)</f>
        <v>7646.05</v>
      </c>
      <c r="I1617" s="5">
        <f>IFERROR(__xludf.DUMMYFUNCTION("""COMPUTED_VALUE"""),795.37)</f>
        <v>795.37</v>
      </c>
      <c r="J1617" s="5">
        <f>IFERROR(__xludf.DUMMYFUNCTION("""COMPUTED_VALUE"""),2985.88)</f>
        <v>2985.88</v>
      </c>
      <c r="K1617" s="5">
        <f>IFERROR(__xludf.DUMMYFUNCTION("""COMPUTED_VALUE"""),5965.91)</f>
        <v>5965.91</v>
      </c>
      <c r="L1617" s="4">
        <f>IFERROR(__xludf.DUMMYFUNCTION("""COMPUTED_VALUE"""),19.0)</f>
        <v>19</v>
      </c>
      <c r="M1617" s="4">
        <f>IFERROR(__xludf.DUMMYFUNCTION("""COMPUTED_VALUE"""),24.0)</f>
        <v>24</v>
      </c>
      <c r="N1617" s="2" t="str">
        <f>IFERROR(__xludf.DUMMYFUNCTION("""COMPUTED_VALUE"""),"VERDADERO")</f>
        <v>VERDADERO</v>
      </c>
    </row>
    <row r="1618">
      <c r="A1618" s="2">
        <f>IFERROR(__xludf.DUMMYFUNCTION("""COMPUTED_VALUE"""),1617.0)</f>
        <v>1617</v>
      </c>
      <c r="B1618" s="2" t="str">
        <f>IFERROR(__xludf.DUMMYFUNCTION("""COMPUTED_VALUE"""),"Nollie Dincke")</f>
        <v>Nollie Dincke</v>
      </c>
      <c r="C1618" s="2" t="str">
        <f>IFERROR(__xludf.DUMMYFUNCTION("""COMPUTED_VALUE"""),"ndinckeh5@blogs.com")</f>
        <v>ndinckeh5@blogs.com</v>
      </c>
      <c r="D1618" s="4">
        <f>IFERROR(__xludf.DUMMYFUNCTION("""COMPUTED_VALUE"""),120.0)</f>
        <v>120</v>
      </c>
      <c r="E1618" s="4">
        <f>IFERROR(__xludf.DUMMYFUNCTION("""COMPUTED_VALUE"""),20.0)</f>
        <v>20</v>
      </c>
      <c r="F1618" s="4">
        <f>IFERROR(__xludf.DUMMYFUNCTION("""COMPUTED_VALUE"""),8.0)</f>
        <v>8</v>
      </c>
      <c r="G1618" s="4">
        <f>IFERROR(__xludf.DUMMYFUNCTION("""COMPUTED_VALUE"""),1110.0)</f>
        <v>1110</v>
      </c>
      <c r="H1618" s="5">
        <f>IFERROR(__xludf.DUMMYFUNCTION("""COMPUTED_VALUE"""),4345.18)</f>
        <v>4345.18</v>
      </c>
      <c r="I1618" s="5">
        <f>IFERROR(__xludf.DUMMYFUNCTION("""COMPUTED_VALUE"""),4121.99)</f>
        <v>4121.99</v>
      </c>
      <c r="J1618" s="5">
        <f>IFERROR(__xludf.DUMMYFUNCTION("""COMPUTED_VALUE"""),7776.37)</f>
        <v>7776.37</v>
      </c>
      <c r="K1618" s="5">
        <f>IFERROR(__xludf.DUMMYFUNCTION("""COMPUTED_VALUE"""),7289.14)</f>
        <v>7289.14</v>
      </c>
      <c r="L1618" s="4">
        <f>IFERROR(__xludf.DUMMYFUNCTION("""COMPUTED_VALUE"""),14.0)</f>
        <v>14</v>
      </c>
      <c r="M1618" s="4">
        <f>IFERROR(__xludf.DUMMYFUNCTION("""COMPUTED_VALUE"""),71.0)</f>
        <v>71</v>
      </c>
      <c r="N1618" s="2" t="str">
        <f>IFERROR(__xludf.DUMMYFUNCTION("""COMPUTED_VALUE"""),"VERDADERO")</f>
        <v>VERDADERO</v>
      </c>
    </row>
    <row r="1619">
      <c r="A1619" s="2">
        <f>IFERROR(__xludf.DUMMYFUNCTION("""COMPUTED_VALUE"""),1618.0)</f>
        <v>1618</v>
      </c>
      <c r="B1619" s="2" t="str">
        <f>IFERROR(__xludf.DUMMYFUNCTION("""COMPUTED_VALUE"""),"Dulcinea Ashplant")</f>
        <v>Dulcinea Ashplant</v>
      </c>
      <c r="C1619" s="2" t="str">
        <f>IFERROR(__xludf.DUMMYFUNCTION("""COMPUTED_VALUE"""),"dashplanth6@chronoengine.com")</f>
        <v>dashplanth6@chronoengine.com</v>
      </c>
      <c r="D1619" s="4">
        <f>IFERROR(__xludf.DUMMYFUNCTION("""COMPUTED_VALUE"""),65.0)</f>
        <v>65</v>
      </c>
      <c r="E1619" s="4">
        <f>IFERROR(__xludf.DUMMYFUNCTION("""COMPUTED_VALUE"""),39.0)</f>
        <v>39</v>
      </c>
      <c r="F1619" s="4">
        <f>IFERROR(__xludf.DUMMYFUNCTION("""COMPUTED_VALUE"""),11.0)</f>
        <v>11</v>
      </c>
      <c r="G1619" s="4">
        <f>IFERROR(__xludf.DUMMYFUNCTION("""COMPUTED_VALUE"""),374.0)</f>
        <v>374</v>
      </c>
      <c r="H1619" s="5">
        <f>IFERROR(__xludf.DUMMYFUNCTION("""COMPUTED_VALUE"""),1666.24)</f>
        <v>1666.24</v>
      </c>
      <c r="I1619" s="5">
        <f>IFERROR(__xludf.DUMMYFUNCTION("""COMPUTED_VALUE"""),954.68)</f>
        <v>954.68</v>
      </c>
      <c r="J1619" s="5">
        <f>IFERROR(__xludf.DUMMYFUNCTION("""COMPUTED_VALUE"""),977.6)</f>
        <v>977.6</v>
      </c>
      <c r="K1619" s="5">
        <f>IFERROR(__xludf.DUMMYFUNCTION("""COMPUTED_VALUE"""),6350.26)</f>
        <v>6350.26</v>
      </c>
      <c r="L1619" s="4">
        <f>IFERROR(__xludf.DUMMYFUNCTION("""COMPUTED_VALUE"""),7.0)</f>
        <v>7</v>
      </c>
      <c r="M1619" s="4">
        <f>IFERROR(__xludf.DUMMYFUNCTION("""COMPUTED_VALUE"""),71.0)</f>
        <v>71</v>
      </c>
      <c r="N1619" s="2" t="str">
        <f>IFERROR(__xludf.DUMMYFUNCTION("""COMPUTED_VALUE"""),"VERDADERO")</f>
        <v>VERDADERO</v>
      </c>
    </row>
    <row r="1620">
      <c r="A1620" s="2">
        <f>IFERROR(__xludf.DUMMYFUNCTION("""COMPUTED_VALUE"""),1619.0)</f>
        <v>1619</v>
      </c>
      <c r="B1620" s="2" t="str">
        <f>IFERROR(__xludf.DUMMYFUNCTION("""COMPUTED_VALUE"""),"Weylin Ackermann")</f>
        <v>Weylin Ackermann</v>
      </c>
      <c r="C1620" s="2" t="str">
        <f>IFERROR(__xludf.DUMMYFUNCTION("""COMPUTED_VALUE"""),"wackermannh7@buzzfeed.com")</f>
        <v>wackermannh7@buzzfeed.com</v>
      </c>
      <c r="D1620" s="4">
        <f>IFERROR(__xludf.DUMMYFUNCTION("""COMPUTED_VALUE"""),60.0)</f>
        <v>60</v>
      </c>
      <c r="E1620" s="4">
        <f>IFERROR(__xludf.DUMMYFUNCTION("""COMPUTED_VALUE"""),81.0)</f>
        <v>81</v>
      </c>
      <c r="F1620" s="4">
        <f>IFERROR(__xludf.DUMMYFUNCTION("""COMPUTED_VALUE"""),2.0)</f>
        <v>2</v>
      </c>
      <c r="G1620" s="4">
        <f>IFERROR(__xludf.DUMMYFUNCTION("""COMPUTED_VALUE"""),706.0)</f>
        <v>706</v>
      </c>
      <c r="H1620" s="5">
        <f>IFERROR(__xludf.DUMMYFUNCTION("""COMPUTED_VALUE"""),9154.63)</f>
        <v>9154.63</v>
      </c>
      <c r="I1620" s="5">
        <f>IFERROR(__xludf.DUMMYFUNCTION("""COMPUTED_VALUE"""),215.73)</f>
        <v>215.73</v>
      </c>
      <c r="J1620" s="5">
        <f>IFERROR(__xludf.DUMMYFUNCTION("""COMPUTED_VALUE"""),316.35)</f>
        <v>316.35</v>
      </c>
      <c r="K1620" s="5">
        <f>IFERROR(__xludf.DUMMYFUNCTION("""COMPUTED_VALUE"""),7843.32)</f>
        <v>7843.32</v>
      </c>
      <c r="L1620" s="4">
        <f>IFERROR(__xludf.DUMMYFUNCTION("""COMPUTED_VALUE"""),13.0)</f>
        <v>13</v>
      </c>
      <c r="M1620" s="4">
        <f>IFERROR(__xludf.DUMMYFUNCTION("""COMPUTED_VALUE"""),19.0)</f>
        <v>19</v>
      </c>
      <c r="N1620" s="2" t="str">
        <f>IFERROR(__xludf.DUMMYFUNCTION("""COMPUTED_VALUE"""),"FALSO")</f>
        <v>FALSO</v>
      </c>
    </row>
    <row r="1621">
      <c r="A1621" s="2">
        <f>IFERROR(__xludf.DUMMYFUNCTION("""COMPUTED_VALUE"""),1620.0)</f>
        <v>1620</v>
      </c>
      <c r="B1621" s="2" t="str">
        <f>IFERROR(__xludf.DUMMYFUNCTION("""COMPUTED_VALUE"""),"Atalanta McBrady")</f>
        <v>Atalanta McBrady</v>
      </c>
      <c r="C1621" s="2" t="str">
        <f>IFERROR(__xludf.DUMMYFUNCTION("""COMPUTED_VALUE"""),"amcbradyh8@plala.or.jp")</f>
        <v>amcbradyh8@plala.or.jp</v>
      </c>
      <c r="D1621" s="4">
        <f>IFERROR(__xludf.DUMMYFUNCTION("""COMPUTED_VALUE"""),29.0)</f>
        <v>29</v>
      </c>
      <c r="E1621" s="4">
        <f>IFERROR(__xludf.DUMMYFUNCTION("""COMPUTED_VALUE"""),112.0)</f>
        <v>112</v>
      </c>
      <c r="F1621" s="4">
        <f>IFERROR(__xludf.DUMMYFUNCTION("""COMPUTED_VALUE"""),11.0)</f>
        <v>11</v>
      </c>
      <c r="G1621" s="4">
        <f>IFERROR(__xludf.DUMMYFUNCTION("""COMPUTED_VALUE"""),256.0)</f>
        <v>256</v>
      </c>
      <c r="H1621" s="5">
        <f>IFERROR(__xludf.DUMMYFUNCTION("""COMPUTED_VALUE"""),7706.53)</f>
        <v>7706.53</v>
      </c>
      <c r="I1621" s="5">
        <f>IFERROR(__xludf.DUMMYFUNCTION("""COMPUTED_VALUE"""),6221.46)</f>
        <v>6221.46</v>
      </c>
      <c r="J1621" s="5">
        <f>IFERROR(__xludf.DUMMYFUNCTION("""COMPUTED_VALUE"""),237.43)</f>
        <v>237.43</v>
      </c>
      <c r="K1621" s="5">
        <f>IFERROR(__xludf.DUMMYFUNCTION("""COMPUTED_VALUE"""),2640.59)</f>
        <v>2640.59</v>
      </c>
      <c r="L1621" s="4">
        <f>IFERROR(__xludf.DUMMYFUNCTION("""COMPUTED_VALUE"""),11.0)</f>
        <v>11</v>
      </c>
      <c r="M1621" s="4">
        <f>IFERROR(__xludf.DUMMYFUNCTION("""COMPUTED_VALUE"""),71.0)</f>
        <v>71</v>
      </c>
      <c r="N1621" s="2" t="str">
        <f>IFERROR(__xludf.DUMMYFUNCTION("""COMPUTED_VALUE"""),"VERDADERO")</f>
        <v>VERDADERO</v>
      </c>
    </row>
    <row r="1622">
      <c r="A1622" s="2">
        <f>IFERROR(__xludf.DUMMYFUNCTION("""COMPUTED_VALUE"""),1621.0)</f>
        <v>1621</v>
      </c>
      <c r="B1622" s="2" t="str">
        <f>IFERROR(__xludf.DUMMYFUNCTION("""COMPUTED_VALUE"""),"Dareen Lightbourn")</f>
        <v>Dareen Lightbourn</v>
      </c>
      <c r="C1622" s="2" t="str">
        <f>IFERROR(__xludf.DUMMYFUNCTION("""COMPUTED_VALUE"""),"dlightbournh9@cdbaby.com")</f>
        <v>dlightbournh9@cdbaby.com</v>
      </c>
      <c r="D1622" s="4">
        <f>IFERROR(__xludf.DUMMYFUNCTION("""COMPUTED_VALUE"""),157.0)</f>
        <v>157</v>
      </c>
      <c r="E1622" s="4">
        <f>IFERROR(__xludf.DUMMYFUNCTION("""COMPUTED_VALUE"""),81.0)</f>
        <v>81</v>
      </c>
      <c r="F1622" s="4">
        <f>IFERROR(__xludf.DUMMYFUNCTION("""COMPUTED_VALUE"""),2.0)</f>
        <v>2</v>
      </c>
      <c r="G1622" s="4">
        <f>IFERROR(__xludf.DUMMYFUNCTION("""COMPUTED_VALUE"""),1394.0)</f>
        <v>1394</v>
      </c>
      <c r="H1622" s="5">
        <f>IFERROR(__xludf.DUMMYFUNCTION("""COMPUTED_VALUE"""),5706.82)</f>
        <v>5706.82</v>
      </c>
      <c r="I1622" s="5">
        <f>IFERROR(__xludf.DUMMYFUNCTION("""COMPUTED_VALUE"""),2877.92)</f>
        <v>2877.92</v>
      </c>
      <c r="J1622" s="5">
        <f>IFERROR(__xludf.DUMMYFUNCTION("""COMPUTED_VALUE"""),845.08)</f>
        <v>845.08</v>
      </c>
      <c r="K1622" s="5">
        <f>IFERROR(__xludf.DUMMYFUNCTION("""COMPUTED_VALUE"""),9911.71)</f>
        <v>9911.71</v>
      </c>
      <c r="L1622" s="4">
        <f>IFERROR(__xludf.DUMMYFUNCTION("""COMPUTED_VALUE"""),7.0)</f>
        <v>7</v>
      </c>
      <c r="M1622" s="4">
        <f>IFERROR(__xludf.DUMMYFUNCTION("""COMPUTED_VALUE"""),61.0)</f>
        <v>61</v>
      </c>
      <c r="N1622" s="2" t="str">
        <f>IFERROR(__xludf.DUMMYFUNCTION("""COMPUTED_VALUE"""),"VERDADERO")</f>
        <v>VERDADERO</v>
      </c>
    </row>
    <row r="1623">
      <c r="A1623" s="2">
        <f>IFERROR(__xludf.DUMMYFUNCTION("""COMPUTED_VALUE"""),1622.0)</f>
        <v>1622</v>
      </c>
      <c r="B1623" s="2" t="str">
        <f>IFERROR(__xludf.DUMMYFUNCTION("""COMPUTED_VALUE"""),"Tremain Bliss")</f>
        <v>Tremain Bliss</v>
      </c>
      <c r="C1623" s="2" t="str">
        <f>IFERROR(__xludf.DUMMYFUNCTION("""COMPUTED_VALUE"""),"tblissha@webnode.com")</f>
        <v>tblissha@webnode.com</v>
      </c>
      <c r="D1623" s="4">
        <f>IFERROR(__xludf.DUMMYFUNCTION("""COMPUTED_VALUE"""),29.0)</f>
        <v>29</v>
      </c>
      <c r="E1623" s="4">
        <f>IFERROR(__xludf.DUMMYFUNCTION("""COMPUTED_VALUE"""),39.0)</f>
        <v>39</v>
      </c>
      <c r="F1623" s="4">
        <f>IFERROR(__xludf.DUMMYFUNCTION("""COMPUTED_VALUE"""),11.0)</f>
        <v>11</v>
      </c>
      <c r="G1623" s="4">
        <f>IFERROR(__xludf.DUMMYFUNCTION("""COMPUTED_VALUE"""),1597.0)</f>
        <v>1597</v>
      </c>
      <c r="H1623" s="5">
        <f>IFERROR(__xludf.DUMMYFUNCTION("""COMPUTED_VALUE"""),7241.03)</f>
        <v>7241.03</v>
      </c>
      <c r="I1623" s="5">
        <f>IFERROR(__xludf.DUMMYFUNCTION("""COMPUTED_VALUE"""),9326.67)</f>
        <v>9326.67</v>
      </c>
      <c r="J1623" s="5">
        <f>IFERROR(__xludf.DUMMYFUNCTION("""COMPUTED_VALUE"""),7382.29)</f>
        <v>7382.29</v>
      </c>
      <c r="K1623" s="5">
        <f>IFERROR(__xludf.DUMMYFUNCTION("""COMPUTED_VALUE"""),7539.84)</f>
        <v>7539.84</v>
      </c>
      <c r="L1623" s="4">
        <f>IFERROR(__xludf.DUMMYFUNCTION("""COMPUTED_VALUE"""),1.0)</f>
        <v>1</v>
      </c>
      <c r="M1623" s="4">
        <f>IFERROR(__xludf.DUMMYFUNCTION("""COMPUTED_VALUE"""),26.0)</f>
        <v>26</v>
      </c>
      <c r="N1623" s="2" t="str">
        <f>IFERROR(__xludf.DUMMYFUNCTION("""COMPUTED_VALUE"""),"FALSO")</f>
        <v>FALSO</v>
      </c>
    </row>
    <row r="1624">
      <c r="A1624" s="2">
        <f>IFERROR(__xludf.DUMMYFUNCTION("""COMPUTED_VALUE"""),1623.0)</f>
        <v>1623</v>
      </c>
      <c r="B1624" s="2" t="str">
        <f>IFERROR(__xludf.DUMMYFUNCTION("""COMPUTED_VALUE"""),"Olly Darwent")</f>
        <v>Olly Darwent</v>
      </c>
      <c r="C1624" s="2" t="str">
        <f>IFERROR(__xludf.DUMMYFUNCTION("""COMPUTED_VALUE"""),"odarwenthb@google.com.au")</f>
        <v>odarwenthb@google.com.au</v>
      </c>
      <c r="D1624" s="4">
        <f>IFERROR(__xludf.DUMMYFUNCTION("""COMPUTED_VALUE"""),29.0)</f>
        <v>29</v>
      </c>
      <c r="E1624" s="4">
        <f>IFERROR(__xludf.DUMMYFUNCTION("""COMPUTED_VALUE"""),73.0)</f>
        <v>73</v>
      </c>
      <c r="F1624" s="4">
        <f>IFERROR(__xludf.DUMMYFUNCTION("""COMPUTED_VALUE"""),10.0)</f>
        <v>10</v>
      </c>
      <c r="G1624" s="4">
        <f>IFERROR(__xludf.DUMMYFUNCTION("""COMPUTED_VALUE"""),625.0)</f>
        <v>625</v>
      </c>
      <c r="H1624" s="5">
        <f>IFERROR(__xludf.DUMMYFUNCTION("""COMPUTED_VALUE"""),3965.72)</f>
        <v>3965.72</v>
      </c>
      <c r="I1624" s="5">
        <f>IFERROR(__xludf.DUMMYFUNCTION("""COMPUTED_VALUE"""),5527.44)</f>
        <v>5527.44</v>
      </c>
      <c r="J1624" s="5">
        <f>IFERROR(__xludf.DUMMYFUNCTION("""COMPUTED_VALUE"""),4644.05)</f>
        <v>4644.05</v>
      </c>
      <c r="K1624" s="5">
        <f>IFERROR(__xludf.DUMMYFUNCTION("""COMPUTED_VALUE"""),2751.92)</f>
        <v>2751.92</v>
      </c>
      <c r="L1624" s="4">
        <f>IFERROR(__xludf.DUMMYFUNCTION("""COMPUTED_VALUE"""),17.0)</f>
        <v>17</v>
      </c>
      <c r="M1624" s="4">
        <f>IFERROR(__xludf.DUMMYFUNCTION("""COMPUTED_VALUE"""),80.0)</f>
        <v>80</v>
      </c>
      <c r="N1624" s="2" t="str">
        <f>IFERROR(__xludf.DUMMYFUNCTION("""COMPUTED_VALUE"""),"FALSO")</f>
        <v>FALSO</v>
      </c>
    </row>
    <row r="1625">
      <c r="A1625" s="2">
        <f>IFERROR(__xludf.DUMMYFUNCTION("""COMPUTED_VALUE"""),1624.0)</f>
        <v>1624</v>
      </c>
      <c r="B1625" s="2" t="str">
        <f>IFERROR(__xludf.DUMMYFUNCTION("""COMPUTED_VALUE"""),"Leann Borless")</f>
        <v>Leann Borless</v>
      </c>
      <c r="C1625" s="2" t="str">
        <f>IFERROR(__xludf.DUMMYFUNCTION("""COMPUTED_VALUE"""),"lborlesshc@storify.com")</f>
        <v>lborlesshc@storify.com</v>
      </c>
      <c r="D1625" s="4">
        <f>IFERROR(__xludf.DUMMYFUNCTION("""COMPUTED_VALUE"""),29.0)</f>
        <v>29</v>
      </c>
      <c r="E1625" s="4">
        <f>IFERROR(__xludf.DUMMYFUNCTION("""COMPUTED_VALUE"""),117.0)</f>
        <v>117</v>
      </c>
      <c r="F1625" s="4">
        <f>IFERROR(__xludf.DUMMYFUNCTION("""COMPUTED_VALUE"""),4.0)</f>
        <v>4</v>
      </c>
      <c r="G1625" s="4">
        <f>IFERROR(__xludf.DUMMYFUNCTION("""COMPUTED_VALUE"""),539.0)</f>
        <v>539</v>
      </c>
      <c r="H1625" s="5">
        <f>IFERROR(__xludf.DUMMYFUNCTION("""COMPUTED_VALUE"""),9473.01)</f>
        <v>9473.01</v>
      </c>
      <c r="I1625" s="5">
        <f>IFERROR(__xludf.DUMMYFUNCTION("""COMPUTED_VALUE"""),234.94)</f>
        <v>234.94</v>
      </c>
      <c r="J1625" s="5">
        <f>IFERROR(__xludf.DUMMYFUNCTION("""COMPUTED_VALUE"""),4662.12)</f>
        <v>4662.12</v>
      </c>
      <c r="K1625" s="5">
        <f>IFERROR(__xludf.DUMMYFUNCTION("""COMPUTED_VALUE"""),1720.74)</f>
        <v>1720.74</v>
      </c>
      <c r="L1625" s="4">
        <f>IFERROR(__xludf.DUMMYFUNCTION("""COMPUTED_VALUE"""),18.0)</f>
        <v>18</v>
      </c>
      <c r="M1625" s="4">
        <f>IFERROR(__xludf.DUMMYFUNCTION("""COMPUTED_VALUE"""),33.0)</f>
        <v>33</v>
      </c>
      <c r="N1625" s="2" t="str">
        <f>IFERROR(__xludf.DUMMYFUNCTION("""COMPUTED_VALUE"""),"VERDADERO")</f>
        <v>VERDADERO</v>
      </c>
    </row>
    <row r="1626">
      <c r="A1626" s="2">
        <f>IFERROR(__xludf.DUMMYFUNCTION("""COMPUTED_VALUE"""),1625.0)</f>
        <v>1625</v>
      </c>
      <c r="B1626" s="2" t="str">
        <f>IFERROR(__xludf.DUMMYFUNCTION("""COMPUTED_VALUE"""),"Ted Farrow")</f>
        <v>Ted Farrow</v>
      </c>
      <c r="C1626" s="2" t="str">
        <f>IFERROR(__xludf.DUMMYFUNCTION("""COMPUTED_VALUE"""),"tfarrowhd@blogtalkradio.com")</f>
        <v>tfarrowhd@blogtalkradio.com</v>
      </c>
      <c r="D1626" s="4">
        <f>IFERROR(__xludf.DUMMYFUNCTION("""COMPUTED_VALUE"""),29.0)</f>
        <v>29</v>
      </c>
      <c r="E1626" s="4">
        <f>IFERROR(__xludf.DUMMYFUNCTION("""COMPUTED_VALUE"""),81.0)</f>
        <v>81</v>
      </c>
      <c r="F1626" s="4">
        <f>IFERROR(__xludf.DUMMYFUNCTION("""COMPUTED_VALUE"""),2.0)</f>
        <v>2</v>
      </c>
      <c r="G1626" s="4">
        <f>IFERROR(__xludf.DUMMYFUNCTION("""COMPUTED_VALUE"""),409.0)</f>
        <v>409</v>
      </c>
      <c r="H1626" s="5">
        <f>IFERROR(__xludf.DUMMYFUNCTION("""COMPUTED_VALUE"""),2890.74)</f>
        <v>2890.74</v>
      </c>
      <c r="I1626" s="5">
        <f>IFERROR(__xludf.DUMMYFUNCTION("""COMPUTED_VALUE"""),964.15)</f>
        <v>964.15</v>
      </c>
      <c r="J1626" s="5">
        <f>IFERROR(__xludf.DUMMYFUNCTION("""COMPUTED_VALUE"""),9485.61)</f>
        <v>9485.61</v>
      </c>
      <c r="K1626" s="5">
        <f>IFERROR(__xludf.DUMMYFUNCTION("""COMPUTED_VALUE"""),3731.46)</f>
        <v>3731.46</v>
      </c>
      <c r="L1626" s="4">
        <f>IFERROR(__xludf.DUMMYFUNCTION("""COMPUTED_VALUE"""),7.0)</f>
        <v>7</v>
      </c>
      <c r="M1626" s="4">
        <f>IFERROR(__xludf.DUMMYFUNCTION("""COMPUTED_VALUE"""),30.0)</f>
        <v>30</v>
      </c>
      <c r="N1626" s="2" t="str">
        <f>IFERROR(__xludf.DUMMYFUNCTION("""COMPUTED_VALUE"""),"VERDADERO")</f>
        <v>VERDADERO</v>
      </c>
    </row>
    <row r="1627">
      <c r="A1627" s="2">
        <f>IFERROR(__xludf.DUMMYFUNCTION("""COMPUTED_VALUE"""),1626.0)</f>
        <v>1626</v>
      </c>
      <c r="B1627" s="2" t="str">
        <f>IFERROR(__xludf.DUMMYFUNCTION("""COMPUTED_VALUE"""),"Pavlov Aston")</f>
        <v>Pavlov Aston</v>
      </c>
      <c r="C1627" s="2" t="str">
        <f>IFERROR(__xludf.DUMMYFUNCTION("""COMPUTED_VALUE"""),"pastonhe@rakuten.co.jp")</f>
        <v>pastonhe@rakuten.co.jp</v>
      </c>
      <c r="D1627" s="4">
        <f>IFERROR(__xludf.DUMMYFUNCTION("""COMPUTED_VALUE"""),124.0)</f>
        <v>124</v>
      </c>
      <c r="E1627" s="4">
        <f>IFERROR(__xludf.DUMMYFUNCTION("""COMPUTED_VALUE"""),18.0)</f>
        <v>18</v>
      </c>
      <c r="F1627" s="4">
        <f>IFERROR(__xludf.DUMMYFUNCTION("""COMPUTED_VALUE"""),8.0)</f>
        <v>8</v>
      </c>
      <c r="G1627" s="4">
        <f>IFERROR(__xludf.DUMMYFUNCTION("""COMPUTED_VALUE"""),295.0)</f>
        <v>295</v>
      </c>
      <c r="H1627" s="5">
        <f>IFERROR(__xludf.DUMMYFUNCTION("""COMPUTED_VALUE"""),2770.51)</f>
        <v>2770.51</v>
      </c>
      <c r="I1627" s="5">
        <f>IFERROR(__xludf.DUMMYFUNCTION("""COMPUTED_VALUE"""),4974.36)</f>
        <v>4974.36</v>
      </c>
      <c r="J1627" s="5">
        <f>IFERROR(__xludf.DUMMYFUNCTION("""COMPUTED_VALUE"""),7587.09)</f>
        <v>7587.09</v>
      </c>
      <c r="K1627" s="5">
        <f>IFERROR(__xludf.DUMMYFUNCTION("""COMPUTED_VALUE"""),9355.71)</f>
        <v>9355.71</v>
      </c>
      <c r="L1627" s="4">
        <f>IFERROR(__xludf.DUMMYFUNCTION("""COMPUTED_VALUE"""),8.0)</f>
        <v>8</v>
      </c>
      <c r="M1627" s="4">
        <f>IFERROR(__xludf.DUMMYFUNCTION("""COMPUTED_VALUE"""),99.0)</f>
        <v>99</v>
      </c>
      <c r="N1627" s="2" t="str">
        <f>IFERROR(__xludf.DUMMYFUNCTION("""COMPUTED_VALUE"""),"FALSO")</f>
        <v>FALSO</v>
      </c>
    </row>
    <row r="1628">
      <c r="A1628" s="2">
        <f>IFERROR(__xludf.DUMMYFUNCTION("""COMPUTED_VALUE"""),1627.0)</f>
        <v>1627</v>
      </c>
      <c r="B1628" s="2" t="str">
        <f>IFERROR(__xludf.DUMMYFUNCTION("""COMPUTED_VALUE"""),"Loleta Loftie")</f>
        <v>Loleta Loftie</v>
      </c>
      <c r="C1628" s="2" t="str">
        <f>IFERROR(__xludf.DUMMYFUNCTION("""COMPUTED_VALUE"""),"lloftiehf@discovery.com")</f>
        <v>lloftiehf@discovery.com</v>
      </c>
      <c r="D1628" s="4">
        <f>IFERROR(__xludf.DUMMYFUNCTION("""COMPUTED_VALUE"""),65.0)</f>
        <v>65</v>
      </c>
      <c r="E1628" s="4">
        <f>IFERROR(__xludf.DUMMYFUNCTION("""COMPUTED_VALUE"""),21.0)</f>
        <v>21</v>
      </c>
      <c r="F1628" s="4">
        <f>IFERROR(__xludf.DUMMYFUNCTION("""COMPUTED_VALUE"""),4.0)</f>
        <v>4</v>
      </c>
      <c r="G1628" s="4">
        <f>IFERROR(__xludf.DUMMYFUNCTION("""COMPUTED_VALUE"""),804.0)</f>
        <v>804</v>
      </c>
      <c r="H1628" s="5">
        <f>IFERROR(__xludf.DUMMYFUNCTION("""COMPUTED_VALUE"""),6569.37)</f>
        <v>6569.37</v>
      </c>
      <c r="I1628" s="5">
        <f>IFERROR(__xludf.DUMMYFUNCTION("""COMPUTED_VALUE"""),4059.57)</f>
        <v>4059.57</v>
      </c>
      <c r="J1628" s="5">
        <f>IFERROR(__xludf.DUMMYFUNCTION("""COMPUTED_VALUE"""),3177.43)</f>
        <v>3177.43</v>
      </c>
      <c r="K1628" s="5">
        <f>IFERROR(__xludf.DUMMYFUNCTION("""COMPUTED_VALUE"""),9905.92)</f>
        <v>9905.92</v>
      </c>
      <c r="L1628" s="4">
        <f>IFERROR(__xludf.DUMMYFUNCTION("""COMPUTED_VALUE"""),8.0)</f>
        <v>8</v>
      </c>
      <c r="M1628" s="4">
        <f>IFERROR(__xludf.DUMMYFUNCTION("""COMPUTED_VALUE"""),41.0)</f>
        <v>41</v>
      </c>
      <c r="N1628" s="2" t="str">
        <f>IFERROR(__xludf.DUMMYFUNCTION("""COMPUTED_VALUE"""),"VERDADERO")</f>
        <v>VERDADERO</v>
      </c>
    </row>
    <row r="1629">
      <c r="A1629" s="2">
        <f>IFERROR(__xludf.DUMMYFUNCTION("""COMPUTED_VALUE"""),1628.0)</f>
        <v>1628</v>
      </c>
      <c r="B1629" s="2" t="str">
        <f>IFERROR(__xludf.DUMMYFUNCTION("""COMPUTED_VALUE"""),"Ayn Wallbutton")</f>
        <v>Ayn Wallbutton</v>
      </c>
      <c r="C1629" s="2" t="str">
        <f>IFERROR(__xludf.DUMMYFUNCTION("""COMPUTED_VALUE"""),"awallbuttonhg@feedburner.com")</f>
        <v>awallbuttonhg@feedburner.com</v>
      </c>
      <c r="D1629" s="4">
        <f>IFERROR(__xludf.DUMMYFUNCTION("""COMPUTED_VALUE"""),158.0)</f>
        <v>158</v>
      </c>
      <c r="E1629" s="4">
        <f>IFERROR(__xludf.DUMMYFUNCTION("""COMPUTED_VALUE"""),60.0)</f>
        <v>60</v>
      </c>
      <c r="F1629" s="4">
        <f>IFERROR(__xludf.DUMMYFUNCTION("""COMPUTED_VALUE"""),3.0)</f>
        <v>3</v>
      </c>
      <c r="G1629" s="4">
        <f>IFERROR(__xludf.DUMMYFUNCTION("""COMPUTED_VALUE"""),706.0)</f>
        <v>706</v>
      </c>
      <c r="H1629" s="5">
        <f>IFERROR(__xludf.DUMMYFUNCTION("""COMPUTED_VALUE"""),1564.32)</f>
        <v>1564.32</v>
      </c>
      <c r="I1629" s="5">
        <f>IFERROR(__xludf.DUMMYFUNCTION("""COMPUTED_VALUE"""),6090.79)</f>
        <v>6090.79</v>
      </c>
      <c r="J1629" s="5">
        <f>IFERROR(__xludf.DUMMYFUNCTION("""COMPUTED_VALUE"""),2525.11)</f>
        <v>2525.11</v>
      </c>
      <c r="K1629" s="5">
        <f>IFERROR(__xludf.DUMMYFUNCTION("""COMPUTED_VALUE"""),1998.95)</f>
        <v>1998.95</v>
      </c>
      <c r="L1629" s="4">
        <f>IFERROR(__xludf.DUMMYFUNCTION("""COMPUTED_VALUE"""),18.0)</f>
        <v>18</v>
      </c>
      <c r="M1629" s="4">
        <f>IFERROR(__xludf.DUMMYFUNCTION("""COMPUTED_VALUE"""),84.0)</f>
        <v>84</v>
      </c>
      <c r="N1629" s="2" t="str">
        <f>IFERROR(__xludf.DUMMYFUNCTION("""COMPUTED_VALUE"""),"VERDADERO")</f>
        <v>VERDADERO</v>
      </c>
    </row>
    <row r="1630">
      <c r="A1630" s="2">
        <f>IFERROR(__xludf.DUMMYFUNCTION("""COMPUTED_VALUE"""),1629.0)</f>
        <v>1629</v>
      </c>
      <c r="B1630" s="2" t="str">
        <f>IFERROR(__xludf.DUMMYFUNCTION("""COMPUTED_VALUE"""),"Sutherland Spykings")</f>
        <v>Sutherland Spykings</v>
      </c>
      <c r="C1630" s="2" t="str">
        <f>IFERROR(__xludf.DUMMYFUNCTION("""COMPUTED_VALUE"""),"sspykingshh@whitehouse.gov")</f>
        <v>sspykingshh@whitehouse.gov</v>
      </c>
      <c r="D1630" s="4">
        <f>IFERROR(__xludf.DUMMYFUNCTION("""COMPUTED_VALUE"""),37.0)</f>
        <v>37</v>
      </c>
      <c r="E1630" s="4">
        <f>IFERROR(__xludf.DUMMYFUNCTION("""COMPUTED_VALUE"""),81.0)</f>
        <v>81</v>
      </c>
      <c r="F1630" s="4">
        <f>IFERROR(__xludf.DUMMYFUNCTION("""COMPUTED_VALUE"""),2.0)</f>
        <v>2</v>
      </c>
      <c r="G1630" s="4">
        <f>IFERROR(__xludf.DUMMYFUNCTION("""COMPUTED_VALUE"""),1232.0)</f>
        <v>1232</v>
      </c>
      <c r="H1630" s="5">
        <f>IFERROR(__xludf.DUMMYFUNCTION("""COMPUTED_VALUE"""),1625.32)</f>
        <v>1625.32</v>
      </c>
      <c r="I1630" s="5">
        <f>IFERROR(__xludf.DUMMYFUNCTION("""COMPUTED_VALUE"""),8062.92)</f>
        <v>8062.92</v>
      </c>
      <c r="J1630" s="5">
        <f>IFERROR(__xludf.DUMMYFUNCTION("""COMPUTED_VALUE"""),6018.49)</f>
        <v>6018.49</v>
      </c>
      <c r="K1630" s="5">
        <f>IFERROR(__xludf.DUMMYFUNCTION("""COMPUTED_VALUE"""),8109.59)</f>
        <v>8109.59</v>
      </c>
      <c r="L1630" s="4">
        <f>IFERROR(__xludf.DUMMYFUNCTION("""COMPUTED_VALUE"""),8.0)</f>
        <v>8</v>
      </c>
      <c r="M1630" s="4">
        <f>IFERROR(__xludf.DUMMYFUNCTION("""COMPUTED_VALUE"""),8.0)</f>
        <v>8</v>
      </c>
      <c r="N1630" s="2" t="str">
        <f>IFERROR(__xludf.DUMMYFUNCTION("""COMPUTED_VALUE"""),"FALSO")</f>
        <v>FALSO</v>
      </c>
    </row>
    <row r="1631">
      <c r="A1631" s="2">
        <f>IFERROR(__xludf.DUMMYFUNCTION("""COMPUTED_VALUE"""),1630.0)</f>
        <v>1630</v>
      </c>
      <c r="B1631" s="2" t="str">
        <f>IFERROR(__xludf.DUMMYFUNCTION("""COMPUTED_VALUE"""),"Deloria Simonazzi")</f>
        <v>Deloria Simonazzi</v>
      </c>
      <c r="C1631" s="2" t="str">
        <f>IFERROR(__xludf.DUMMYFUNCTION("""COMPUTED_VALUE"""),"dsimonazzihi@geocities.com")</f>
        <v>dsimonazzihi@geocities.com</v>
      </c>
      <c r="D1631" s="4">
        <f>IFERROR(__xludf.DUMMYFUNCTION("""COMPUTED_VALUE"""),29.0)</f>
        <v>29</v>
      </c>
      <c r="E1631" s="4">
        <f>IFERROR(__xludf.DUMMYFUNCTION("""COMPUTED_VALUE"""),120.0)</f>
        <v>120</v>
      </c>
      <c r="F1631" s="4">
        <f>IFERROR(__xludf.DUMMYFUNCTION("""COMPUTED_VALUE"""),5.0)</f>
        <v>5</v>
      </c>
      <c r="G1631" s="4">
        <f>IFERROR(__xludf.DUMMYFUNCTION("""COMPUTED_VALUE"""),309.0)</f>
        <v>309</v>
      </c>
      <c r="H1631" s="5">
        <f>IFERROR(__xludf.DUMMYFUNCTION("""COMPUTED_VALUE"""),2434.14)</f>
        <v>2434.14</v>
      </c>
      <c r="I1631" s="5">
        <f>IFERROR(__xludf.DUMMYFUNCTION("""COMPUTED_VALUE"""),2096.18)</f>
        <v>2096.18</v>
      </c>
      <c r="J1631" s="5">
        <f>IFERROR(__xludf.DUMMYFUNCTION("""COMPUTED_VALUE"""),9357.0)</f>
        <v>9357</v>
      </c>
      <c r="K1631" s="5">
        <f>IFERROR(__xludf.DUMMYFUNCTION("""COMPUTED_VALUE"""),1951.68)</f>
        <v>1951.68</v>
      </c>
      <c r="L1631" s="4">
        <f>IFERROR(__xludf.DUMMYFUNCTION("""COMPUTED_VALUE"""),6.0)</f>
        <v>6</v>
      </c>
      <c r="M1631" s="4">
        <f>IFERROR(__xludf.DUMMYFUNCTION("""COMPUTED_VALUE"""),100.0)</f>
        <v>100</v>
      </c>
      <c r="N1631" s="2" t="str">
        <f>IFERROR(__xludf.DUMMYFUNCTION("""COMPUTED_VALUE"""),"FALSO")</f>
        <v>FALSO</v>
      </c>
    </row>
    <row r="1632">
      <c r="A1632" s="2">
        <f>IFERROR(__xludf.DUMMYFUNCTION("""COMPUTED_VALUE"""),1631.0)</f>
        <v>1631</v>
      </c>
      <c r="B1632" s="2" t="str">
        <f>IFERROR(__xludf.DUMMYFUNCTION("""COMPUTED_VALUE"""),"Rochelle Moodie")</f>
        <v>Rochelle Moodie</v>
      </c>
      <c r="C1632" s="2" t="str">
        <f>IFERROR(__xludf.DUMMYFUNCTION("""COMPUTED_VALUE"""),"rmoodiehj@ask.com")</f>
        <v>rmoodiehj@ask.com</v>
      </c>
      <c r="D1632" s="4">
        <f>IFERROR(__xludf.DUMMYFUNCTION("""COMPUTED_VALUE"""),29.0)</f>
        <v>29</v>
      </c>
      <c r="E1632" s="4">
        <f>IFERROR(__xludf.DUMMYFUNCTION("""COMPUTED_VALUE"""),81.0)</f>
        <v>81</v>
      </c>
      <c r="F1632" s="4">
        <f>IFERROR(__xludf.DUMMYFUNCTION("""COMPUTED_VALUE"""),2.0)</f>
        <v>2</v>
      </c>
      <c r="G1632" s="4">
        <f>IFERROR(__xludf.DUMMYFUNCTION("""COMPUTED_VALUE"""),16.0)</f>
        <v>16</v>
      </c>
      <c r="H1632" s="5">
        <f>IFERROR(__xludf.DUMMYFUNCTION("""COMPUTED_VALUE"""),7737.71)</f>
        <v>7737.71</v>
      </c>
      <c r="I1632" s="5">
        <f>IFERROR(__xludf.DUMMYFUNCTION("""COMPUTED_VALUE"""),5697.42)</f>
        <v>5697.42</v>
      </c>
      <c r="J1632" s="5">
        <f>IFERROR(__xludf.DUMMYFUNCTION("""COMPUTED_VALUE"""),4840.45)</f>
        <v>4840.45</v>
      </c>
      <c r="K1632" s="5">
        <f>IFERROR(__xludf.DUMMYFUNCTION("""COMPUTED_VALUE"""),4436.62)</f>
        <v>4436.62</v>
      </c>
      <c r="L1632" s="4">
        <f>IFERROR(__xludf.DUMMYFUNCTION("""COMPUTED_VALUE"""),13.0)</f>
        <v>13</v>
      </c>
      <c r="M1632" s="4">
        <f>IFERROR(__xludf.DUMMYFUNCTION("""COMPUTED_VALUE"""),59.0)</f>
        <v>59</v>
      </c>
      <c r="N1632" s="2" t="str">
        <f>IFERROR(__xludf.DUMMYFUNCTION("""COMPUTED_VALUE"""),"FALSO")</f>
        <v>FALSO</v>
      </c>
    </row>
    <row r="1633">
      <c r="A1633" s="2">
        <f>IFERROR(__xludf.DUMMYFUNCTION("""COMPUTED_VALUE"""),1632.0)</f>
        <v>1632</v>
      </c>
      <c r="B1633" s="2" t="str">
        <f>IFERROR(__xludf.DUMMYFUNCTION("""COMPUTED_VALUE"""),"Edy Apedaile")</f>
        <v>Edy Apedaile</v>
      </c>
      <c r="C1633" s="2" t="str">
        <f>IFERROR(__xludf.DUMMYFUNCTION("""COMPUTED_VALUE"""),"eapedailehk@alexa.com")</f>
        <v>eapedailehk@alexa.com</v>
      </c>
      <c r="D1633" s="4">
        <f>IFERROR(__xludf.DUMMYFUNCTION("""COMPUTED_VALUE"""),89.0)</f>
        <v>89</v>
      </c>
      <c r="E1633" s="4">
        <f>IFERROR(__xludf.DUMMYFUNCTION("""COMPUTED_VALUE"""),81.0)</f>
        <v>81</v>
      </c>
      <c r="F1633" s="4">
        <f>IFERROR(__xludf.DUMMYFUNCTION("""COMPUTED_VALUE"""),2.0)</f>
        <v>2</v>
      </c>
      <c r="G1633" s="4">
        <f>IFERROR(__xludf.DUMMYFUNCTION("""COMPUTED_VALUE"""),1490.0)</f>
        <v>1490</v>
      </c>
      <c r="H1633" s="5">
        <f>IFERROR(__xludf.DUMMYFUNCTION("""COMPUTED_VALUE"""),2694.4)</f>
        <v>2694.4</v>
      </c>
      <c r="I1633" s="5">
        <f>IFERROR(__xludf.DUMMYFUNCTION("""COMPUTED_VALUE"""),3145.22)</f>
        <v>3145.22</v>
      </c>
      <c r="J1633" s="5">
        <f>IFERROR(__xludf.DUMMYFUNCTION("""COMPUTED_VALUE"""),4532.0)</f>
        <v>4532</v>
      </c>
      <c r="K1633" s="5">
        <f>IFERROR(__xludf.DUMMYFUNCTION("""COMPUTED_VALUE"""),5618.7)</f>
        <v>5618.7</v>
      </c>
      <c r="L1633" s="4">
        <f>IFERROR(__xludf.DUMMYFUNCTION("""COMPUTED_VALUE"""),1.0)</f>
        <v>1</v>
      </c>
      <c r="M1633" s="4">
        <f>IFERROR(__xludf.DUMMYFUNCTION("""COMPUTED_VALUE"""),17.0)</f>
        <v>17</v>
      </c>
      <c r="N1633" s="2" t="str">
        <f>IFERROR(__xludf.DUMMYFUNCTION("""COMPUTED_VALUE"""),"VERDADERO")</f>
        <v>VERDADERO</v>
      </c>
    </row>
    <row r="1634">
      <c r="A1634" s="2">
        <f>IFERROR(__xludf.DUMMYFUNCTION("""COMPUTED_VALUE"""),1633.0)</f>
        <v>1633</v>
      </c>
      <c r="B1634" s="2" t="str">
        <f>IFERROR(__xludf.DUMMYFUNCTION("""COMPUTED_VALUE"""),"Roslyn Sherrock")</f>
        <v>Roslyn Sherrock</v>
      </c>
      <c r="C1634" s="2" t="str">
        <f>IFERROR(__xludf.DUMMYFUNCTION("""COMPUTED_VALUE"""),"rsherrockhl@google.ru")</f>
        <v>rsherrockhl@google.ru</v>
      </c>
      <c r="D1634" s="4">
        <f>IFERROR(__xludf.DUMMYFUNCTION("""COMPUTED_VALUE"""),158.0)</f>
        <v>158</v>
      </c>
      <c r="E1634" s="4">
        <f>IFERROR(__xludf.DUMMYFUNCTION("""COMPUTED_VALUE"""),81.0)</f>
        <v>81</v>
      </c>
      <c r="F1634" s="4">
        <f>IFERROR(__xludf.DUMMYFUNCTION("""COMPUTED_VALUE"""),2.0)</f>
        <v>2</v>
      </c>
      <c r="G1634" s="4">
        <f>IFERROR(__xludf.DUMMYFUNCTION("""COMPUTED_VALUE"""),584.0)</f>
        <v>584</v>
      </c>
      <c r="H1634" s="5">
        <f>IFERROR(__xludf.DUMMYFUNCTION("""COMPUTED_VALUE"""),4772.67)</f>
        <v>4772.67</v>
      </c>
      <c r="I1634" s="5">
        <f>IFERROR(__xludf.DUMMYFUNCTION("""COMPUTED_VALUE"""),1210.66)</f>
        <v>1210.66</v>
      </c>
      <c r="J1634" s="5">
        <f>IFERROR(__xludf.DUMMYFUNCTION("""COMPUTED_VALUE"""),6613.6)</f>
        <v>6613.6</v>
      </c>
      <c r="K1634" s="5">
        <f>IFERROR(__xludf.DUMMYFUNCTION("""COMPUTED_VALUE"""),8404.12)</f>
        <v>8404.12</v>
      </c>
      <c r="L1634" s="4">
        <f>IFERROR(__xludf.DUMMYFUNCTION("""COMPUTED_VALUE"""),20.0)</f>
        <v>20</v>
      </c>
      <c r="M1634" s="4">
        <f>IFERROR(__xludf.DUMMYFUNCTION("""COMPUTED_VALUE"""),52.0)</f>
        <v>52</v>
      </c>
      <c r="N1634" s="2" t="str">
        <f>IFERROR(__xludf.DUMMYFUNCTION("""COMPUTED_VALUE"""),"VERDADERO")</f>
        <v>VERDADERO</v>
      </c>
    </row>
    <row r="1635">
      <c r="A1635" s="2">
        <f>IFERROR(__xludf.DUMMYFUNCTION("""COMPUTED_VALUE"""),1634.0)</f>
        <v>1634</v>
      </c>
      <c r="B1635" s="2" t="str">
        <f>IFERROR(__xludf.DUMMYFUNCTION("""COMPUTED_VALUE"""),"Alberto Littlechild")</f>
        <v>Alberto Littlechild</v>
      </c>
      <c r="C1635" s="2" t="str">
        <f>IFERROR(__xludf.DUMMYFUNCTION("""COMPUTED_VALUE"""),"alittlechildhm@vimeo.com")</f>
        <v>alittlechildhm@vimeo.com</v>
      </c>
      <c r="D1635" s="4">
        <f>IFERROR(__xludf.DUMMYFUNCTION("""COMPUTED_VALUE"""),65.0)</f>
        <v>65</v>
      </c>
      <c r="E1635" s="4">
        <f>IFERROR(__xludf.DUMMYFUNCTION("""COMPUTED_VALUE"""),95.0)</f>
        <v>95</v>
      </c>
      <c r="F1635" s="4">
        <f>IFERROR(__xludf.DUMMYFUNCTION("""COMPUTED_VALUE"""),13.0)</f>
        <v>13</v>
      </c>
      <c r="G1635" s="4">
        <f>IFERROR(__xludf.DUMMYFUNCTION("""COMPUTED_VALUE"""),719.0)</f>
        <v>719</v>
      </c>
      <c r="H1635" s="5">
        <f>IFERROR(__xludf.DUMMYFUNCTION("""COMPUTED_VALUE"""),9573.5)</f>
        <v>9573.5</v>
      </c>
      <c r="I1635" s="5">
        <f>IFERROR(__xludf.DUMMYFUNCTION("""COMPUTED_VALUE"""),6815.04)</f>
        <v>6815.04</v>
      </c>
      <c r="J1635" s="5">
        <f>IFERROR(__xludf.DUMMYFUNCTION("""COMPUTED_VALUE"""),4483.05)</f>
        <v>4483.05</v>
      </c>
      <c r="K1635" s="5">
        <f>IFERROR(__xludf.DUMMYFUNCTION("""COMPUTED_VALUE"""),2688.64)</f>
        <v>2688.64</v>
      </c>
      <c r="L1635" s="4">
        <f>IFERROR(__xludf.DUMMYFUNCTION("""COMPUTED_VALUE"""),1.0)</f>
        <v>1</v>
      </c>
      <c r="M1635" s="4">
        <f>IFERROR(__xludf.DUMMYFUNCTION("""COMPUTED_VALUE"""),14.0)</f>
        <v>14</v>
      </c>
      <c r="N1635" s="2" t="str">
        <f>IFERROR(__xludf.DUMMYFUNCTION("""COMPUTED_VALUE"""),"VERDADERO")</f>
        <v>VERDADERO</v>
      </c>
    </row>
    <row r="1636">
      <c r="A1636" s="2">
        <f>IFERROR(__xludf.DUMMYFUNCTION("""COMPUTED_VALUE"""),1635.0)</f>
        <v>1635</v>
      </c>
      <c r="B1636" s="2" t="str">
        <f>IFERROR(__xludf.DUMMYFUNCTION("""COMPUTED_VALUE"""),"Luis Shackleford")</f>
        <v>Luis Shackleford</v>
      </c>
      <c r="C1636" s="2" t="str">
        <f>IFERROR(__xludf.DUMMYFUNCTION("""COMPUTED_VALUE"""),"lshacklefordhn@webmd.com")</f>
        <v>lshacklefordhn@webmd.com</v>
      </c>
      <c r="D1636" s="4">
        <f>IFERROR(__xludf.DUMMYFUNCTION("""COMPUTED_VALUE"""),33.0)</f>
        <v>33</v>
      </c>
      <c r="E1636" s="4">
        <f>IFERROR(__xludf.DUMMYFUNCTION("""COMPUTED_VALUE"""),81.0)</f>
        <v>81</v>
      </c>
      <c r="F1636" s="4">
        <f>IFERROR(__xludf.DUMMYFUNCTION("""COMPUTED_VALUE"""),2.0)</f>
        <v>2</v>
      </c>
      <c r="G1636" s="4">
        <f>IFERROR(__xludf.DUMMYFUNCTION("""COMPUTED_VALUE"""),1507.0)</f>
        <v>1507</v>
      </c>
      <c r="H1636" s="5">
        <f>IFERROR(__xludf.DUMMYFUNCTION("""COMPUTED_VALUE"""),3637.39)</f>
        <v>3637.39</v>
      </c>
      <c r="I1636" s="5">
        <f>IFERROR(__xludf.DUMMYFUNCTION("""COMPUTED_VALUE"""),1198.92)</f>
        <v>1198.92</v>
      </c>
      <c r="J1636" s="5">
        <f>IFERROR(__xludf.DUMMYFUNCTION("""COMPUTED_VALUE"""),4597.9)</f>
        <v>4597.9</v>
      </c>
      <c r="K1636" s="5">
        <f>IFERROR(__xludf.DUMMYFUNCTION("""COMPUTED_VALUE"""),5810.68)</f>
        <v>5810.68</v>
      </c>
      <c r="L1636" s="4">
        <f>IFERROR(__xludf.DUMMYFUNCTION("""COMPUTED_VALUE"""),11.0)</f>
        <v>11</v>
      </c>
      <c r="M1636" s="4">
        <f>IFERROR(__xludf.DUMMYFUNCTION("""COMPUTED_VALUE"""),91.0)</f>
        <v>91</v>
      </c>
      <c r="N1636" s="2" t="str">
        <f>IFERROR(__xludf.DUMMYFUNCTION("""COMPUTED_VALUE"""),"VERDADERO")</f>
        <v>VERDADERO</v>
      </c>
    </row>
    <row r="1637">
      <c r="A1637" s="2">
        <f>IFERROR(__xludf.DUMMYFUNCTION("""COMPUTED_VALUE"""),1636.0)</f>
        <v>1636</v>
      </c>
      <c r="B1637" s="2" t="str">
        <f>IFERROR(__xludf.DUMMYFUNCTION("""COMPUTED_VALUE"""),"Hilly Phippen")</f>
        <v>Hilly Phippen</v>
      </c>
      <c r="C1637" s="2" t="str">
        <f>IFERROR(__xludf.DUMMYFUNCTION("""COMPUTED_VALUE"""),"hphippenho@nyu.edu")</f>
        <v>hphippenho@nyu.edu</v>
      </c>
      <c r="D1637" s="4">
        <f>IFERROR(__xludf.DUMMYFUNCTION("""COMPUTED_VALUE"""),157.0)</f>
        <v>157</v>
      </c>
      <c r="E1637" s="4">
        <f>IFERROR(__xludf.DUMMYFUNCTION("""COMPUTED_VALUE"""),5.0)</f>
        <v>5</v>
      </c>
      <c r="F1637" s="4">
        <f>IFERROR(__xludf.DUMMYFUNCTION("""COMPUTED_VALUE"""),7.0)</f>
        <v>7</v>
      </c>
      <c r="G1637" s="4">
        <f>IFERROR(__xludf.DUMMYFUNCTION("""COMPUTED_VALUE"""),1241.0)</f>
        <v>1241</v>
      </c>
      <c r="H1637" s="5">
        <f>IFERROR(__xludf.DUMMYFUNCTION("""COMPUTED_VALUE"""),2698.89)</f>
        <v>2698.89</v>
      </c>
      <c r="I1637" s="5">
        <f>IFERROR(__xludf.DUMMYFUNCTION("""COMPUTED_VALUE"""),518.48)</f>
        <v>518.48</v>
      </c>
      <c r="J1637" s="5">
        <f>IFERROR(__xludf.DUMMYFUNCTION("""COMPUTED_VALUE"""),8419.5)</f>
        <v>8419.5</v>
      </c>
      <c r="K1637" s="5">
        <f>IFERROR(__xludf.DUMMYFUNCTION("""COMPUTED_VALUE"""),6326.04)</f>
        <v>6326.04</v>
      </c>
      <c r="L1637" s="4">
        <f>IFERROR(__xludf.DUMMYFUNCTION("""COMPUTED_VALUE"""),19.0)</f>
        <v>19</v>
      </c>
      <c r="M1637" s="4">
        <f>IFERROR(__xludf.DUMMYFUNCTION("""COMPUTED_VALUE"""),49.0)</f>
        <v>49</v>
      </c>
      <c r="N1637" s="2" t="str">
        <f>IFERROR(__xludf.DUMMYFUNCTION("""COMPUTED_VALUE"""),"FALSO")</f>
        <v>FALSO</v>
      </c>
    </row>
    <row r="1638">
      <c r="A1638" s="2">
        <f>IFERROR(__xludf.DUMMYFUNCTION("""COMPUTED_VALUE"""),1637.0)</f>
        <v>1637</v>
      </c>
      <c r="B1638" s="2" t="str">
        <f>IFERROR(__xludf.DUMMYFUNCTION("""COMPUTED_VALUE"""),"Marchall Swyer")</f>
        <v>Marchall Swyer</v>
      </c>
      <c r="C1638" s="2" t="str">
        <f>IFERROR(__xludf.DUMMYFUNCTION("""COMPUTED_VALUE"""),"mswyerhp@hibu.com")</f>
        <v>mswyerhp@hibu.com</v>
      </c>
      <c r="D1638" s="4">
        <f>IFERROR(__xludf.DUMMYFUNCTION("""COMPUTED_VALUE"""),43.0)</f>
        <v>43</v>
      </c>
      <c r="E1638" s="4">
        <f>IFERROR(__xludf.DUMMYFUNCTION("""COMPUTED_VALUE"""),40.0)</f>
        <v>40</v>
      </c>
      <c r="F1638" s="4">
        <f>IFERROR(__xludf.DUMMYFUNCTION("""COMPUTED_VALUE"""),1.0)</f>
        <v>1</v>
      </c>
      <c r="G1638" s="4">
        <f>IFERROR(__xludf.DUMMYFUNCTION("""COMPUTED_VALUE"""),1057.0)</f>
        <v>1057</v>
      </c>
      <c r="H1638" s="5">
        <f>IFERROR(__xludf.DUMMYFUNCTION("""COMPUTED_VALUE"""),4253.21)</f>
        <v>4253.21</v>
      </c>
      <c r="I1638" s="5">
        <f>IFERROR(__xludf.DUMMYFUNCTION("""COMPUTED_VALUE"""),2813.48)</f>
        <v>2813.48</v>
      </c>
      <c r="J1638" s="5">
        <f>IFERROR(__xludf.DUMMYFUNCTION("""COMPUTED_VALUE"""),2862.44)</f>
        <v>2862.44</v>
      </c>
      <c r="K1638" s="5">
        <f>IFERROR(__xludf.DUMMYFUNCTION("""COMPUTED_VALUE"""),7413.96)</f>
        <v>7413.96</v>
      </c>
      <c r="L1638" s="4">
        <f>IFERROR(__xludf.DUMMYFUNCTION("""COMPUTED_VALUE"""),18.0)</f>
        <v>18</v>
      </c>
      <c r="M1638" s="4">
        <f>IFERROR(__xludf.DUMMYFUNCTION("""COMPUTED_VALUE"""),6.0)</f>
        <v>6</v>
      </c>
      <c r="N1638" s="2" t="str">
        <f>IFERROR(__xludf.DUMMYFUNCTION("""COMPUTED_VALUE"""),"FALSO")</f>
        <v>FALSO</v>
      </c>
    </row>
    <row r="1639">
      <c r="A1639" s="2">
        <f>IFERROR(__xludf.DUMMYFUNCTION("""COMPUTED_VALUE"""),1638.0)</f>
        <v>1638</v>
      </c>
      <c r="B1639" s="2" t="str">
        <f>IFERROR(__xludf.DUMMYFUNCTION("""COMPUTED_VALUE"""),"Lori Pauleau")</f>
        <v>Lori Pauleau</v>
      </c>
      <c r="C1639" s="2" t="str">
        <f>IFERROR(__xludf.DUMMYFUNCTION("""COMPUTED_VALUE"""),"lpauleauhq@angelfire.com")</f>
        <v>lpauleauhq@angelfire.com</v>
      </c>
      <c r="D1639" s="4">
        <f>IFERROR(__xludf.DUMMYFUNCTION("""COMPUTED_VALUE"""),24.0)</f>
        <v>24</v>
      </c>
      <c r="E1639" s="4">
        <f>IFERROR(__xludf.DUMMYFUNCTION("""COMPUTED_VALUE"""),14.0)</f>
        <v>14</v>
      </c>
      <c r="F1639" s="4">
        <f>IFERROR(__xludf.DUMMYFUNCTION("""COMPUTED_VALUE"""),6.0)</f>
        <v>6</v>
      </c>
      <c r="G1639" s="4">
        <f>IFERROR(__xludf.DUMMYFUNCTION("""COMPUTED_VALUE"""),350.0)</f>
        <v>350</v>
      </c>
      <c r="H1639" s="5">
        <f>IFERROR(__xludf.DUMMYFUNCTION("""COMPUTED_VALUE"""),3743.19)</f>
        <v>3743.19</v>
      </c>
      <c r="I1639" s="5">
        <f>IFERROR(__xludf.DUMMYFUNCTION("""COMPUTED_VALUE"""),6326.03)</f>
        <v>6326.03</v>
      </c>
      <c r="J1639" s="5">
        <f>IFERROR(__xludf.DUMMYFUNCTION("""COMPUTED_VALUE"""),6727.01)</f>
        <v>6727.01</v>
      </c>
      <c r="K1639" s="5">
        <f>IFERROR(__xludf.DUMMYFUNCTION("""COMPUTED_VALUE"""),1785.28)</f>
        <v>1785.28</v>
      </c>
      <c r="L1639" s="4">
        <f>IFERROR(__xludf.DUMMYFUNCTION("""COMPUTED_VALUE"""),18.0)</f>
        <v>18</v>
      </c>
      <c r="M1639" s="4">
        <f>IFERROR(__xludf.DUMMYFUNCTION("""COMPUTED_VALUE"""),66.0)</f>
        <v>66</v>
      </c>
      <c r="N1639" s="2" t="str">
        <f>IFERROR(__xludf.DUMMYFUNCTION("""COMPUTED_VALUE"""),"FALSO")</f>
        <v>FALSO</v>
      </c>
    </row>
    <row r="1640">
      <c r="A1640" s="2">
        <f>IFERROR(__xludf.DUMMYFUNCTION("""COMPUTED_VALUE"""),1639.0)</f>
        <v>1639</v>
      </c>
      <c r="B1640" s="2" t="str">
        <f>IFERROR(__xludf.DUMMYFUNCTION("""COMPUTED_VALUE"""),"Rennie Garaway")</f>
        <v>Rennie Garaway</v>
      </c>
      <c r="C1640" s="2" t="str">
        <f>IFERROR(__xludf.DUMMYFUNCTION("""COMPUTED_VALUE"""),"rgarawayhr@utexas.edu")</f>
        <v>rgarawayhr@utexas.edu</v>
      </c>
      <c r="D1640" s="4">
        <f>IFERROR(__xludf.DUMMYFUNCTION("""COMPUTED_VALUE"""),65.0)</f>
        <v>65</v>
      </c>
      <c r="E1640" s="4">
        <f>IFERROR(__xludf.DUMMYFUNCTION("""COMPUTED_VALUE"""),21.0)</f>
        <v>21</v>
      </c>
      <c r="F1640" s="4">
        <f>IFERROR(__xludf.DUMMYFUNCTION("""COMPUTED_VALUE"""),4.0)</f>
        <v>4</v>
      </c>
      <c r="G1640" s="4">
        <f>IFERROR(__xludf.DUMMYFUNCTION("""COMPUTED_VALUE"""),553.0)</f>
        <v>553</v>
      </c>
      <c r="H1640" s="5">
        <f>IFERROR(__xludf.DUMMYFUNCTION("""COMPUTED_VALUE"""),4014.07)</f>
        <v>4014.07</v>
      </c>
      <c r="I1640" s="5">
        <f>IFERROR(__xludf.DUMMYFUNCTION("""COMPUTED_VALUE"""),3293.74)</f>
        <v>3293.74</v>
      </c>
      <c r="J1640" s="5">
        <f>IFERROR(__xludf.DUMMYFUNCTION("""COMPUTED_VALUE"""),2513.22)</f>
        <v>2513.22</v>
      </c>
      <c r="K1640" s="5">
        <f>IFERROR(__xludf.DUMMYFUNCTION("""COMPUTED_VALUE"""),4856.66)</f>
        <v>4856.66</v>
      </c>
      <c r="L1640" s="4">
        <f>IFERROR(__xludf.DUMMYFUNCTION("""COMPUTED_VALUE"""),6.0)</f>
        <v>6</v>
      </c>
      <c r="M1640" s="4">
        <f>IFERROR(__xludf.DUMMYFUNCTION("""COMPUTED_VALUE"""),92.0)</f>
        <v>92</v>
      </c>
      <c r="N1640" s="2" t="str">
        <f>IFERROR(__xludf.DUMMYFUNCTION("""COMPUTED_VALUE"""),"VERDADERO")</f>
        <v>VERDADERO</v>
      </c>
    </row>
    <row r="1641">
      <c r="A1641" s="2">
        <f>IFERROR(__xludf.DUMMYFUNCTION("""COMPUTED_VALUE"""),1640.0)</f>
        <v>1640</v>
      </c>
      <c r="B1641" s="2" t="str">
        <f>IFERROR(__xludf.DUMMYFUNCTION("""COMPUTED_VALUE"""),"Ketti Antoniewski")</f>
        <v>Ketti Antoniewski</v>
      </c>
      <c r="C1641" s="2" t="str">
        <f>IFERROR(__xludf.DUMMYFUNCTION("""COMPUTED_VALUE"""),"kantoniewskihs@fotki.com")</f>
        <v>kantoniewskihs@fotki.com</v>
      </c>
      <c r="D1641" s="4">
        <f>IFERROR(__xludf.DUMMYFUNCTION("""COMPUTED_VALUE"""),124.0)</f>
        <v>124</v>
      </c>
      <c r="E1641" s="4">
        <f>IFERROR(__xludf.DUMMYFUNCTION("""COMPUTED_VALUE"""),107.0)</f>
        <v>107</v>
      </c>
      <c r="F1641" s="4">
        <f>IFERROR(__xludf.DUMMYFUNCTION("""COMPUTED_VALUE"""),5.0)</f>
        <v>5</v>
      </c>
      <c r="G1641" s="4">
        <f>IFERROR(__xludf.DUMMYFUNCTION("""COMPUTED_VALUE"""),1088.0)</f>
        <v>1088</v>
      </c>
      <c r="H1641" s="5">
        <f>IFERROR(__xludf.DUMMYFUNCTION("""COMPUTED_VALUE"""),5656.48)</f>
        <v>5656.48</v>
      </c>
      <c r="I1641" s="5">
        <f>IFERROR(__xludf.DUMMYFUNCTION("""COMPUTED_VALUE"""),710.67)</f>
        <v>710.67</v>
      </c>
      <c r="J1641" s="5">
        <f>IFERROR(__xludf.DUMMYFUNCTION("""COMPUTED_VALUE"""),2036.41)</f>
        <v>2036.41</v>
      </c>
      <c r="K1641" s="5">
        <f>IFERROR(__xludf.DUMMYFUNCTION("""COMPUTED_VALUE"""),8921.42)</f>
        <v>8921.42</v>
      </c>
      <c r="L1641" s="4">
        <f>IFERROR(__xludf.DUMMYFUNCTION("""COMPUTED_VALUE"""),9.0)</f>
        <v>9</v>
      </c>
      <c r="M1641" s="4">
        <f>IFERROR(__xludf.DUMMYFUNCTION("""COMPUTED_VALUE"""),93.0)</f>
        <v>93</v>
      </c>
      <c r="N1641" s="2" t="str">
        <f>IFERROR(__xludf.DUMMYFUNCTION("""COMPUTED_VALUE"""),"VERDADERO")</f>
        <v>VERDADERO</v>
      </c>
    </row>
    <row r="1642">
      <c r="A1642" s="2">
        <f>IFERROR(__xludf.DUMMYFUNCTION("""COMPUTED_VALUE"""),1641.0)</f>
        <v>1641</v>
      </c>
      <c r="B1642" s="2" t="str">
        <f>IFERROR(__xludf.DUMMYFUNCTION("""COMPUTED_VALUE"""),"Gaylor Klimmek")</f>
        <v>Gaylor Klimmek</v>
      </c>
      <c r="C1642" s="2" t="str">
        <f>IFERROR(__xludf.DUMMYFUNCTION("""COMPUTED_VALUE"""),"gklimmekht@dailymail.co.uk")</f>
        <v>gklimmekht@dailymail.co.uk</v>
      </c>
      <c r="D1642" s="4">
        <f>IFERROR(__xludf.DUMMYFUNCTION("""COMPUTED_VALUE"""),136.0)</f>
        <v>136</v>
      </c>
      <c r="E1642" s="4">
        <f>IFERROR(__xludf.DUMMYFUNCTION("""COMPUTED_VALUE"""),104.0)</f>
        <v>104</v>
      </c>
      <c r="F1642" s="4">
        <f>IFERROR(__xludf.DUMMYFUNCTION("""COMPUTED_VALUE"""),11.0)</f>
        <v>11</v>
      </c>
      <c r="G1642" s="4">
        <f>IFERROR(__xludf.DUMMYFUNCTION("""COMPUTED_VALUE"""),1187.0)</f>
        <v>1187</v>
      </c>
      <c r="H1642" s="5">
        <f>IFERROR(__xludf.DUMMYFUNCTION("""COMPUTED_VALUE"""),6657.57)</f>
        <v>6657.57</v>
      </c>
      <c r="I1642" s="5">
        <f>IFERROR(__xludf.DUMMYFUNCTION("""COMPUTED_VALUE"""),8775.07)</f>
        <v>8775.07</v>
      </c>
      <c r="J1642" s="5">
        <f>IFERROR(__xludf.DUMMYFUNCTION("""COMPUTED_VALUE"""),1671.38)</f>
        <v>1671.38</v>
      </c>
      <c r="K1642" s="5">
        <f>IFERROR(__xludf.DUMMYFUNCTION("""COMPUTED_VALUE"""),3254.6)</f>
        <v>3254.6</v>
      </c>
      <c r="L1642" s="4">
        <f>IFERROR(__xludf.DUMMYFUNCTION("""COMPUTED_VALUE"""),13.0)</f>
        <v>13</v>
      </c>
      <c r="M1642" s="4">
        <f>IFERROR(__xludf.DUMMYFUNCTION("""COMPUTED_VALUE"""),80.0)</f>
        <v>80</v>
      </c>
      <c r="N1642" s="2" t="str">
        <f>IFERROR(__xludf.DUMMYFUNCTION("""COMPUTED_VALUE"""),"FALSO")</f>
        <v>FALSO</v>
      </c>
    </row>
    <row r="1643">
      <c r="A1643" s="2">
        <f>IFERROR(__xludf.DUMMYFUNCTION("""COMPUTED_VALUE"""),1642.0)</f>
        <v>1642</v>
      </c>
      <c r="B1643" s="2" t="str">
        <f>IFERROR(__xludf.DUMMYFUNCTION("""COMPUTED_VALUE"""),"Cassondra Siddens")</f>
        <v>Cassondra Siddens</v>
      </c>
      <c r="C1643" s="2" t="str">
        <f>IFERROR(__xludf.DUMMYFUNCTION("""COMPUTED_VALUE"""),"csiddenshu@sitemeter.com")</f>
        <v>csiddenshu@sitemeter.com</v>
      </c>
      <c r="D1643" s="4">
        <f>IFERROR(__xludf.DUMMYFUNCTION("""COMPUTED_VALUE"""),30.0)</f>
        <v>30</v>
      </c>
      <c r="E1643" s="4">
        <f>IFERROR(__xludf.DUMMYFUNCTION("""COMPUTED_VALUE"""),112.0)</f>
        <v>112</v>
      </c>
      <c r="F1643" s="4">
        <f>IFERROR(__xludf.DUMMYFUNCTION("""COMPUTED_VALUE"""),11.0)</f>
        <v>11</v>
      </c>
      <c r="G1643" s="4">
        <f>IFERROR(__xludf.DUMMYFUNCTION("""COMPUTED_VALUE"""),1381.0)</f>
        <v>1381</v>
      </c>
      <c r="H1643" s="5">
        <f>IFERROR(__xludf.DUMMYFUNCTION("""COMPUTED_VALUE"""),4731.81)</f>
        <v>4731.81</v>
      </c>
      <c r="I1643" s="5">
        <f>IFERROR(__xludf.DUMMYFUNCTION("""COMPUTED_VALUE"""),4827.59)</f>
        <v>4827.59</v>
      </c>
      <c r="J1643" s="5">
        <f>IFERROR(__xludf.DUMMYFUNCTION("""COMPUTED_VALUE"""),8882.44)</f>
        <v>8882.44</v>
      </c>
      <c r="K1643" s="5">
        <f>IFERROR(__xludf.DUMMYFUNCTION("""COMPUTED_VALUE"""),6476.54)</f>
        <v>6476.54</v>
      </c>
      <c r="L1643" s="4">
        <f>IFERROR(__xludf.DUMMYFUNCTION("""COMPUTED_VALUE"""),13.0)</f>
        <v>13</v>
      </c>
      <c r="M1643" s="4">
        <f>IFERROR(__xludf.DUMMYFUNCTION("""COMPUTED_VALUE"""),24.0)</f>
        <v>24</v>
      </c>
      <c r="N1643" s="2" t="str">
        <f>IFERROR(__xludf.DUMMYFUNCTION("""COMPUTED_VALUE"""),"FALSO")</f>
        <v>FALSO</v>
      </c>
    </row>
    <row r="1644">
      <c r="A1644" s="2">
        <f>IFERROR(__xludf.DUMMYFUNCTION("""COMPUTED_VALUE"""),1643.0)</f>
        <v>1643</v>
      </c>
      <c r="B1644" s="2" t="str">
        <f>IFERROR(__xludf.DUMMYFUNCTION("""COMPUTED_VALUE"""),"Jordana Didsbury")</f>
        <v>Jordana Didsbury</v>
      </c>
      <c r="C1644" s="2" t="str">
        <f>IFERROR(__xludf.DUMMYFUNCTION("""COMPUTED_VALUE"""),"jdidsburyhv@simplemachines.org")</f>
        <v>jdidsburyhv@simplemachines.org</v>
      </c>
      <c r="D1644" s="4">
        <f>IFERROR(__xludf.DUMMYFUNCTION("""COMPUTED_VALUE"""),116.0)</f>
        <v>116</v>
      </c>
      <c r="E1644" s="4">
        <f>IFERROR(__xludf.DUMMYFUNCTION("""COMPUTED_VALUE"""),64.0)</f>
        <v>64</v>
      </c>
      <c r="F1644" s="4">
        <f>IFERROR(__xludf.DUMMYFUNCTION("""COMPUTED_VALUE"""),4.0)</f>
        <v>4</v>
      </c>
      <c r="G1644" s="4">
        <f>IFERROR(__xludf.DUMMYFUNCTION("""COMPUTED_VALUE"""),232.0)</f>
        <v>232</v>
      </c>
      <c r="H1644" s="5">
        <f>IFERROR(__xludf.DUMMYFUNCTION("""COMPUTED_VALUE"""),374.48)</f>
        <v>374.48</v>
      </c>
      <c r="I1644" s="5">
        <f>IFERROR(__xludf.DUMMYFUNCTION("""COMPUTED_VALUE"""),9769.59)</f>
        <v>9769.59</v>
      </c>
      <c r="J1644" s="5">
        <f>IFERROR(__xludf.DUMMYFUNCTION("""COMPUTED_VALUE"""),7515.03)</f>
        <v>7515.03</v>
      </c>
      <c r="K1644" s="5">
        <f>IFERROR(__xludf.DUMMYFUNCTION("""COMPUTED_VALUE"""),5176.46)</f>
        <v>5176.46</v>
      </c>
      <c r="L1644" s="4">
        <f>IFERROR(__xludf.DUMMYFUNCTION("""COMPUTED_VALUE"""),15.0)</f>
        <v>15</v>
      </c>
      <c r="M1644" s="4">
        <f>IFERROR(__xludf.DUMMYFUNCTION("""COMPUTED_VALUE"""),72.0)</f>
        <v>72</v>
      </c>
      <c r="N1644" s="2" t="str">
        <f>IFERROR(__xludf.DUMMYFUNCTION("""COMPUTED_VALUE"""),"VERDADERO")</f>
        <v>VERDADERO</v>
      </c>
    </row>
    <row r="1645">
      <c r="A1645" s="2">
        <f>IFERROR(__xludf.DUMMYFUNCTION("""COMPUTED_VALUE"""),1644.0)</f>
        <v>1644</v>
      </c>
      <c r="B1645" s="2" t="str">
        <f>IFERROR(__xludf.DUMMYFUNCTION("""COMPUTED_VALUE"""),"Gallard Goudie")</f>
        <v>Gallard Goudie</v>
      </c>
      <c r="C1645" s="2" t="str">
        <f>IFERROR(__xludf.DUMMYFUNCTION("""COMPUTED_VALUE"""),"ggoudiehw@chron.com")</f>
        <v>ggoudiehw@chron.com</v>
      </c>
      <c r="D1645" s="4">
        <f>IFERROR(__xludf.DUMMYFUNCTION("""COMPUTED_VALUE"""),29.0)</f>
        <v>29</v>
      </c>
      <c r="E1645" s="4">
        <f>IFERROR(__xludf.DUMMYFUNCTION("""COMPUTED_VALUE"""),48.0)</f>
        <v>48</v>
      </c>
      <c r="F1645" s="4">
        <f>IFERROR(__xludf.DUMMYFUNCTION("""COMPUTED_VALUE"""),4.0)</f>
        <v>4</v>
      </c>
      <c r="G1645" s="4">
        <f>IFERROR(__xludf.DUMMYFUNCTION("""COMPUTED_VALUE"""),1580.0)</f>
        <v>1580</v>
      </c>
      <c r="H1645" s="5">
        <f>IFERROR(__xludf.DUMMYFUNCTION("""COMPUTED_VALUE"""),7196.73)</f>
        <v>7196.73</v>
      </c>
      <c r="I1645" s="5">
        <f>IFERROR(__xludf.DUMMYFUNCTION("""COMPUTED_VALUE"""),1872.6)</f>
        <v>1872.6</v>
      </c>
      <c r="J1645" s="5">
        <f>IFERROR(__xludf.DUMMYFUNCTION("""COMPUTED_VALUE"""),8191.78)</f>
        <v>8191.78</v>
      </c>
      <c r="K1645" s="5">
        <f>IFERROR(__xludf.DUMMYFUNCTION("""COMPUTED_VALUE"""),9233.61)</f>
        <v>9233.61</v>
      </c>
      <c r="L1645" s="4">
        <f>IFERROR(__xludf.DUMMYFUNCTION("""COMPUTED_VALUE"""),11.0)</f>
        <v>11</v>
      </c>
      <c r="M1645" s="4">
        <f>IFERROR(__xludf.DUMMYFUNCTION("""COMPUTED_VALUE"""),79.0)</f>
        <v>79</v>
      </c>
      <c r="N1645" s="2" t="str">
        <f>IFERROR(__xludf.DUMMYFUNCTION("""COMPUTED_VALUE"""),"VERDADERO")</f>
        <v>VERDADERO</v>
      </c>
    </row>
    <row r="1646">
      <c r="A1646" s="2">
        <f>IFERROR(__xludf.DUMMYFUNCTION("""COMPUTED_VALUE"""),1645.0)</f>
        <v>1645</v>
      </c>
      <c r="B1646" s="2" t="str">
        <f>IFERROR(__xludf.DUMMYFUNCTION("""COMPUTED_VALUE"""),"Edithe Matschke")</f>
        <v>Edithe Matschke</v>
      </c>
      <c r="C1646" s="2" t="str">
        <f>IFERROR(__xludf.DUMMYFUNCTION("""COMPUTED_VALUE"""),"ematschkehx@webs.com")</f>
        <v>ematschkehx@webs.com</v>
      </c>
      <c r="D1646" s="4">
        <f>IFERROR(__xludf.DUMMYFUNCTION("""COMPUTED_VALUE"""),120.0)</f>
        <v>120</v>
      </c>
      <c r="E1646" s="4">
        <f>IFERROR(__xludf.DUMMYFUNCTION("""COMPUTED_VALUE"""),81.0)</f>
        <v>81</v>
      </c>
      <c r="F1646" s="4">
        <f>IFERROR(__xludf.DUMMYFUNCTION("""COMPUTED_VALUE"""),2.0)</f>
        <v>2</v>
      </c>
      <c r="G1646" s="4">
        <f>IFERROR(__xludf.DUMMYFUNCTION("""COMPUTED_VALUE"""),1551.0)</f>
        <v>1551</v>
      </c>
      <c r="H1646" s="5">
        <f>IFERROR(__xludf.DUMMYFUNCTION("""COMPUTED_VALUE"""),516.82)</f>
        <v>516.82</v>
      </c>
      <c r="I1646" s="5">
        <f>IFERROR(__xludf.DUMMYFUNCTION("""COMPUTED_VALUE"""),5803.33)</f>
        <v>5803.33</v>
      </c>
      <c r="J1646" s="5">
        <f>IFERROR(__xludf.DUMMYFUNCTION("""COMPUTED_VALUE"""),9095.52)</f>
        <v>9095.52</v>
      </c>
      <c r="K1646" s="5">
        <f>IFERROR(__xludf.DUMMYFUNCTION("""COMPUTED_VALUE"""),3229.24)</f>
        <v>3229.24</v>
      </c>
      <c r="L1646" s="4">
        <f>IFERROR(__xludf.DUMMYFUNCTION("""COMPUTED_VALUE"""),4.0)</f>
        <v>4</v>
      </c>
      <c r="M1646" s="4">
        <f>IFERROR(__xludf.DUMMYFUNCTION("""COMPUTED_VALUE"""),75.0)</f>
        <v>75</v>
      </c>
      <c r="N1646" s="2" t="str">
        <f>IFERROR(__xludf.DUMMYFUNCTION("""COMPUTED_VALUE"""),"VERDADERO")</f>
        <v>VERDADERO</v>
      </c>
    </row>
    <row r="1647">
      <c r="A1647" s="2">
        <f>IFERROR(__xludf.DUMMYFUNCTION("""COMPUTED_VALUE"""),1646.0)</f>
        <v>1646</v>
      </c>
      <c r="B1647" s="2" t="str">
        <f>IFERROR(__xludf.DUMMYFUNCTION("""COMPUTED_VALUE"""),"Hilary Seamark")</f>
        <v>Hilary Seamark</v>
      </c>
      <c r="C1647" s="2" t="str">
        <f>IFERROR(__xludf.DUMMYFUNCTION("""COMPUTED_VALUE"""),"hseamarkhy@e-recht24.de")</f>
        <v>hseamarkhy@e-recht24.de</v>
      </c>
      <c r="D1647" s="4">
        <f>IFERROR(__xludf.DUMMYFUNCTION("""COMPUTED_VALUE"""),29.0)</f>
        <v>29</v>
      </c>
      <c r="E1647" s="4">
        <f>IFERROR(__xludf.DUMMYFUNCTION("""COMPUTED_VALUE"""),66.0)</f>
        <v>66</v>
      </c>
      <c r="F1647" s="4">
        <f>IFERROR(__xludf.DUMMYFUNCTION("""COMPUTED_VALUE"""),6.0)</f>
        <v>6</v>
      </c>
      <c r="G1647" s="4">
        <f>IFERROR(__xludf.DUMMYFUNCTION("""COMPUTED_VALUE"""),92.0)</f>
        <v>92</v>
      </c>
      <c r="H1647" s="5">
        <f>IFERROR(__xludf.DUMMYFUNCTION("""COMPUTED_VALUE"""),1753.63)</f>
        <v>1753.63</v>
      </c>
      <c r="I1647" s="5">
        <f>IFERROR(__xludf.DUMMYFUNCTION("""COMPUTED_VALUE"""),707.24)</f>
        <v>707.24</v>
      </c>
      <c r="J1647" s="5">
        <f>IFERROR(__xludf.DUMMYFUNCTION("""COMPUTED_VALUE"""),5929.57)</f>
        <v>5929.57</v>
      </c>
      <c r="K1647" s="5">
        <f>IFERROR(__xludf.DUMMYFUNCTION("""COMPUTED_VALUE"""),3648.13)</f>
        <v>3648.13</v>
      </c>
      <c r="L1647" s="4">
        <f>IFERROR(__xludf.DUMMYFUNCTION("""COMPUTED_VALUE"""),12.0)</f>
        <v>12</v>
      </c>
      <c r="M1647" s="4">
        <f>IFERROR(__xludf.DUMMYFUNCTION("""COMPUTED_VALUE"""),28.0)</f>
        <v>28</v>
      </c>
      <c r="N1647" s="2" t="str">
        <f>IFERROR(__xludf.DUMMYFUNCTION("""COMPUTED_VALUE"""),"FALSO")</f>
        <v>FALSO</v>
      </c>
    </row>
    <row r="1648">
      <c r="A1648" s="2">
        <f>IFERROR(__xludf.DUMMYFUNCTION("""COMPUTED_VALUE"""),1647.0)</f>
        <v>1647</v>
      </c>
      <c r="B1648" s="2" t="str">
        <f>IFERROR(__xludf.DUMMYFUNCTION("""COMPUTED_VALUE"""),"Bart Ends")</f>
        <v>Bart Ends</v>
      </c>
      <c r="C1648" s="2" t="str">
        <f>IFERROR(__xludf.DUMMYFUNCTION("""COMPUTED_VALUE"""),"bendshz@admin.ch")</f>
        <v>bendshz@admin.ch</v>
      </c>
      <c r="D1648" s="4">
        <f>IFERROR(__xludf.DUMMYFUNCTION("""COMPUTED_VALUE"""),65.0)</f>
        <v>65</v>
      </c>
      <c r="E1648" s="4">
        <f>IFERROR(__xludf.DUMMYFUNCTION("""COMPUTED_VALUE"""),12.0)</f>
        <v>12</v>
      </c>
      <c r="F1648" s="4">
        <f>IFERROR(__xludf.DUMMYFUNCTION("""COMPUTED_VALUE"""),6.0)</f>
        <v>6</v>
      </c>
      <c r="G1648" s="4">
        <f>IFERROR(__xludf.DUMMYFUNCTION("""COMPUTED_VALUE"""),188.0)</f>
        <v>188</v>
      </c>
      <c r="H1648" s="5">
        <f>IFERROR(__xludf.DUMMYFUNCTION("""COMPUTED_VALUE"""),1669.4)</f>
        <v>1669.4</v>
      </c>
      <c r="I1648" s="5">
        <f>IFERROR(__xludf.DUMMYFUNCTION("""COMPUTED_VALUE"""),6880.05)</f>
        <v>6880.05</v>
      </c>
      <c r="J1648" s="5">
        <f>IFERROR(__xludf.DUMMYFUNCTION("""COMPUTED_VALUE"""),7415.76)</f>
        <v>7415.76</v>
      </c>
      <c r="K1648" s="5">
        <f>IFERROR(__xludf.DUMMYFUNCTION("""COMPUTED_VALUE"""),2576.27)</f>
        <v>2576.27</v>
      </c>
      <c r="L1648" s="4">
        <f>IFERROR(__xludf.DUMMYFUNCTION("""COMPUTED_VALUE"""),2.0)</f>
        <v>2</v>
      </c>
      <c r="M1648" s="4">
        <f>IFERROR(__xludf.DUMMYFUNCTION("""COMPUTED_VALUE"""),38.0)</f>
        <v>38</v>
      </c>
      <c r="N1648" s="2" t="str">
        <f>IFERROR(__xludf.DUMMYFUNCTION("""COMPUTED_VALUE"""),"FALSO")</f>
        <v>FALSO</v>
      </c>
    </row>
    <row r="1649">
      <c r="A1649" s="2">
        <f>IFERROR(__xludf.DUMMYFUNCTION("""COMPUTED_VALUE"""),1648.0)</f>
        <v>1648</v>
      </c>
      <c r="B1649" s="2" t="str">
        <f>IFERROR(__xludf.DUMMYFUNCTION("""COMPUTED_VALUE"""),"Fergus Keely")</f>
        <v>Fergus Keely</v>
      </c>
      <c r="C1649" s="2" t="str">
        <f>IFERROR(__xludf.DUMMYFUNCTION("""COMPUTED_VALUE"""),"fkeelyi0@google.nl")</f>
        <v>fkeelyi0@google.nl</v>
      </c>
      <c r="D1649" s="4">
        <f>IFERROR(__xludf.DUMMYFUNCTION("""COMPUTED_VALUE"""),65.0)</f>
        <v>65</v>
      </c>
      <c r="E1649" s="4">
        <f>IFERROR(__xludf.DUMMYFUNCTION("""COMPUTED_VALUE"""),55.0)</f>
        <v>55</v>
      </c>
      <c r="F1649" s="4">
        <f>IFERROR(__xludf.DUMMYFUNCTION("""COMPUTED_VALUE"""),9.0)</f>
        <v>9</v>
      </c>
      <c r="G1649" s="4">
        <f>IFERROR(__xludf.DUMMYFUNCTION("""COMPUTED_VALUE"""),288.0)</f>
        <v>288</v>
      </c>
      <c r="H1649" s="5">
        <f>IFERROR(__xludf.DUMMYFUNCTION("""COMPUTED_VALUE"""),4253.68)</f>
        <v>4253.68</v>
      </c>
      <c r="I1649" s="5">
        <f>IFERROR(__xludf.DUMMYFUNCTION("""COMPUTED_VALUE"""),8010.79)</f>
        <v>8010.79</v>
      </c>
      <c r="J1649" s="5">
        <f>IFERROR(__xludf.DUMMYFUNCTION("""COMPUTED_VALUE"""),8289.58)</f>
        <v>8289.58</v>
      </c>
      <c r="K1649" s="5">
        <f>IFERROR(__xludf.DUMMYFUNCTION("""COMPUTED_VALUE"""),5867.55)</f>
        <v>5867.55</v>
      </c>
      <c r="L1649" s="4">
        <f>IFERROR(__xludf.DUMMYFUNCTION("""COMPUTED_VALUE"""),15.0)</f>
        <v>15</v>
      </c>
      <c r="M1649" s="4">
        <f>IFERROR(__xludf.DUMMYFUNCTION("""COMPUTED_VALUE"""),3.0)</f>
        <v>3</v>
      </c>
      <c r="N1649" s="2" t="str">
        <f>IFERROR(__xludf.DUMMYFUNCTION("""COMPUTED_VALUE"""),"FALSO")</f>
        <v>FALSO</v>
      </c>
    </row>
    <row r="1650">
      <c r="A1650" s="2">
        <f>IFERROR(__xludf.DUMMYFUNCTION("""COMPUTED_VALUE"""),1649.0)</f>
        <v>1649</v>
      </c>
      <c r="B1650" s="2" t="str">
        <f>IFERROR(__xludf.DUMMYFUNCTION("""COMPUTED_VALUE"""),"Duane Stickins")</f>
        <v>Duane Stickins</v>
      </c>
      <c r="C1650" s="2" t="str">
        <f>IFERROR(__xludf.DUMMYFUNCTION("""COMPUTED_VALUE"""),"dstickinsi1@jimdo.com")</f>
        <v>dstickinsi1@jimdo.com</v>
      </c>
      <c r="D1650" s="4">
        <f>IFERROR(__xludf.DUMMYFUNCTION("""COMPUTED_VALUE"""),104.0)</f>
        <v>104</v>
      </c>
      <c r="E1650" s="4">
        <f>IFERROR(__xludf.DUMMYFUNCTION("""COMPUTED_VALUE"""),78.0)</f>
        <v>78</v>
      </c>
      <c r="F1650" s="4">
        <f>IFERROR(__xludf.DUMMYFUNCTION("""COMPUTED_VALUE"""),5.0)</f>
        <v>5</v>
      </c>
      <c r="G1650" s="4">
        <f>IFERROR(__xludf.DUMMYFUNCTION("""COMPUTED_VALUE"""),876.0)</f>
        <v>876</v>
      </c>
      <c r="H1650" s="5">
        <f>IFERROR(__xludf.DUMMYFUNCTION("""COMPUTED_VALUE"""),5407.83)</f>
        <v>5407.83</v>
      </c>
      <c r="I1650" s="5">
        <f>IFERROR(__xludf.DUMMYFUNCTION("""COMPUTED_VALUE"""),7791.83)</f>
        <v>7791.83</v>
      </c>
      <c r="J1650" s="5">
        <f>IFERROR(__xludf.DUMMYFUNCTION("""COMPUTED_VALUE"""),1893.6)</f>
        <v>1893.6</v>
      </c>
      <c r="K1650" s="5">
        <f>IFERROR(__xludf.DUMMYFUNCTION("""COMPUTED_VALUE"""),9168.33)</f>
        <v>9168.33</v>
      </c>
      <c r="L1650" s="4">
        <f>IFERROR(__xludf.DUMMYFUNCTION("""COMPUTED_VALUE"""),8.0)</f>
        <v>8</v>
      </c>
      <c r="M1650" s="4">
        <f>IFERROR(__xludf.DUMMYFUNCTION("""COMPUTED_VALUE"""),40.0)</f>
        <v>40</v>
      </c>
      <c r="N1650" s="2" t="str">
        <f>IFERROR(__xludf.DUMMYFUNCTION("""COMPUTED_VALUE"""),"FALSO")</f>
        <v>FALSO</v>
      </c>
    </row>
    <row r="1651">
      <c r="A1651" s="2">
        <f>IFERROR(__xludf.DUMMYFUNCTION("""COMPUTED_VALUE"""),1650.0)</f>
        <v>1650</v>
      </c>
      <c r="B1651" s="2" t="str">
        <f>IFERROR(__xludf.DUMMYFUNCTION("""COMPUTED_VALUE"""),"Rena Yelding")</f>
        <v>Rena Yelding</v>
      </c>
      <c r="C1651" s="2" t="str">
        <f>IFERROR(__xludf.DUMMYFUNCTION("""COMPUTED_VALUE"""),"ryeldingi2@feedburner.com")</f>
        <v>ryeldingi2@feedburner.com</v>
      </c>
      <c r="D1651" s="4">
        <f>IFERROR(__xludf.DUMMYFUNCTION("""COMPUTED_VALUE"""),34.0)</f>
        <v>34</v>
      </c>
      <c r="E1651" s="4">
        <f>IFERROR(__xludf.DUMMYFUNCTION("""COMPUTED_VALUE"""),71.0)</f>
        <v>71</v>
      </c>
      <c r="F1651" s="4">
        <f>IFERROR(__xludf.DUMMYFUNCTION("""COMPUTED_VALUE"""),6.0)</f>
        <v>6</v>
      </c>
      <c r="G1651" s="4">
        <f>IFERROR(__xludf.DUMMYFUNCTION("""COMPUTED_VALUE"""),729.0)</f>
        <v>729</v>
      </c>
      <c r="H1651" s="5">
        <f>IFERROR(__xludf.DUMMYFUNCTION("""COMPUTED_VALUE"""),6247.53)</f>
        <v>6247.53</v>
      </c>
      <c r="I1651" s="5">
        <f>IFERROR(__xludf.DUMMYFUNCTION("""COMPUTED_VALUE"""),7096.2)</f>
        <v>7096.2</v>
      </c>
      <c r="J1651" s="5">
        <f>IFERROR(__xludf.DUMMYFUNCTION("""COMPUTED_VALUE"""),175.67)</f>
        <v>175.67</v>
      </c>
      <c r="K1651" s="5">
        <f>IFERROR(__xludf.DUMMYFUNCTION("""COMPUTED_VALUE"""),5476.33)</f>
        <v>5476.33</v>
      </c>
      <c r="L1651" s="4">
        <f>IFERROR(__xludf.DUMMYFUNCTION("""COMPUTED_VALUE"""),3.0)</f>
        <v>3</v>
      </c>
      <c r="M1651" s="4">
        <f>IFERROR(__xludf.DUMMYFUNCTION("""COMPUTED_VALUE"""),5.0)</f>
        <v>5</v>
      </c>
      <c r="N1651" s="2" t="str">
        <f>IFERROR(__xludf.DUMMYFUNCTION("""COMPUTED_VALUE"""),"FALSO")</f>
        <v>FALSO</v>
      </c>
    </row>
    <row r="1652">
      <c r="A1652" s="2">
        <f>IFERROR(__xludf.DUMMYFUNCTION("""COMPUTED_VALUE"""),1651.0)</f>
        <v>1651</v>
      </c>
      <c r="B1652" s="2" t="str">
        <f>IFERROR(__xludf.DUMMYFUNCTION("""COMPUTED_VALUE"""),"Robbyn Patel")</f>
        <v>Robbyn Patel</v>
      </c>
      <c r="C1652" s="2" t="str">
        <f>IFERROR(__xludf.DUMMYFUNCTION("""COMPUTED_VALUE"""),"rpateli3@wix.com")</f>
        <v>rpateli3@wix.com</v>
      </c>
      <c r="D1652" s="4">
        <f>IFERROR(__xludf.DUMMYFUNCTION("""COMPUTED_VALUE"""),65.0)</f>
        <v>65</v>
      </c>
      <c r="E1652" s="4">
        <f>IFERROR(__xludf.DUMMYFUNCTION("""COMPUTED_VALUE"""),86.0)</f>
        <v>86</v>
      </c>
      <c r="F1652" s="4">
        <f>IFERROR(__xludf.DUMMYFUNCTION("""COMPUTED_VALUE"""),7.0)</f>
        <v>7</v>
      </c>
      <c r="G1652" s="4">
        <f>IFERROR(__xludf.DUMMYFUNCTION("""COMPUTED_VALUE"""),252.0)</f>
        <v>252</v>
      </c>
      <c r="H1652" s="5">
        <f>IFERROR(__xludf.DUMMYFUNCTION("""COMPUTED_VALUE"""),4998.55)</f>
        <v>4998.55</v>
      </c>
      <c r="I1652" s="5">
        <f>IFERROR(__xludf.DUMMYFUNCTION("""COMPUTED_VALUE"""),5179.84)</f>
        <v>5179.84</v>
      </c>
      <c r="J1652" s="5">
        <f>IFERROR(__xludf.DUMMYFUNCTION("""COMPUTED_VALUE"""),1169.29)</f>
        <v>1169.29</v>
      </c>
      <c r="K1652" s="5">
        <f>IFERROR(__xludf.DUMMYFUNCTION("""COMPUTED_VALUE"""),3392.67)</f>
        <v>3392.67</v>
      </c>
      <c r="L1652" s="4">
        <f>IFERROR(__xludf.DUMMYFUNCTION("""COMPUTED_VALUE"""),10.0)</f>
        <v>10</v>
      </c>
      <c r="M1652" s="4">
        <f>IFERROR(__xludf.DUMMYFUNCTION("""COMPUTED_VALUE"""),84.0)</f>
        <v>84</v>
      </c>
      <c r="N1652" s="2" t="str">
        <f>IFERROR(__xludf.DUMMYFUNCTION("""COMPUTED_VALUE"""),"FALSO")</f>
        <v>FALSO</v>
      </c>
    </row>
    <row r="1653">
      <c r="A1653" s="2">
        <f>IFERROR(__xludf.DUMMYFUNCTION("""COMPUTED_VALUE"""),1652.0)</f>
        <v>1652</v>
      </c>
      <c r="B1653" s="2" t="str">
        <f>IFERROR(__xludf.DUMMYFUNCTION("""COMPUTED_VALUE"""),"Rosina O'Sheils")</f>
        <v>Rosina O'Sheils</v>
      </c>
      <c r="C1653" s="2" t="str">
        <f>IFERROR(__xludf.DUMMYFUNCTION("""COMPUTED_VALUE"""),"rosheilsi4@tamu.edu")</f>
        <v>rosheilsi4@tamu.edu</v>
      </c>
      <c r="D1653" s="4">
        <f>IFERROR(__xludf.DUMMYFUNCTION("""COMPUTED_VALUE"""),35.0)</f>
        <v>35</v>
      </c>
      <c r="E1653" s="4">
        <f>IFERROR(__xludf.DUMMYFUNCTION("""COMPUTED_VALUE"""),64.0)</f>
        <v>64</v>
      </c>
      <c r="F1653" s="4">
        <f>IFERROR(__xludf.DUMMYFUNCTION("""COMPUTED_VALUE"""),4.0)</f>
        <v>4</v>
      </c>
      <c r="G1653" s="4">
        <f>IFERROR(__xludf.DUMMYFUNCTION("""COMPUTED_VALUE"""),1448.0)</f>
        <v>1448</v>
      </c>
      <c r="H1653" s="5">
        <f>IFERROR(__xludf.DUMMYFUNCTION("""COMPUTED_VALUE"""),2157.77)</f>
        <v>2157.77</v>
      </c>
      <c r="I1653" s="5">
        <f>IFERROR(__xludf.DUMMYFUNCTION("""COMPUTED_VALUE"""),8913.0)</f>
        <v>8913</v>
      </c>
      <c r="J1653" s="5">
        <f>IFERROR(__xludf.DUMMYFUNCTION("""COMPUTED_VALUE"""),9685.4)</f>
        <v>9685.4</v>
      </c>
      <c r="K1653" s="5">
        <f>IFERROR(__xludf.DUMMYFUNCTION("""COMPUTED_VALUE"""),4001.54)</f>
        <v>4001.54</v>
      </c>
      <c r="L1653" s="4">
        <f>IFERROR(__xludf.DUMMYFUNCTION("""COMPUTED_VALUE"""),10.0)</f>
        <v>10</v>
      </c>
      <c r="M1653" s="4">
        <f>IFERROR(__xludf.DUMMYFUNCTION("""COMPUTED_VALUE"""),82.0)</f>
        <v>82</v>
      </c>
      <c r="N1653" s="2" t="str">
        <f>IFERROR(__xludf.DUMMYFUNCTION("""COMPUTED_VALUE"""),"VERDADERO")</f>
        <v>VERDADERO</v>
      </c>
    </row>
    <row r="1654">
      <c r="A1654" s="2">
        <f>IFERROR(__xludf.DUMMYFUNCTION("""COMPUTED_VALUE"""),1653.0)</f>
        <v>1653</v>
      </c>
      <c r="B1654" s="2" t="str">
        <f>IFERROR(__xludf.DUMMYFUNCTION("""COMPUTED_VALUE"""),"Gasper Ashfield")</f>
        <v>Gasper Ashfield</v>
      </c>
      <c r="C1654" s="2" t="str">
        <f>IFERROR(__xludf.DUMMYFUNCTION("""COMPUTED_VALUE"""),"gashfieldi5@scientificamerican.com")</f>
        <v>gashfieldi5@scientificamerican.com</v>
      </c>
      <c r="D1654" s="4">
        <f>IFERROR(__xludf.DUMMYFUNCTION("""COMPUTED_VALUE"""),65.0)</f>
        <v>65</v>
      </c>
      <c r="E1654" s="4">
        <f>IFERROR(__xludf.DUMMYFUNCTION("""COMPUTED_VALUE"""),90.0)</f>
        <v>90</v>
      </c>
      <c r="F1654" s="4">
        <f>IFERROR(__xludf.DUMMYFUNCTION("""COMPUTED_VALUE"""),5.0)</f>
        <v>5</v>
      </c>
      <c r="G1654" s="4">
        <f>IFERROR(__xludf.DUMMYFUNCTION("""COMPUTED_VALUE"""),663.0)</f>
        <v>663</v>
      </c>
      <c r="H1654" s="5">
        <f>IFERROR(__xludf.DUMMYFUNCTION("""COMPUTED_VALUE"""),422.85)</f>
        <v>422.85</v>
      </c>
      <c r="I1654" s="5">
        <f>IFERROR(__xludf.DUMMYFUNCTION("""COMPUTED_VALUE"""),4963.84)</f>
        <v>4963.84</v>
      </c>
      <c r="J1654" s="5">
        <f>IFERROR(__xludf.DUMMYFUNCTION("""COMPUTED_VALUE"""),8734.15)</f>
        <v>8734.15</v>
      </c>
      <c r="K1654" s="5">
        <f>IFERROR(__xludf.DUMMYFUNCTION("""COMPUTED_VALUE"""),789.06)</f>
        <v>789.06</v>
      </c>
      <c r="L1654" s="4">
        <f>IFERROR(__xludf.DUMMYFUNCTION("""COMPUTED_VALUE"""),8.0)</f>
        <v>8</v>
      </c>
      <c r="M1654" s="4">
        <f>IFERROR(__xludf.DUMMYFUNCTION("""COMPUTED_VALUE"""),78.0)</f>
        <v>78</v>
      </c>
      <c r="N1654" s="2" t="str">
        <f>IFERROR(__xludf.DUMMYFUNCTION("""COMPUTED_VALUE"""),"FALSO")</f>
        <v>FALSO</v>
      </c>
    </row>
    <row r="1655">
      <c r="A1655" s="2">
        <f>IFERROR(__xludf.DUMMYFUNCTION("""COMPUTED_VALUE"""),1654.0)</f>
        <v>1654</v>
      </c>
      <c r="B1655" s="2" t="str">
        <f>IFERROR(__xludf.DUMMYFUNCTION("""COMPUTED_VALUE"""),"Terri-jo McJury")</f>
        <v>Terri-jo McJury</v>
      </c>
      <c r="C1655" s="2" t="str">
        <f>IFERROR(__xludf.DUMMYFUNCTION("""COMPUTED_VALUE"""),"tmcjuryi6@hexun.com")</f>
        <v>tmcjuryi6@hexun.com</v>
      </c>
      <c r="D1655" s="4">
        <f>IFERROR(__xludf.DUMMYFUNCTION("""COMPUTED_VALUE"""),124.0)</f>
        <v>124</v>
      </c>
      <c r="E1655" s="4">
        <f>IFERROR(__xludf.DUMMYFUNCTION("""COMPUTED_VALUE"""),29.0)</f>
        <v>29</v>
      </c>
      <c r="F1655" s="4">
        <f>IFERROR(__xludf.DUMMYFUNCTION("""COMPUTED_VALUE"""),11.0)</f>
        <v>11</v>
      </c>
      <c r="G1655" s="4">
        <f>IFERROR(__xludf.DUMMYFUNCTION("""COMPUTED_VALUE"""),308.0)</f>
        <v>308</v>
      </c>
      <c r="H1655" s="5">
        <f>IFERROR(__xludf.DUMMYFUNCTION("""COMPUTED_VALUE"""),2236.38)</f>
        <v>2236.38</v>
      </c>
      <c r="I1655" s="5">
        <f>IFERROR(__xludf.DUMMYFUNCTION("""COMPUTED_VALUE"""),4810.18)</f>
        <v>4810.18</v>
      </c>
      <c r="J1655" s="5">
        <f>IFERROR(__xludf.DUMMYFUNCTION("""COMPUTED_VALUE"""),8679.17)</f>
        <v>8679.17</v>
      </c>
      <c r="K1655" s="5">
        <f>IFERROR(__xludf.DUMMYFUNCTION("""COMPUTED_VALUE"""),8489.01)</f>
        <v>8489.01</v>
      </c>
      <c r="L1655" s="4">
        <f>IFERROR(__xludf.DUMMYFUNCTION("""COMPUTED_VALUE"""),8.0)</f>
        <v>8</v>
      </c>
      <c r="M1655" s="4">
        <f>IFERROR(__xludf.DUMMYFUNCTION("""COMPUTED_VALUE"""),12.0)</f>
        <v>12</v>
      </c>
      <c r="N1655" s="2" t="str">
        <f>IFERROR(__xludf.DUMMYFUNCTION("""COMPUTED_VALUE"""),"FALSO")</f>
        <v>FALSO</v>
      </c>
    </row>
    <row r="1656">
      <c r="A1656" s="2">
        <f>IFERROR(__xludf.DUMMYFUNCTION("""COMPUTED_VALUE"""),1655.0)</f>
        <v>1655</v>
      </c>
      <c r="B1656" s="2" t="str">
        <f>IFERROR(__xludf.DUMMYFUNCTION("""COMPUTED_VALUE"""),"Denyse Fielder")</f>
        <v>Denyse Fielder</v>
      </c>
      <c r="C1656" s="2" t="str">
        <f>IFERROR(__xludf.DUMMYFUNCTION("""COMPUTED_VALUE"""),"dfielderi7@gnu.org")</f>
        <v>dfielderi7@gnu.org</v>
      </c>
      <c r="D1656" s="4">
        <f>IFERROR(__xludf.DUMMYFUNCTION("""COMPUTED_VALUE"""),30.0)</f>
        <v>30</v>
      </c>
      <c r="E1656" s="4">
        <f>IFERROR(__xludf.DUMMYFUNCTION("""COMPUTED_VALUE"""),66.0)</f>
        <v>66</v>
      </c>
      <c r="F1656" s="4">
        <f>IFERROR(__xludf.DUMMYFUNCTION("""COMPUTED_VALUE"""),6.0)</f>
        <v>6</v>
      </c>
      <c r="G1656" s="4">
        <f>IFERROR(__xludf.DUMMYFUNCTION("""COMPUTED_VALUE"""),510.0)</f>
        <v>510</v>
      </c>
      <c r="H1656" s="5">
        <f>IFERROR(__xludf.DUMMYFUNCTION("""COMPUTED_VALUE"""),1587.1)</f>
        <v>1587.1</v>
      </c>
      <c r="I1656" s="5">
        <f>IFERROR(__xludf.DUMMYFUNCTION("""COMPUTED_VALUE"""),6639.4)</f>
        <v>6639.4</v>
      </c>
      <c r="J1656" s="5">
        <f>IFERROR(__xludf.DUMMYFUNCTION("""COMPUTED_VALUE"""),2168.52)</f>
        <v>2168.52</v>
      </c>
      <c r="K1656" s="5">
        <f>IFERROR(__xludf.DUMMYFUNCTION("""COMPUTED_VALUE"""),8530.81)</f>
        <v>8530.81</v>
      </c>
      <c r="L1656" s="4">
        <f>IFERROR(__xludf.DUMMYFUNCTION("""COMPUTED_VALUE"""),20.0)</f>
        <v>20</v>
      </c>
      <c r="M1656" s="4">
        <f>IFERROR(__xludf.DUMMYFUNCTION("""COMPUTED_VALUE"""),56.0)</f>
        <v>56</v>
      </c>
      <c r="N1656" s="2" t="str">
        <f>IFERROR(__xludf.DUMMYFUNCTION("""COMPUTED_VALUE"""),"FALSO")</f>
        <v>FALSO</v>
      </c>
    </row>
    <row r="1657">
      <c r="A1657" s="2">
        <f>IFERROR(__xludf.DUMMYFUNCTION("""COMPUTED_VALUE"""),1656.0)</f>
        <v>1656</v>
      </c>
      <c r="B1657" s="2" t="str">
        <f>IFERROR(__xludf.DUMMYFUNCTION("""COMPUTED_VALUE"""),"Rowen Sitlington")</f>
        <v>Rowen Sitlington</v>
      </c>
      <c r="C1657" s="2" t="str">
        <f>IFERROR(__xludf.DUMMYFUNCTION("""COMPUTED_VALUE"""),"rsitlingtoni8@amazonaws.com")</f>
        <v>rsitlingtoni8@amazonaws.com</v>
      </c>
      <c r="D1657" s="4">
        <f>IFERROR(__xludf.DUMMYFUNCTION("""COMPUTED_VALUE"""),120.0)</f>
        <v>120</v>
      </c>
      <c r="E1657" s="4">
        <f>IFERROR(__xludf.DUMMYFUNCTION("""COMPUTED_VALUE"""),80.0)</f>
        <v>80</v>
      </c>
      <c r="F1657" s="4">
        <f>IFERROR(__xludf.DUMMYFUNCTION("""COMPUTED_VALUE"""),12.0)</f>
        <v>12</v>
      </c>
      <c r="G1657" s="4">
        <f>IFERROR(__xludf.DUMMYFUNCTION("""COMPUTED_VALUE"""),793.0)</f>
        <v>793</v>
      </c>
      <c r="H1657" s="5">
        <f>IFERROR(__xludf.DUMMYFUNCTION("""COMPUTED_VALUE"""),5015.44)</f>
        <v>5015.44</v>
      </c>
      <c r="I1657" s="5">
        <f>IFERROR(__xludf.DUMMYFUNCTION("""COMPUTED_VALUE"""),7101.35)</f>
        <v>7101.35</v>
      </c>
      <c r="J1657" s="5">
        <f>IFERROR(__xludf.DUMMYFUNCTION("""COMPUTED_VALUE"""),7620.18)</f>
        <v>7620.18</v>
      </c>
      <c r="K1657" s="5">
        <f>IFERROR(__xludf.DUMMYFUNCTION("""COMPUTED_VALUE"""),5349.9)</f>
        <v>5349.9</v>
      </c>
      <c r="L1657" s="4">
        <f>IFERROR(__xludf.DUMMYFUNCTION("""COMPUTED_VALUE"""),12.0)</f>
        <v>12</v>
      </c>
      <c r="M1657" s="4">
        <f>IFERROR(__xludf.DUMMYFUNCTION("""COMPUTED_VALUE"""),36.0)</f>
        <v>36</v>
      </c>
      <c r="N1657" s="2" t="str">
        <f>IFERROR(__xludf.DUMMYFUNCTION("""COMPUTED_VALUE"""),"FALSO")</f>
        <v>FALSO</v>
      </c>
    </row>
    <row r="1658">
      <c r="A1658" s="2">
        <f>IFERROR(__xludf.DUMMYFUNCTION("""COMPUTED_VALUE"""),1657.0)</f>
        <v>1657</v>
      </c>
      <c r="B1658" s="2" t="str">
        <f>IFERROR(__xludf.DUMMYFUNCTION("""COMPUTED_VALUE"""),"Ava Muscroft")</f>
        <v>Ava Muscroft</v>
      </c>
      <c r="C1658" s="2" t="str">
        <f>IFERROR(__xludf.DUMMYFUNCTION("""COMPUTED_VALUE"""),"amuscrofti9@chron.com")</f>
        <v>amuscrofti9@chron.com</v>
      </c>
      <c r="D1658" s="4">
        <f>IFERROR(__xludf.DUMMYFUNCTION("""COMPUTED_VALUE"""),65.0)</f>
        <v>65</v>
      </c>
      <c r="E1658" s="4">
        <f>IFERROR(__xludf.DUMMYFUNCTION("""COMPUTED_VALUE"""),51.0)</f>
        <v>51</v>
      </c>
      <c r="F1658" s="4">
        <f>IFERROR(__xludf.DUMMYFUNCTION("""COMPUTED_VALUE"""),5.0)</f>
        <v>5</v>
      </c>
      <c r="G1658" s="4">
        <f>IFERROR(__xludf.DUMMYFUNCTION("""COMPUTED_VALUE"""),1301.0)</f>
        <v>1301</v>
      </c>
      <c r="H1658" s="5">
        <f>IFERROR(__xludf.DUMMYFUNCTION("""COMPUTED_VALUE"""),7584.12)</f>
        <v>7584.12</v>
      </c>
      <c r="I1658" s="5">
        <f>IFERROR(__xludf.DUMMYFUNCTION("""COMPUTED_VALUE"""),7352.26)</f>
        <v>7352.26</v>
      </c>
      <c r="J1658" s="5">
        <f>IFERROR(__xludf.DUMMYFUNCTION("""COMPUTED_VALUE"""),7192.45)</f>
        <v>7192.45</v>
      </c>
      <c r="K1658" s="5">
        <f>IFERROR(__xludf.DUMMYFUNCTION("""COMPUTED_VALUE"""),6483.86)</f>
        <v>6483.86</v>
      </c>
      <c r="L1658" s="4">
        <f>IFERROR(__xludf.DUMMYFUNCTION("""COMPUTED_VALUE"""),19.0)</f>
        <v>19</v>
      </c>
      <c r="M1658" s="4">
        <f>IFERROR(__xludf.DUMMYFUNCTION("""COMPUTED_VALUE"""),85.0)</f>
        <v>85</v>
      </c>
      <c r="N1658" s="2" t="str">
        <f>IFERROR(__xludf.DUMMYFUNCTION("""COMPUTED_VALUE"""),"FALSO")</f>
        <v>FALSO</v>
      </c>
    </row>
    <row r="1659">
      <c r="A1659" s="2">
        <f>IFERROR(__xludf.DUMMYFUNCTION("""COMPUTED_VALUE"""),1658.0)</f>
        <v>1658</v>
      </c>
      <c r="B1659" s="2" t="str">
        <f>IFERROR(__xludf.DUMMYFUNCTION("""COMPUTED_VALUE"""),"Isa Christopherson")</f>
        <v>Isa Christopherson</v>
      </c>
      <c r="C1659" s="2" t="str">
        <f>IFERROR(__xludf.DUMMYFUNCTION("""COMPUTED_VALUE"""),"ichristophersonia@apache.org")</f>
        <v>ichristophersonia@apache.org</v>
      </c>
      <c r="D1659" s="4">
        <f>IFERROR(__xludf.DUMMYFUNCTION("""COMPUTED_VALUE"""),38.0)</f>
        <v>38</v>
      </c>
      <c r="E1659" s="4">
        <f>IFERROR(__xludf.DUMMYFUNCTION("""COMPUTED_VALUE"""),30.0)</f>
        <v>30</v>
      </c>
      <c r="F1659" s="4">
        <f>IFERROR(__xludf.DUMMYFUNCTION("""COMPUTED_VALUE"""),11.0)</f>
        <v>11</v>
      </c>
      <c r="G1659" s="4">
        <f>IFERROR(__xludf.DUMMYFUNCTION("""COMPUTED_VALUE"""),766.0)</f>
        <v>766</v>
      </c>
      <c r="H1659" s="5">
        <f>IFERROR(__xludf.DUMMYFUNCTION("""COMPUTED_VALUE"""),3859.35)</f>
        <v>3859.35</v>
      </c>
      <c r="I1659" s="5">
        <f>IFERROR(__xludf.DUMMYFUNCTION("""COMPUTED_VALUE"""),9531.38)</f>
        <v>9531.38</v>
      </c>
      <c r="J1659" s="5">
        <f>IFERROR(__xludf.DUMMYFUNCTION("""COMPUTED_VALUE"""),1100.17)</f>
        <v>1100.17</v>
      </c>
      <c r="K1659" s="5">
        <f>IFERROR(__xludf.DUMMYFUNCTION("""COMPUTED_VALUE"""),9252.7)</f>
        <v>9252.7</v>
      </c>
      <c r="L1659" s="4">
        <f>IFERROR(__xludf.DUMMYFUNCTION("""COMPUTED_VALUE"""),18.0)</f>
        <v>18</v>
      </c>
      <c r="M1659" s="4">
        <f>IFERROR(__xludf.DUMMYFUNCTION("""COMPUTED_VALUE"""),4.0)</f>
        <v>4</v>
      </c>
      <c r="N1659" s="2" t="str">
        <f>IFERROR(__xludf.DUMMYFUNCTION("""COMPUTED_VALUE"""),"FALSO")</f>
        <v>FALSO</v>
      </c>
    </row>
    <row r="1660">
      <c r="A1660" s="2">
        <f>IFERROR(__xludf.DUMMYFUNCTION("""COMPUTED_VALUE"""),1659.0)</f>
        <v>1659</v>
      </c>
      <c r="B1660" s="2" t="str">
        <f>IFERROR(__xludf.DUMMYFUNCTION("""COMPUTED_VALUE"""),"Adelina Stalf")</f>
        <v>Adelina Stalf</v>
      </c>
      <c r="C1660" s="2" t="str">
        <f>IFERROR(__xludf.DUMMYFUNCTION("""COMPUTED_VALUE"""),"astalfib@bloomberg.com")</f>
        <v>astalfib@bloomberg.com</v>
      </c>
      <c r="D1660" s="4">
        <f>IFERROR(__xludf.DUMMYFUNCTION("""COMPUTED_VALUE"""),29.0)</f>
        <v>29</v>
      </c>
      <c r="E1660" s="4">
        <f>IFERROR(__xludf.DUMMYFUNCTION("""COMPUTED_VALUE"""),71.0)</f>
        <v>71</v>
      </c>
      <c r="F1660" s="4">
        <f>IFERROR(__xludf.DUMMYFUNCTION("""COMPUTED_VALUE"""),6.0)</f>
        <v>6</v>
      </c>
      <c r="G1660" s="4">
        <f>IFERROR(__xludf.DUMMYFUNCTION("""COMPUTED_VALUE"""),518.0)</f>
        <v>518</v>
      </c>
      <c r="H1660" s="5">
        <f>IFERROR(__xludf.DUMMYFUNCTION("""COMPUTED_VALUE"""),7294.28)</f>
        <v>7294.28</v>
      </c>
      <c r="I1660" s="5">
        <f>IFERROR(__xludf.DUMMYFUNCTION("""COMPUTED_VALUE"""),473.64)</f>
        <v>473.64</v>
      </c>
      <c r="J1660" s="5">
        <f>IFERROR(__xludf.DUMMYFUNCTION("""COMPUTED_VALUE"""),780.18)</f>
        <v>780.18</v>
      </c>
      <c r="K1660" s="5">
        <f>IFERROR(__xludf.DUMMYFUNCTION("""COMPUTED_VALUE"""),9877.04)</f>
        <v>9877.04</v>
      </c>
      <c r="L1660" s="4">
        <f>IFERROR(__xludf.DUMMYFUNCTION("""COMPUTED_VALUE"""),3.0)</f>
        <v>3</v>
      </c>
      <c r="M1660" s="4">
        <f>IFERROR(__xludf.DUMMYFUNCTION("""COMPUTED_VALUE"""),87.0)</f>
        <v>87</v>
      </c>
      <c r="N1660" s="2" t="str">
        <f>IFERROR(__xludf.DUMMYFUNCTION("""COMPUTED_VALUE"""),"FALSO")</f>
        <v>FALSO</v>
      </c>
    </row>
    <row r="1661">
      <c r="A1661" s="2">
        <f>IFERROR(__xludf.DUMMYFUNCTION("""COMPUTED_VALUE"""),1660.0)</f>
        <v>1660</v>
      </c>
      <c r="B1661" s="2" t="str">
        <f>IFERROR(__xludf.DUMMYFUNCTION("""COMPUTED_VALUE"""),"Zara Jeannesson")</f>
        <v>Zara Jeannesson</v>
      </c>
      <c r="C1661" s="2" t="str">
        <f>IFERROR(__xludf.DUMMYFUNCTION("""COMPUTED_VALUE"""),"zjeannessonic@deviantart.com")</f>
        <v>zjeannessonic@deviantart.com</v>
      </c>
      <c r="D1661" s="4">
        <f>IFERROR(__xludf.DUMMYFUNCTION("""COMPUTED_VALUE"""),121.0)</f>
        <v>121</v>
      </c>
      <c r="E1661" s="4">
        <f>IFERROR(__xludf.DUMMYFUNCTION("""COMPUTED_VALUE"""),73.0)</f>
        <v>73</v>
      </c>
      <c r="F1661" s="4">
        <f>IFERROR(__xludf.DUMMYFUNCTION("""COMPUTED_VALUE"""),8.0)</f>
        <v>8</v>
      </c>
      <c r="G1661" s="4">
        <f>IFERROR(__xludf.DUMMYFUNCTION("""COMPUTED_VALUE"""),508.0)</f>
        <v>508</v>
      </c>
      <c r="H1661" s="5">
        <f>IFERROR(__xludf.DUMMYFUNCTION("""COMPUTED_VALUE"""),9113.07)</f>
        <v>9113.07</v>
      </c>
      <c r="I1661" s="5">
        <f>IFERROR(__xludf.DUMMYFUNCTION("""COMPUTED_VALUE"""),8376.87)</f>
        <v>8376.87</v>
      </c>
      <c r="J1661" s="5">
        <f>IFERROR(__xludf.DUMMYFUNCTION("""COMPUTED_VALUE"""),8021.86)</f>
        <v>8021.86</v>
      </c>
      <c r="K1661" s="5">
        <f>IFERROR(__xludf.DUMMYFUNCTION("""COMPUTED_VALUE"""),6832.09)</f>
        <v>6832.09</v>
      </c>
      <c r="L1661" s="4">
        <f>IFERROR(__xludf.DUMMYFUNCTION("""COMPUTED_VALUE"""),3.0)</f>
        <v>3</v>
      </c>
      <c r="M1661" s="4">
        <f>IFERROR(__xludf.DUMMYFUNCTION("""COMPUTED_VALUE"""),26.0)</f>
        <v>26</v>
      </c>
      <c r="N1661" s="2" t="str">
        <f>IFERROR(__xludf.DUMMYFUNCTION("""COMPUTED_VALUE"""),"VERDADERO")</f>
        <v>VERDADERO</v>
      </c>
    </row>
    <row r="1662">
      <c r="A1662" s="2">
        <f>IFERROR(__xludf.DUMMYFUNCTION("""COMPUTED_VALUE"""),1661.0)</f>
        <v>1661</v>
      </c>
      <c r="B1662" s="2" t="str">
        <f>IFERROR(__xludf.DUMMYFUNCTION("""COMPUTED_VALUE"""),"Martie Imore")</f>
        <v>Martie Imore</v>
      </c>
      <c r="C1662" s="2" t="str">
        <f>IFERROR(__xludf.DUMMYFUNCTION("""COMPUTED_VALUE"""),"mimoreid@constantcontact.com")</f>
        <v>mimoreid@constantcontact.com</v>
      </c>
      <c r="D1662" s="4">
        <f>IFERROR(__xludf.DUMMYFUNCTION("""COMPUTED_VALUE"""),160.0)</f>
        <v>160</v>
      </c>
      <c r="E1662" s="4">
        <f>IFERROR(__xludf.DUMMYFUNCTION("""COMPUTED_VALUE"""),66.0)</f>
        <v>66</v>
      </c>
      <c r="F1662" s="4">
        <f>IFERROR(__xludf.DUMMYFUNCTION("""COMPUTED_VALUE"""),6.0)</f>
        <v>6</v>
      </c>
      <c r="G1662" s="4">
        <f>IFERROR(__xludf.DUMMYFUNCTION("""COMPUTED_VALUE"""),1089.0)</f>
        <v>1089</v>
      </c>
      <c r="H1662" s="5">
        <f>IFERROR(__xludf.DUMMYFUNCTION("""COMPUTED_VALUE"""),9640.29)</f>
        <v>9640.29</v>
      </c>
      <c r="I1662" s="5">
        <f>IFERROR(__xludf.DUMMYFUNCTION("""COMPUTED_VALUE"""),2412.8)</f>
        <v>2412.8</v>
      </c>
      <c r="J1662" s="5">
        <f>IFERROR(__xludf.DUMMYFUNCTION("""COMPUTED_VALUE"""),2079.86)</f>
        <v>2079.86</v>
      </c>
      <c r="K1662" s="5">
        <f>IFERROR(__xludf.DUMMYFUNCTION("""COMPUTED_VALUE"""),8276.9)</f>
        <v>8276.9</v>
      </c>
      <c r="L1662" s="4">
        <f>IFERROR(__xludf.DUMMYFUNCTION("""COMPUTED_VALUE"""),2.0)</f>
        <v>2</v>
      </c>
      <c r="M1662" s="4">
        <f>IFERROR(__xludf.DUMMYFUNCTION("""COMPUTED_VALUE"""),30.0)</f>
        <v>30</v>
      </c>
      <c r="N1662" s="2" t="str">
        <f>IFERROR(__xludf.DUMMYFUNCTION("""COMPUTED_VALUE"""),"VERDADERO")</f>
        <v>VERDADERO</v>
      </c>
    </row>
    <row r="1663">
      <c r="A1663" s="2">
        <f>IFERROR(__xludf.DUMMYFUNCTION("""COMPUTED_VALUE"""),1662.0)</f>
        <v>1662</v>
      </c>
      <c r="B1663" s="2" t="str">
        <f>IFERROR(__xludf.DUMMYFUNCTION("""COMPUTED_VALUE"""),"Perri Gatteridge")</f>
        <v>Perri Gatteridge</v>
      </c>
      <c r="C1663" s="2" t="str">
        <f>IFERROR(__xludf.DUMMYFUNCTION("""COMPUTED_VALUE"""),"pgatteridgeie@networkadvertising.org")</f>
        <v>pgatteridgeie@networkadvertising.org</v>
      </c>
      <c r="D1663" s="4">
        <f>IFERROR(__xludf.DUMMYFUNCTION("""COMPUTED_VALUE"""),65.0)</f>
        <v>65</v>
      </c>
      <c r="E1663" s="4">
        <f>IFERROR(__xludf.DUMMYFUNCTION("""COMPUTED_VALUE"""),81.0)</f>
        <v>81</v>
      </c>
      <c r="F1663" s="4">
        <f>IFERROR(__xludf.DUMMYFUNCTION("""COMPUTED_VALUE"""),2.0)</f>
        <v>2</v>
      </c>
      <c r="G1663" s="4">
        <f>IFERROR(__xludf.DUMMYFUNCTION("""COMPUTED_VALUE"""),561.0)</f>
        <v>561</v>
      </c>
      <c r="H1663" s="5">
        <f>IFERROR(__xludf.DUMMYFUNCTION("""COMPUTED_VALUE"""),2230.0)</f>
        <v>2230</v>
      </c>
      <c r="I1663" s="5">
        <f>IFERROR(__xludf.DUMMYFUNCTION("""COMPUTED_VALUE"""),5370.75)</f>
        <v>5370.75</v>
      </c>
      <c r="J1663" s="5">
        <f>IFERROR(__xludf.DUMMYFUNCTION("""COMPUTED_VALUE"""),7468.14)</f>
        <v>7468.14</v>
      </c>
      <c r="K1663" s="5">
        <f>IFERROR(__xludf.DUMMYFUNCTION("""COMPUTED_VALUE"""),2251.74)</f>
        <v>2251.74</v>
      </c>
      <c r="L1663" s="4">
        <f>IFERROR(__xludf.DUMMYFUNCTION("""COMPUTED_VALUE"""),11.0)</f>
        <v>11</v>
      </c>
      <c r="M1663" s="4">
        <f>IFERROR(__xludf.DUMMYFUNCTION("""COMPUTED_VALUE"""),29.0)</f>
        <v>29</v>
      </c>
      <c r="N1663" s="2" t="str">
        <f>IFERROR(__xludf.DUMMYFUNCTION("""COMPUTED_VALUE"""),"FALSO")</f>
        <v>FALSO</v>
      </c>
    </row>
    <row r="1664">
      <c r="A1664" s="2">
        <f>IFERROR(__xludf.DUMMYFUNCTION("""COMPUTED_VALUE"""),1663.0)</f>
        <v>1663</v>
      </c>
      <c r="B1664" s="2" t="str">
        <f>IFERROR(__xludf.DUMMYFUNCTION("""COMPUTED_VALUE"""),"Philis Cleynman")</f>
        <v>Philis Cleynman</v>
      </c>
      <c r="C1664" s="2" t="str">
        <f>IFERROR(__xludf.DUMMYFUNCTION("""COMPUTED_VALUE"""),"pcleynmanif@msu.edu")</f>
        <v>pcleynmanif@msu.edu</v>
      </c>
      <c r="D1664" s="4">
        <f>IFERROR(__xludf.DUMMYFUNCTION("""COMPUTED_VALUE"""),153.0)</f>
        <v>153</v>
      </c>
      <c r="E1664" s="4">
        <f>IFERROR(__xludf.DUMMYFUNCTION("""COMPUTED_VALUE"""),64.0)</f>
        <v>64</v>
      </c>
      <c r="F1664" s="4">
        <f>IFERROR(__xludf.DUMMYFUNCTION("""COMPUTED_VALUE"""),4.0)</f>
        <v>4</v>
      </c>
      <c r="G1664" s="4">
        <f>IFERROR(__xludf.DUMMYFUNCTION("""COMPUTED_VALUE"""),1323.0)</f>
        <v>1323</v>
      </c>
      <c r="H1664" s="5">
        <f>IFERROR(__xludf.DUMMYFUNCTION("""COMPUTED_VALUE"""),2091.16)</f>
        <v>2091.16</v>
      </c>
      <c r="I1664" s="5">
        <f>IFERROR(__xludf.DUMMYFUNCTION("""COMPUTED_VALUE"""),9115.6)</f>
        <v>9115.6</v>
      </c>
      <c r="J1664" s="5">
        <f>IFERROR(__xludf.DUMMYFUNCTION("""COMPUTED_VALUE"""),225.72)</f>
        <v>225.72</v>
      </c>
      <c r="K1664" s="5">
        <f>IFERROR(__xludf.DUMMYFUNCTION("""COMPUTED_VALUE"""),3886.32)</f>
        <v>3886.32</v>
      </c>
      <c r="L1664" s="4">
        <f>IFERROR(__xludf.DUMMYFUNCTION("""COMPUTED_VALUE"""),11.0)</f>
        <v>11</v>
      </c>
      <c r="M1664" s="4">
        <f>IFERROR(__xludf.DUMMYFUNCTION("""COMPUTED_VALUE"""),71.0)</f>
        <v>71</v>
      </c>
      <c r="N1664" s="2" t="str">
        <f>IFERROR(__xludf.DUMMYFUNCTION("""COMPUTED_VALUE"""),"VERDADERO")</f>
        <v>VERDADERO</v>
      </c>
    </row>
    <row r="1665">
      <c r="A1665" s="2">
        <f>IFERROR(__xludf.DUMMYFUNCTION("""COMPUTED_VALUE"""),1664.0)</f>
        <v>1664</v>
      </c>
      <c r="B1665" s="2" t="str">
        <f>IFERROR(__xludf.DUMMYFUNCTION("""COMPUTED_VALUE"""),"Darice Cooksley")</f>
        <v>Darice Cooksley</v>
      </c>
      <c r="C1665" s="2" t="str">
        <f>IFERROR(__xludf.DUMMYFUNCTION("""COMPUTED_VALUE"""),"dcooksleyig@reverbnation.com")</f>
        <v>dcooksleyig@reverbnation.com</v>
      </c>
      <c r="D1665" s="4">
        <f>IFERROR(__xludf.DUMMYFUNCTION("""COMPUTED_VALUE"""),62.0)</f>
        <v>62</v>
      </c>
      <c r="E1665" s="4">
        <f>IFERROR(__xludf.DUMMYFUNCTION("""COMPUTED_VALUE"""),81.0)</f>
        <v>81</v>
      </c>
      <c r="F1665" s="4">
        <f>IFERROR(__xludf.DUMMYFUNCTION("""COMPUTED_VALUE"""),2.0)</f>
        <v>2</v>
      </c>
      <c r="G1665" s="4">
        <f>IFERROR(__xludf.DUMMYFUNCTION("""COMPUTED_VALUE"""),710.0)</f>
        <v>710</v>
      </c>
      <c r="H1665" s="5">
        <f>IFERROR(__xludf.DUMMYFUNCTION("""COMPUTED_VALUE"""),2941.53)</f>
        <v>2941.53</v>
      </c>
      <c r="I1665" s="5">
        <f>IFERROR(__xludf.DUMMYFUNCTION("""COMPUTED_VALUE"""),3154.86)</f>
        <v>3154.86</v>
      </c>
      <c r="J1665" s="5">
        <f>IFERROR(__xludf.DUMMYFUNCTION("""COMPUTED_VALUE"""),1473.25)</f>
        <v>1473.25</v>
      </c>
      <c r="K1665" s="5">
        <f>IFERROR(__xludf.DUMMYFUNCTION("""COMPUTED_VALUE"""),225.02)</f>
        <v>225.02</v>
      </c>
      <c r="L1665" s="4">
        <f>IFERROR(__xludf.DUMMYFUNCTION("""COMPUTED_VALUE"""),15.0)</f>
        <v>15</v>
      </c>
      <c r="M1665" s="4">
        <f>IFERROR(__xludf.DUMMYFUNCTION("""COMPUTED_VALUE"""),71.0)</f>
        <v>71</v>
      </c>
      <c r="N1665" s="2" t="str">
        <f>IFERROR(__xludf.DUMMYFUNCTION("""COMPUTED_VALUE"""),"VERDADERO")</f>
        <v>VERDADERO</v>
      </c>
    </row>
    <row r="1666">
      <c r="A1666" s="2">
        <f>IFERROR(__xludf.DUMMYFUNCTION("""COMPUTED_VALUE"""),1665.0)</f>
        <v>1665</v>
      </c>
      <c r="B1666" s="2" t="str">
        <f>IFERROR(__xludf.DUMMYFUNCTION("""COMPUTED_VALUE"""),"Rupert Dowker")</f>
        <v>Rupert Dowker</v>
      </c>
      <c r="C1666" s="2" t="str">
        <f>IFERROR(__xludf.DUMMYFUNCTION("""COMPUTED_VALUE"""),"rdowkerih@alexa.com")</f>
        <v>rdowkerih@alexa.com</v>
      </c>
      <c r="D1666" s="4">
        <f>IFERROR(__xludf.DUMMYFUNCTION("""COMPUTED_VALUE"""),17.0)</f>
        <v>17</v>
      </c>
      <c r="E1666" s="4">
        <f>IFERROR(__xludf.DUMMYFUNCTION("""COMPUTED_VALUE"""),90.0)</f>
        <v>90</v>
      </c>
      <c r="F1666" s="4">
        <f>IFERROR(__xludf.DUMMYFUNCTION("""COMPUTED_VALUE"""),5.0)</f>
        <v>5</v>
      </c>
      <c r="G1666" s="4">
        <f>IFERROR(__xludf.DUMMYFUNCTION("""COMPUTED_VALUE"""),1467.0)</f>
        <v>1467</v>
      </c>
      <c r="H1666" s="5">
        <f>IFERROR(__xludf.DUMMYFUNCTION("""COMPUTED_VALUE"""),6943.48)</f>
        <v>6943.48</v>
      </c>
      <c r="I1666" s="5">
        <f>IFERROR(__xludf.DUMMYFUNCTION("""COMPUTED_VALUE"""),9982.43)</f>
        <v>9982.43</v>
      </c>
      <c r="J1666" s="5">
        <f>IFERROR(__xludf.DUMMYFUNCTION("""COMPUTED_VALUE"""),2378.7)</f>
        <v>2378.7</v>
      </c>
      <c r="K1666" s="5">
        <f>IFERROR(__xludf.DUMMYFUNCTION("""COMPUTED_VALUE"""),1873.06)</f>
        <v>1873.06</v>
      </c>
      <c r="L1666" s="4">
        <f>IFERROR(__xludf.DUMMYFUNCTION("""COMPUTED_VALUE"""),16.0)</f>
        <v>16</v>
      </c>
      <c r="M1666" s="4">
        <f>IFERROR(__xludf.DUMMYFUNCTION("""COMPUTED_VALUE"""),100.0)</f>
        <v>100</v>
      </c>
      <c r="N1666" s="2" t="str">
        <f>IFERROR(__xludf.DUMMYFUNCTION("""COMPUTED_VALUE"""),"VERDADERO")</f>
        <v>VERDADERO</v>
      </c>
    </row>
    <row r="1667">
      <c r="A1667" s="2">
        <f>IFERROR(__xludf.DUMMYFUNCTION("""COMPUTED_VALUE"""),1666.0)</f>
        <v>1666</v>
      </c>
      <c r="B1667" s="2" t="str">
        <f>IFERROR(__xludf.DUMMYFUNCTION("""COMPUTED_VALUE"""),"Pacorro Swanborough")</f>
        <v>Pacorro Swanborough</v>
      </c>
      <c r="C1667" s="2" t="str">
        <f>IFERROR(__xludf.DUMMYFUNCTION("""COMPUTED_VALUE"""),"pswanboroughii@163.com")</f>
        <v>pswanboroughii@163.com</v>
      </c>
      <c r="D1667" s="4">
        <f>IFERROR(__xludf.DUMMYFUNCTION("""COMPUTED_VALUE"""),17.0)</f>
        <v>17</v>
      </c>
      <c r="E1667" s="4">
        <f>IFERROR(__xludf.DUMMYFUNCTION("""COMPUTED_VALUE"""),81.0)</f>
        <v>81</v>
      </c>
      <c r="F1667" s="4">
        <f>IFERROR(__xludf.DUMMYFUNCTION("""COMPUTED_VALUE"""),2.0)</f>
        <v>2</v>
      </c>
      <c r="G1667" s="4">
        <f>IFERROR(__xludf.DUMMYFUNCTION("""COMPUTED_VALUE"""),795.0)</f>
        <v>795</v>
      </c>
      <c r="H1667" s="5">
        <f>IFERROR(__xludf.DUMMYFUNCTION("""COMPUTED_VALUE"""),1607.81)</f>
        <v>1607.81</v>
      </c>
      <c r="I1667" s="5">
        <f>IFERROR(__xludf.DUMMYFUNCTION("""COMPUTED_VALUE"""),1277.44)</f>
        <v>1277.44</v>
      </c>
      <c r="J1667" s="5">
        <f>IFERROR(__xludf.DUMMYFUNCTION("""COMPUTED_VALUE"""),9519.92)</f>
        <v>9519.92</v>
      </c>
      <c r="K1667" s="5">
        <f>IFERROR(__xludf.DUMMYFUNCTION("""COMPUTED_VALUE"""),6382.82)</f>
        <v>6382.82</v>
      </c>
      <c r="L1667" s="4">
        <f>IFERROR(__xludf.DUMMYFUNCTION("""COMPUTED_VALUE"""),8.0)</f>
        <v>8</v>
      </c>
      <c r="M1667" s="4">
        <f>IFERROR(__xludf.DUMMYFUNCTION("""COMPUTED_VALUE"""),99.0)</f>
        <v>99</v>
      </c>
      <c r="N1667" s="2" t="str">
        <f>IFERROR(__xludf.DUMMYFUNCTION("""COMPUTED_VALUE"""),"VERDADERO")</f>
        <v>VERDADERO</v>
      </c>
    </row>
    <row r="1668">
      <c r="A1668" s="2">
        <f>IFERROR(__xludf.DUMMYFUNCTION("""COMPUTED_VALUE"""),1667.0)</f>
        <v>1667</v>
      </c>
      <c r="B1668" s="2" t="str">
        <f>IFERROR(__xludf.DUMMYFUNCTION("""COMPUTED_VALUE"""),"Roxanne Lagde")</f>
        <v>Roxanne Lagde</v>
      </c>
      <c r="C1668" s="2" t="str">
        <f>IFERROR(__xludf.DUMMYFUNCTION("""COMPUTED_VALUE"""),"rlagdeij@ask.com")</f>
        <v>rlagdeij@ask.com</v>
      </c>
      <c r="D1668" s="4">
        <f>IFERROR(__xludf.DUMMYFUNCTION("""COMPUTED_VALUE"""),29.0)</f>
        <v>29</v>
      </c>
      <c r="E1668" s="4">
        <f>IFERROR(__xludf.DUMMYFUNCTION("""COMPUTED_VALUE"""),3.0)</f>
        <v>3</v>
      </c>
      <c r="F1668" s="4">
        <f>IFERROR(__xludf.DUMMYFUNCTION("""COMPUTED_VALUE"""),8.0)</f>
        <v>8</v>
      </c>
      <c r="G1668" s="4">
        <f>IFERROR(__xludf.DUMMYFUNCTION("""COMPUTED_VALUE"""),700.0)</f>
        <v>700</v>
      </c>
      <c r="H1668" s="5">
        <f>IFERROR(__xludf.DUMMYFUNCTION("""COMPUTED_VALUE"""),9693.2)</f>
        <v>9693.2</v>
      </c>
      <c r="I1668" s="5">
        <f>IFERROR(__xludf.DUMMYFUNCTION("""COMPUTED_VALUE"""),9484.89)</f>
        <v>9484.89</v>
      </c>
      <c r="J1668" s="5">
        <f>IFERROR(__xludf.DUMMYFUNCTION("""COMPUTED_VALUE"""),1913.6)</f>
        <v>1913.6</v>
      </c>
      <c r="K1668" s="5">
        <f>IFERROR(__xludf.DUMMYFUNCTION("""COMPUTED_VALUE"""),884.31)</f>
        <v>884.31</v>
      </c>
      <c r="L1668" s="4">
        <f>IFERROR(__xludf.DUMMYFUNCTION("""COMPUTED_VALUE"""),10.0)</f>
        <v>10</v>
      </c>
      <c r="M1668" s="4">
        <f>IFERROR(__xludf.DUMMYFUNCTION("""COMPUTED_VALUE"""),40.0)</f>
        <v>40</v>
      </c>
      <c r="N1668" s="2" t="str">
        <f>IFERROR(__xludf.DUMMYFUNCTION("""COMPUTED_VALUE"""),"VERDADERO")</f>
        <v>VERDADERO</v>
      </c>
    </row>
    <row r="1669">
      <c r="A1669" s="2">
        <f>IFERROR(__xludf.DUMMYFUNCTION("""COMPUTED_VALUE"""),1668.0)</f>
        <v>1668</v>
      </c>
      <c r="B1669" s="2" t="str">
        <f>IFERROR(__xludf.DUMMYFUNCTION("""COMPUTED_VALUE"""),"Reg Exall")</f>
        <v>Reg Exall</v>
      </c>
      <c r="C1669" s="2" t="str">
        <f>IFERROR(__xludf.DUMMYFUNCTION("""COMPUTED_VALUE"""),"rexallik@soup.io")</f>
        <v>rexallik@soup.io</v>
      </c>
      <c r="D1669" s="4">
        <f>IFERROR(__xludf.DUMMYFUNCTION("""COMPUTED_VALUE"""),94.0)</f>
        <v>94</v>
      </c>
      <c r="E1669" s="4">
        <f>IFERROR(__xludf.DUMMYFUNCTION("""COMPUTED_VALUE"""),95.0)</f>
        <v>95</v>
      </c>
      <c r="F1669" s="4">
        <f>IFERROR(__xludf.DUMMYFUNCTION("""COMPUTED_VALUE"""),13.0)</f>
        <v>13</v>
      </c>
      <c r="G1669" s="4">
        <f>IFERROR(__xludf.DUMMYFUNCTION("""COMPUTED_VALUE"""),843.0)</f>
        <v>843</v>
      </c>
      <c r="H1669" s="5">
        <f>IFERROR(__xludf.DUMMYFUNCTION("""COMPUTED_VALUE"""),9724.69)</f>
        <v>9724.69</v>
      </c>
      <c r="I1669" s="5">
        <f>IFERROR(__xludf.DUMMYFUNCTION("""COMPUTED_VALUE"""),7484.09)</f>
        <v>7484.09</v>
      </c>
      <c r="J1669" s="5">
        <f>IFERROR(__xludf.DUMMYFUNCTION("""COMPUTED_VALUE"""),6933.61)</f>
        <v>6933.61</v>
      </c>
      <c r="K1669" s="5">
        <f>IFERROR(__xludf.DUMMYFUNCTION("""COMPUTED_VALUE"""),6831.93)</f>
        <v>6831.93</v>
      </c>
      <c r="L1669" s="4">
        <f>IFERROR(__xludf.DUMMYFUNCTION("""COMPUTED_VALUE"""),12.0)</f>
        <v>12</v>
      </c>
      <c r="M1669" s="4">
        <f>IFERROR(__xludf.DUMMYFUNCTION("""COMPUTED_VALUE"""),92.0)</f>
        <v>92</v>
      </c>
      <c r="N1669" s="2" t="str">
        <f>IFERROR(__xludf.DUMMYFUNCTION("""COMPUTED_VALUE"""),"FALSO")</f>
        <v>FALSO</v>
      </c>
    </row>
    <row r="1670">
      <c r="A1670" s="2">
        <f>IFERROR(__xludf.DUMMYFUNCTION("""COMPUTED_VALUE"""),1669.0)</f>
        <v>1669</v>
      </c>
      <c r="B1670" s="2" t="str">
        <f>IFERROR(__xludf.DUMMYFUNCTION("""COMPUTED_VALUE"""),"Nap Gimblet")</f>
        <v>Nap Gimblet</v>
      </c>
      <c r="C1670" s="2" t="str">
        <f>IFERROR(__xludf.DUMMYFUNCTION("""COMPUTED_VALUE"""),"ngimbletil@tripadvisor.com")</f>
        <v>ngimbletil@tripadvisor.com</v>
      </c>
      <c r="D1670" s="4">
        <f>IFERROR(__xludf.DUMMYFUNCTION("""COMPUTED_VALUE"""),65.0)</f>
        <v>65</v>
      </c>
      <c r="E1670" s="4">
        <f>IFERROR(__xludf.DUMMYFUNCTION("""COMPUTED_VALUE"""),66.0)</f>
        <v>66</v>
      </c>
      <c r="F1670" s="4">
        <f>IFERROR(__xludf.DUMMYFUNCTION("""COMPUTED_VALUE"""),6.0)</f>
        <v>6</v>
      </c>
      <c r="G1670" s="4">
        <f>IFERROR(__xludf.DUMMYFUNCTION("""COMPUTED_VALUE"""),505.0)</f>
        <v>505</v>
      </c>
      <c r="H1670" s="5">
        <f>IFERROR(__xludf.DUMMYFUNCTION("""COMPUTED_VALUE"""),1125.57)</f>
        <v>1125.57</v>
      </c>
      <c r="I1670" s="5">
        <f>IFERROR(__xludf.DUMMYFUNCTION("""COMPUTED_VALUE"""),1280.28)</f>
        <v>1280.28</v>
      </c>
      <c r="J1670" s="5">
        <f>IFERROR(__xludf.DUMMYFUNCTION("""COMPUTED_VALUE"""),2609.09)</f>
        <v>2609.09</v>
      </c>
      <c r="K1670" s="5">
        <f>IFERROR(__xludf.DUMMYFUNCTION("""COMPUTED_VALUE"""),9088.23)</f>
        <v>9088.23</v>
      </c>
      <c r="L1670" s="4">
        <f>IFERROR(__xludf.DUMMYFUNCTION("""COMPUTED_VALUE"""),9.0)</f>
        <v>9</v>
      </c>
      <c r="M1670" s="4">
        <f>IFERROR(__xludf.DUMMYFUNCTION("""COMPUTED_VALUE"""),11.0)</f>
        <v>11</v>
      </c>
      <c r="N1670" s="2" t="str">
        <f>IFERROR(__xludf.DUMMYFUNCTION("""COMPUTED_VALUE"""),"FALSO")</f>
        <v>FALSO</v>
      </c>
    </row>
    <row r="1671">
      <c r="A1671" s="2">
        <f>IFERROR(__xludf.DUMMYFUNCTION("""COMPUTED_VALUE"""),1670.0)</f>
        <v>1670</v>
      </c>
      <c r="B1671" s="2" t="str">
        <f>IFERROR(__xludf.DUMMYFUNCTION("""COMPUTED_VALUE"""),"Woodie Potten")</f>
        <v>Woodie Potten</v>
      </c>
      <c r="C1671" s="2" t="str">
        <f>IFERROR(__xludf.DUMMYFUNCTION("""COMPUTED_VALUE"""),"wpottenim@google.de")</f>
        <v>wpottenim@google.de</v>
      </c>
      <c r="D1671" s="4">
        <f>IFERROR(__xludf.DUMMYFUNCTION("""COMPUTED_VALUE"""),49.0)</f>
        <v>49</v>
      </c>
      <c r="E1671" s="4">
        <f>IFERROR(__xludf.DUMMYFUNCTION("""COMPUTED_VALUE"""),81.0)</f>
        <v>81</v>
      </c>
      <c r="F1671" s="4">
        <f>IFERROR(__xludf.DUMMYFUNCTION("""COMPUTED_VALUE"""),2.0)</f>
        <v>2</v>
      </c>
      <c r="G1671" s="4">
        <f>IFERROR(__xludf.DUMMYFUNCTION("""COMPUTED_VALUE"""),1236.0)</f>
        <v>1236</v>
      </c>
      <c r="H1671" s="5">
        <f>IFERROR(__xludf.DUMMYFUNCTION("""COMPUTED_VALUE"""),1789.56)</f>
        <v>1789.56</v>
      </c>
      <c r="I1671" s="5">
        <f>IFERROR(__xludf.DUMMYFUNCTION("""COMPUTED_VALUE"""),4068.49)</f>
        <v>4068.49</v>
      </c>
      <c r="J1671" s="5">
        <f>IFERROR(__xludf.DUMMYFUNCTION("""COMPUTED_VALUE"""),7513.64)</f>
        <v>7513.64</v>
      </c>
      <c r="K1671" s="5">
        <f>IFERROR(__xludf.DUMMYFUNCTION("""COMPUTED_VALUE"""),7688.82)</f>
        <v>7688.82</v>
      </c>
      <c r="L1671" s="4">
        <f>IFERROR(__xludf.DUMMYFUNCTION("""COMPUTED_VALUE"""),9.0)</f>
        <v>9</v>
      </c>
      <c r="M1671" s="4">
        <f>IFERROR(__xludf.DUMMYFUNCTION("""COMPUTED_VALUE"""),24.0)</f>
        <v>24</v>
      </c>
      <c r="N1671" s="2" t="str">
        <f>IFERROR(__xludf.DUMMYFUNCTION("""COMPUTED_VALUE"""),"FALSO")</f>
        <v>FALSO</v>
      </c>
    </row>
    <row r="1672">
      <c r="A1672" s="2">
        <f>IFERROR(__xludf.DUMMYFUNCTION("""COMPUTED_VALUE"""),1671.0)</f>
        <v>1671</v>
      </c>
      <c r="B1672" s="2" t="str">
        <f>IFERROR(__xludf.DUMMYFUNCTION("""COMPUTED_VALUE"""),"Mikkel Fewkes")</f>
        <v>Mikkel Fewkes</v>
      </c>
      <c r="C1672" s="2" t="str">
        <f>IFERROR(__xludf.DUMMYFUNCTION("""COMPUTED_VALUE"""),"mfewkesin@hatena.ne.jp")</f>
        <v>mfewkesin@hatena.ne.jp</v>
      </c>
      <c r="D1672" s="4">
        <f>IFERROR(__xludf.DUMMYFUNCTION("""COMPUTED_VALUE"""),65.0)</f>
        <v>65</v>
      </c>
      <c r="E1672" s="4">
        <f>IFERROR(__xludf.DUMMYFUNCTION("""COMPUTED_VALUE"""),101.0)</f>
        <v>101</v>
      </c>
      <c r="F1672" s="4">
        <f>IFERROR(__xludf.DUMMYFUNCTION("""COMPUTED_VALUE"""),5.0)</f>
        <v>5</v>
      </c>
      <c r="G1672" s="4">
        <f>IFERROR(__xludf.DUMMYFUNCTION("""COMPUTED_VALUE"""),1396.0)</f>
        <v>1396</v>
      </c>
      <c r="H1672" s="5">
        <f>IFERROR(__xludf.DUMMYFUNCTION("""COMPUTED_VALUE"""),9619.9)</f>
        <v>9619.9</v>
      </c>
      <c r="I1672" s="5">
        <f>IFERROR(__xludf.DUMMYFUNCTION("""COMPUTED_VALUE"""),9218.18)</f>
        <v>9218.18</v>
      </c>
      <c r="J1672" s="5">
        <f>IFERROR(__xludf.DUMMYFUNCTION("""COMPUTED_VALUE"""),5817.32)</f>
        <v>5817.32</v>
      </c>
      <c r="K1672" s="5">
        <f>IFERROR(__xludf.DUMMYFUNCTION("""COMPUTED_VALUE"""),7325.8)</f>
        <v>7325.8</v>
      </c>
      <c r="L1672" s="4">
        <f>IFERROR(__xludf.DUMMYFUNCTION("""COMPUTED_VALUE"""),16.0)</f>
        <v>16</v>
      </c>
      <c r="M1672" s="4">
        <f>IFERROR(__xludf.DUMMYFUNCTION("""COMPUTED_VALUE"""),44.0)</f>
        <v>44</v>
      </c>
      <c r="N1672" s="2" t="str">
        <f>IFERROR(__xludf.DUMMYFUNCTION("""COMPUTED_VALUE"""),"VERDADERO")</f>
        <v>VERDADERO</v>
      </c>
    </row>
    <row r="1673">
      <c r="A1673" s="2">
        <f>IFERROR(__xludf.DUMMYFUNCTION("""COMPUTED_VALUE"""),1672.0)</f>
        <v>1672</v>
      </c>
      <c r="B1673" s="2" t="str">
        <f>IFERROR(__xludf.DUMMYFUNCTION("""COMPUTED_VALUE"""),"Emmye Tett")</f>
        <v>Emmye Tett</v>
      </c>
      <c r="C1673" s="2" t="str">
        <f>IFERROR(__xludf.DUMMYFUNCTION("""COMPUTED_VALUE"""),"etettio@theglobeandmail.com")</f>
        <v>etettio@theglobeandmail.com</v>
      </c>
      <c r="D1673" s="4">
        <f>IFERROR(__xludf.DUMMYFUNCTION("""COMPUTED_VALUE"""),29.0)</f>
        <v>29</v>
      </c>
      <c r="E1673" s="4">
        <f>IFERROR(__xludf.DUMMYFUNCTION("""COMPUTED_VALUE"""),81.0)</f>
        <v>81</v>
      </c>
      <c r="F1673" s="4">
        <f>IFERROR(__xludf.DUMMYFUNCTION("""COMPUTED_VALUE"""),2.0)</f>
        <v>2</v>
      </c>
      <c r="G1673" s="4">
        <f>IFERROR(__xludf.DUMMYFUNCTION("""COMPUTED_VALUE"""),270.0)</f>
        <v>270</v>
      </c>
      <c r="H1673" s="5">
        <f>IFERROR(__xludf.DUMMYFUNCTION("""COMPUTED_VALUE"""),4872.07)</f>
        <v>4872.07</v>
      </c>
      <c r="I1673" s="5">
        <f>IFERROR(__xludf.DUMMYFUNCTION("""COMPUTED_VALUE"""),52.36)</f>
        <v>52.36</v>
      </c>
      <c r="J1673" s="5">
        <f>IFERROR(__xludf.DUMMYFUNCTION("""COMPUTED_VALUE"""),572.09)</f>
        <v>572.09</v>
      </c>
      <c r="K1673" s="5">
        <f>IFERROR(__xludf.DUMMYFUNCTION("""COMPUTED_VALUE"""),3740.77)</f>
        <v>3740.77</v>
      </c>
      <c r="L1673" s="4">
        <f>IFERROR(__xludf.DUMMYFUNCTION("""COMPUTED_VALUE"""),8.0)</f>
        <v>8</v>
      </c>
      <c r="M1673" s="4">
        <f>IFERROR(__xludf.DUMMYFUNCTION("""COMPUTED_VALUE"""),90.0)</f>
        <v>90</v>
      </c>
      <c r="N1673" s="2" t="str">
        <f>IFERROR(__xludf.DUMMYFUNCTION("""COMPUTED_VALUE"""),"FALSO")</f>
        <v>FALSO</v>
      </c>
    </row>
    <row r="1674">
      <c r="A1674" s="2">
        <f>IFERROR(__xludf.DUMMYFUNCTION("""COMPUTED_VALUE"""),1673.0)</f>
        <v>1673</v>
      </c>
      <c r="B1674" s="2" t="str">
        <f>IFERROR(__xludf.DUMMYFUNCTION("""COMPUTED_VALUE"""),"Anabel McKernan")</f>
        <v>Anabel McKernan</v>
      </c>
      <c r="C1674" s="2" t="str">
        <f>IFERROR(__xludf.DUMMYFUNCTION("""COMPUTED_VALUE"""),"amckernanip@tinyurl.com")</f>
        <v>amckernanip@tinyurl.com</v>
      </c>
      <c r="D1674" s="4">
        <f>IFERROR(__xludf.DUMMYFUNCTION("""COMPUTED_VALUE"""),98.0)</f>
        <v>98</v>
      </c>
      <c r="E1674" s="4">
        <f>IFERROR(__xludf.DUMMYFUNCTION("""COMPUTED_VALUE"""),59.0)</f>
        <v>59</v>
      </c>
      <c r="F1674" s="4">
        <f>IFERROR(__xludf.DUMMYFUNCTION("""COMPUTED_VALUE"""),6.0)</f>
        <v>6</v>
      </c>
      <c r="G1674" s="4">
        <f>IFERROR(__xludf.DUMMYFUNCTION("""COMPUTED_VALUE"""),1287.0)</f>
        <v>1287</v>
      </c>
      <c r="H1674" s="5">
        <f>IFERROR(__xludf.DUMMYFUNCTION("""COMPUTED_VALUE"""),1703.42)</f>
        <v>1703.42</v>
      </c>
      <c r="I1674" s="5">
        <f>IFERROR(__xludf.DUMMYFUNCTION("""COMPUTED_VALUE"""),1789.96)</f>
        <v>1789.96</v>
      </c>
      <c r="J1674" s="5">
        <f>IFERROR(__xludf.DUMMYFUNCTION("""COMPUTED_VALUE"""),7235.01)</f>
        <v>7235.01</v>
      </c>
      <c r="K1674" s="5">
        <f>IFERROR(__xludf.DUMMYFUNCTION("""COMPUTED_VALUE"""),4111.66)</f>
        <v>4111.66</v>
      </c>
      <c r="L1674" s="4">
        <f>IFERROR(__xludf.DUMMYFUNCTION("""COMPUTED_VALUE"""),3.0)</f>
        <v>3</v>
      </c>
      <c r="M1674" s="4">
        <f>IFERROR(__xludf.DUMMYFUNCTION("""COMPUTED_VALUE"""),87.0)</f>
        <v>87</v>
      </c>
      <c r="N1674" s="2" t="str">
        <f>IFERROR(__xludf.DUMMYFUNCTION("""COMPUTED_VALUE"""),"FALSO")</f>
        <v>FALSO</v>
      </c>
    </row>
    <row r="1675">
      <c r="A1675" s="2">
        <f>IFERROR(__xludf.DUMMYFUNCTION("""COMPUTED_VALUE"""),1674.0)</f>
        <v>1674</v>
      </c>
      <c r="B1675" s="2" t="str">
        <f>IFERROR(__xludf.DUMMYFUNCTION("""COMPUTED_VALUE"""),"Stacy Worham")</f>
        <v>Stacy Worham</v>
      </c>
      <c r="C1675" s="2" t="str">
        <f>IFERROR(__xludf.DUMMYFUNCTION("""COMPUTED_VALUE"""),"sworhamiq@csmonitor.com")</f>
        <v>sworhamiq@csmonitor.com</v>
      </c>
      <c r="D1675" s="4">
        <f>IFERROR(__xludf.DUMMYFUNCTION("""COMPUTED_VALUE"""),17.0)</f>
        <v>17</v>
      </c>
      <c r="E1675" s="4">
        <f>IFERROR(__xludf.DUMMYFUNCTION("""COMPUTED_VALUE"""),94.0)</f>
        <v>94</v>
      </c>
      <c r="F1675" s="4">
        <f>IFERROR(__xludf.DUMMYFUNCTION("""COMPUTED_VALUE"""),9.0)</f>
        <v>9</v>
      </c>
      <c r="G1675" s="4">
        <f>IFERROR(__xludf.DUMMYFUNCTION("""COMPUTED_VALUE"""),327.0)</f>
        <v>327</v>
      </c>
      <c r="H1675" s="5">
        <f>IFERROR(__xludf.DUMMYFUNCTION("""COMPUTED_VALUE"""),9608.22)</f>
        <v>9608.22</v>
      </c>
      <c r="I1675" s="5">
        <f>IFERROR(__xludf.DUMMYFUNCTION("""COMPUTED_VALUE"""),1375.2)</f>
        <v>1375.2</v>
      </c>
      <c r="J1675" s="5">
        <f>IFERROR(__xludf.DUMMYFUNCTION("""COMPUTED_VALUE"""),1835.01)</f>
        <v>1835.01</v>
      </c>
      <c r="K1675" s="5">
        <f>IFERROR(__xludf.DUMMYFUNCTION("""COMPUTED_VALUE"""),8627.26)</f>
        <v>8627.26</v>
      </c>
      <c r="L1675" s="4">
        <f>IFERROR(__xludf.DUMMYFUNCTION("""COMPUTED_VALUE"""),7.0)</f>
        <v>7</v>
      </c>
      <c r="M1675" s="4">
        <f>IFERROR(__xludf.DUMMYFUNCTION("""COMPUTED_VALUE"""),50.0)</f>
        <v>50</v>
      </c>
      <c r="N1675" s="2" t="str">
        <f>IFERROR(__xludf.DUMMYFUNCTION("""COMPUTED_VALUE"""),"VERDADERO")</f>
        <v>VERDADERO</v>
      </c>
    </row>
    <row r="1676">
      <c r="A1676" s="2">
        <f>IFERROR(__xludf.DUMMYFUNCTION("""COMPUTED_VALUE"""),1675.0)</f>
        <v>1675</v>
      </c>
      <c r="B1676" s="2" t="str">
        <f>IFERROR(__xludf.DUMMYFUNCTION("""COMPUTED_VALUE"""),"Cash Slimmon")</f>
        <v>Cash Slimmon</v>
      </c>
      <c r="C1676" s="2" t="str">
        <f>IFERROR(__xludf.DUMMYFUNCTION("""COMPUTED_VALUE"""),"cslimmonir@forbes.com")</f>
        <v>cslimmonir@forbes.com</v>
      </c>
      <c r="D1676" s="4">
        <f>IFERROR(__xludf.DUMMYFUNCTION("""COMPUTED_VALUE"""),49.0)</f>
        <v>49</v>
      </c>
      <c r="E1676" s="4">
        <f>IFERROR(__xludf.DUMMYFUNCTION("""COMPUTED_VALUE"""),72.0)</f>
        <v>72</v>
      </c>
      <c r="F1676" s="4">
        <f>IFERROR(__xludf.DUMMYFUNCTION("""COMPUTED_VALUE"""),6.0)</f>
        <v>6</v>
      </c>
      <c r="G1676" s="4">
        <f>IFERROR(__xludf.DUMMYFUNCTION("""COMPUTED_VALUE"""),735.0)</f>
        <v>735</v>
      </c>
      <c r="H1676" s="5">
        <f>IFERROR(__xludf.DUMMYFUNCTION("""COMPUTED_VALUE"""),607.66)</f>
        <v>607.66</v>
      </c>
      <c r="I1676" s="5">
        <f>IFERROR(__xludf.DUMMYFUNCTION("""COMPUTED_VALUE"""),5640.73)</f>
        <v>5640.73</v>
      </c>
      <c r="J1676" s="5">
        <f>IFERROR(__xludf.DUMMYFUNCTION("""COMPUTED_VALUE"""),5719.29)</f>
        <v>5719.29</v>
      </c>
      <c r="K1676" s="5">
        <f>IFERROR(__xludf.DUMMYFUNCTION("""COMPUTED_VALUE"""),8420.94)</f>
        <v>8420.94</v>
      </c>
      <c r="L1676" s="4">
        <f>IFERROR(__xludf.DUMMYFUNCTION("""COMPUTED_VALUE"""),20.0)</f>
        <v>20</v>
      </c>
      <c r="M1676" s="4">
        <f>IFERROR(__xludf.DUMMYFUNCTION("""COMPUTED_VALUE"""),47.0)</f>
        <v>47</v>
      </c>
      <c r="N1676" s="2" t="str">
        <f>IFERROR(__xludf.DUMMYFUNCTION("""COMPUTED_VALUE"""),"VERDADERO")</f>
        <v>VERDADERO</v>
      </c>
    </row>
    <row r="1677">
      <c r="A1677" s="2">
        <f>IFERROR(__xludf.DUMMYFUNCTION("""COMPUTED_VALUE"""),1676.0)</f>
        <v>1676</v>
      </c>
      <c r="B1677" s="2" t="str">
        <f>IFERROR(__xludf.DUMMYFUNCTION("""COMPUTED_VALUE"""),"Jackquelin Seaborn")</f>
        <v>Jackquelin Seaborn</v>
      </c>
      <c r="C1677" s="2" t="str">
        <f>IFERROR(__xludf.DUMMYFUNCTION("""COMPUTED_VALUE"""),"jseabornis@google.es")</f>
        <v>jseabornis@google.es</v>
      </c>
      <c r="D1677" s="4">
        <f>IFERROR(__xludf.DUMMYFUNCTION("""COMPUTED_VALUE"""),115.0)</f>
        <v>115</v>
      </c>
      <c r="E1677" s="4">
        <f>IFERROR(__xludf.DUMMYFUNCTION("""COMPUTED_VALUE"""),81.0)</f>
        <v>81</v>
      </c>
      <c r="F1677" s="4">
        <f>IFERROR(__xludf.DUMMYFUNCTION("""COMPUTED_VALUE"""),2.0)</f>
        <v>2</v>
      </c>
      <c r="G1677" s="4">
        <f>IFERROR(__xludf.DUMMYFUNCTION("""COMPUTED_VALUE"""),1117.0)</f>
        <v>1117</v>
      </c>
      <c r="H1677" s="5">
        <f>IFERROR(__xludf.DUMMYFUNCTION("""COMPUTED_VALUE"""),528.67)</f>
        <v>528.67</v>
      </c>
      <c r="I1677" s="5">
        <f>IFERROR(__xludf.DUMMYFUNCTION("""COMPUTED_VALUE"""),9733.39)</f>
        <v>9733.39</v>
      </c>
      <c r="J1677" s="5">
        <f>IFERROR(__xludf.DUMMYFUNCTION("""COMPUTED_VALUE"""),9024.53)</f>
        <v>9024.53</v>
      </c>
      <c r="K1677" s="5">
        <f>IFERROR(__xludf.DUMMYFUNCTION("""COMPUTED_VALUE"""),9231.93)</f>
        <v>9231.93</v>
      </c>
      <c r="L1677" s="4">
        <f>IFERROR(__xludf.DUMMYFUNCTION("""COMPUTED_VALUE"""),19.0)</f>
        <v>19</v>
      </c>
      <c r="M1677" s="4">
        <f>IFERROR(__xludf.DUMMYFUNCTION("""COMPUTED_VALUE"""),53.0)</f>
        <v>53</v>
      </c>
      <c r="N1677" s="2" t="str">
        <f>IFERROR(__xludf.DUMMYFUNCTION("""COMPUTED_VALUE"""),"VERDADERO")</f>
        <v>VERDADERO</v>
      </c>
    </row>
    <row r="1678">
      <c r="A1678" s="2">
        <f>IFERROR(__xludf.DUMMYFUNCTION("""COMPUTED_VALUE"""),1677.0)</f>
        <v>1677</v>
      </c>
      <c r="B1678" s="2" t="str">
        <f>IFERROR(__xludf.DUMMYFUNCTION("""COMPUTED_VALUE"""),"Sandy O'Brien")</f>
        <v>Sandy O'Brien</v>
      </c>
      <c r="C1678" s="2" t="str">
        <f>IFERROR(__xludf.DUMMYFUNCTION("""COMPUTED_VALUE"""),"sobrienit@techcrunch.com")</f>
        <v>sobrienit@techcrunch.com</v>
      </c>
      <c r="D1678" s="4">
        <f>IFERROR(__xludf.DUMMYFUNCTION("""COMPUTED_VALUE"""),89.0)</f>
        <v>89</v>
      </c>
      <c r="E1678" s="4">
        <f>IFERROR(__xludf.DUMMYFUNCTION("""COMPUTED_VALUE"""),64.0)</f>
        <v>64</v>
      </c>
      <c r="F1678" s="4">
        <f>IFERROR(__xludf.DUMMYFUNCTION("""COMPUTED_VALUE"""),4.0)</f>
        <v>4</v>
      </c>
      <c r="G1678" s="4">
        <f>IFERROR(__xludf.DUMMYFUNCTION("""COMPUTED_VALUE"""),667.0)</f>
        <v>667</v>
      </c>
      <c r="H1678" s="5">
        <f>IFERROR(__xludf.DUMMYFUNCTION("""COMPUTED_VALUE"""),8259.47)</f>
        <v>8259.47</v>
      </c>
      <c r="I1678" s="5">
        <f>IFERROR(__xludf.DUMMYFUNCTION("""COMPUTED_VALUE"""),7427.56)</f>
        <v>7427.56</v>
      </c>
      <c r="J1678" s="5">
        <f>IFERROR(__xludf.DUMMYFUNCTION("""COMPUTED_VALUE"""),1323.57)</f>
        <v>1323.57</v>
      </c>
      <c r="K1678" s="5">
        <f>IFERROR(__xludf.DUMMYFUNCTION("""COMPUTED_VALUE"""),6947.17)</f>
        <v>6947.17</v>
      </c>
      <c r="L1678" s="4">
        <f>IFERROR(__xludf.DUMMYFUNCTION("""COMPUTED_VALUE"""),12.0)</f>
        <v>12</v>
      </c>
      <c r="M1678" s="4">
        <f>IFERROR(__xludf.DUMMYFUNCTION("""COMPUTED_VALUE"""),9.0)</f>
        <v>9</v>
      </c>
      <c r="N1678" s="2" t="str">
        <f>IFERROR(__xludf.DUMMYFUNCTION("""COMPUTED_VALUE"""),"VERDADERO")</f>
        <v>VERDADERO</v>
      </c>
    </row>
    <row r="1679">
      <c r="A1679" s="2">
        <f>IFERROR(__xludf.DUMMYFUNCTION("""COMPUTED_VALUE"""),1678.0)</f>
        <v>1678</v>
      </c>
      <c r="B1679" s="2" t="str">
        <f>IFERROR(__xludf.DUMMYFUNCTION("""COMPUTED_VALUE"""),"Heida Bruggeman")</f>
        <v>Heida Bruggeman</v>
      </c>
      <c r="C1679" s="2" t="str">
        <f>IFERROR(__xludf.DUMMYFUNCTION("""COMPUTED_VALUE"""),"hbruggemaniu@sciencedirect.com")</f>
        <v>hbruggemaniu@sciencedirect.com</v>
      </c>
      <c r="D1679" s="4">
        <f>IFERROR(__xludf.DUMMYFUNCTION("""COMPUTED_VALUE"""),30.0)</f>
        <v>30</v>
      </c>
      <c r="E1679" s="4">
        <f>IFERROR(__xludf.DUMMYFUNCTION("""COMPUTED_VALUE"""),66.0)</f>
        <v>66</v>
      </c>
      <c r="F1679" s="4">
        <f>IFERROR(__xludf.DUMMYFUNCTION("""COMPUTED_VALUE"""),6.0)</f>
        <v>6</v>
      </c>
      <c r="G1679" s="4">
        <f>IFERROR(__xludf.DUMMYFUNCTION("""COMPUTED_VALUE"""),1307.0)</f>
        <v>1307</v>
      </c>
      <c r="H1679" s="5">
        <f>IFERROR(__xludf.DUMMYFUNCTION("""COMPUTED_VALUE"""),4754.49)</f>
        <v>4754.49</v>
      </c>
      <c r="I1679" s="5">
        <f>IFERROR(__xludf.DUMMYFUNCTION("""COMPUTED_VALUE"""),4085.35)</f>
        <v>4085.35</v>
      </c>
      <c r="J1679" s="5">
        <f>IFERROR(__xludf.DUMMYFUNCTION("""COMPUTED_VALUE"""),7109.11)</f>
        <v>7109.11</v>
      </c>
      <c r="K1679" s="5">
        <f>IFERROR(__xludf.DUMMYFUNCTION("""COMPUTED_VALUE"""),7752.34)</f>
        <v>7752.34</v>
      </c>
      <c r="L1679" s="4">
        <f>IFERROR(__xludf.DUMMYFUNCTION("""COMPUTED_VALUE"""),17.0)</f>
        <v>17</v>
      </c>
      <c r="M1679" s="4">
        <f>IFERROR(__xludf.DUMMYFUNCTION("""COMPUTED_VALUE"""),73.0)</f>
        <v>73</v>
      </c>
      <c r="N1679" s="2" t="str">
        <f>IFERROR(__xludf.DUMMYFUNCTION("""COMPUTED_VALUE"""),"VERDADERO")</f>
        <v>VERDADERO</v>
      </c>
    </row>
    <row r="1680">
      <c r="A1680" s="2">
        <f>IFERROR(__xludf.DUMMYFUNCTION("""COMPUTED_VALUE"""),1679.0)</f>
        <v>1679</v>
      </c>
      <c r="B1680" s="2" t="str">
        <f>IFERROR(__xludf.DUMMYFUNCTION("""COMPUTED_VALUE"""),"Kellby Ovendon")</f>
        <v>Kellby Ovendon</v>
      </c>
      <c r="C1680" s="2" t="str">
        <f>IFERROR(__xludf.DUMMYFUNCTION("""COMPUTED_VALUE"""),"kovendoniv@ucoz.ru")</f>
        <v>kovendoniv@ucoz.ru</v>
      </c>
      <c r="D1680" s="4">
        <f>IFERROR(__xludf.DUMMYFUNCTION("""COMPUTED_VALUE"""),121.0)</f>
        <v>121</v>
      </c>
      <c r="E1680" s="4">
        <f>IFERROR(__xludf.DUMMYFUNCTION("""COMPUTED_VALUE"""),2.0)</f>
        <v>2</v>
      </c>
      <c r="F1680" s="4">
        <f>IFERROR(__xludf.DUMMYFUNCTION("""COMPUTED_VALUE"""),11.0)</f>
        <v>11</v>
      </c>
      <c r="G1680" s="4">
        <f>IFERROR(__xludf.DUMMYFUNCTION("""COMPUTED_VALUE"""),1583.0)</f>
        <v>1583</v>
      </c>
      <c r="H1680" s="5">
        <f>IFERROR(__xludf.DUMMYFUNCTION("""COMPUTED_VALUE"""),792.58)</f>
        <v>792.58</v>
      </c>
      <c r="I1680" s="5">
        <f>IFERROR(__xludf.DUMMYFUNCTION("""COMPUTED_VALUE"""),5326.22)</f>
        <v>5326.22</v>
      </c>
      <c r="J1680" s="5">
        <f>IFERROR(__xludf.DUMMYFUNCTION("""COMPUTED_VALUE"""),158.06)</f>
        <v>158.06</v>
      </c>
      <c r="K1680" s="5">
        <f>IFERROR(__xludf.DUMMYFUNCTION("""COMPUTED_VALUE"""),373.39)</f>
        <v>373.39</v>
      </c>
      <c r="L1680" s="4">
        <f>IFERROR(__xludf.DUMMYFUNCTION("""COMPUTED_VALUE"""),6.0)</f>
        <v>6</v>
      </c>
      <c r="M1680" s="4">
        <f>IFERROR(__xludf.DUMMYFUNCTION("""COMPUTED_VALUE"""),85.0)</f>
        <v>85</v>
      </c>
      <c r="N1680" s="2" t="str">
        <f>IFERROR(__xludf.DUMMYFUNCTION("""COMPUTED_VALUE"""),"VERDADERO")</f>
        <v>VERDADERO</v>
      </c>
    </row>
    <row r="1681">
      <c r="A1681" s="2">
        <f>IFERROR(__xludf.DUMMYFUNCTION("""COMPUTED_VALUE"""),1680.0)</f>
        <v>1680</v>
      </c>
      <c r="B1681" s="2" t="str">
        <f>IFERROR(__xludf.DUMMYFUNCTION("""COMPUTED_VALUE"""),"Natalya Vowell")</f>
        <v>Natalya Vowell</v>
      </c>
      <c r="C1681" s="2" t="str">
        <f>IFERROR(__xludf.DUMMYFUNCTION("""COMPUTED_VALUE"""),"nvowelliw@desdev.cn")</f>
        <v>nvowelliw@desdev.cn</v>
      </c>
      <c r="D1681" s="4">
        <f>IFERROR(__xludf.DUMMYFUNCTION("""COMPUTED_VALUE"""),124.0)</f>
        <v>124</v>
      </c>
      <c r="E1681" s="4">
        <f>IFERROR(__xludf.DUMMYFUNCTION("""COMPUTED_VALUE"""),85.0)</f>
        <v>85</v>
      </c>
      <c r="F1681" s="4">
        <f>IFERROR(__xludf.DUMMYFUNCTION("""COMPUTED_VALUE"""),3.0)</f>
        <v>3</v>
      </c>
      <c r="G1681" s="4">
        <f>IFERROR(__xludf.DUMMYFUNCTION("""COMPUTED_VALUE"""),776.0)</f>
        <v>776</v>
      </c>
      <c r="H1681" s="5">
        <f>IFERROR(__xludf.DUMMYFUNCTION("""COMPUTED_VALUE"""),1059.77)</f>
        <v>1059.77</v>
      </c>
      <c r="I1681" s="5">
        <f>IFERROR(__xludf.DUMMYFUNCTION("""COMPUTED_VALUE"""),1639.24)</f>
        <v>1639.24</v>
      </c>
      <c r="J1681" s="5">
        <f>IFERROR(__xludf.DUMMYFUNCTION("""COMPUTED_VALUE"""),7954.9)</f>
        <v>7954.9</v>
      </c>
      <c r="K1681" s="5">
        <f>IFERROR(__xludf.DUMMYFUNCTION("""COMPUTED_VALUE"""),6293.06)</f>
        <v>6293.06</v>
      </c>
      <c r="L1681" s="4">
        <f>IFERROR(__xludf.DUMMYFUNCTION("""COMPUTED_VALUE"""),9.0)</f>
        <v>9</v>
      </c>
      <c r="M1681" s="4">
        <f>IFERROR(__xludf.DUMMYFUNCTION("""COMPUTED_VALUE"""),3.0)</f>
        <v>3</v>
      </c>
      <c r="N1681" s="2" t="str">
        <f>IFERROR(__xludf.DUMMYFUNCTION("""COMPUTED_VALUE"""),"FALSO")</f>
        <v>FALSO</v>
      </c>
    </row>
    <row r="1682">
      <c r="A1682" s="2">
        <f>IFERROR(__xludf.DUMMYFUNCTION("""COMPUTED_VALUE"""),1681.0)</f>
        <v>1681</v>
      </c>
      <c r="B1682" s="2" t="str">
        <f>IFERROR(__xludf.DUMMYFUNCTION("""COMPUTED_VALUE"""),"Dalis Smeaton")</f>
        <v>Dalis Smeaton</v>
      </c>
      <c r="C1682" s="2" t="str">
        <f>IFERROR(__xludf.DUMMYFUNCTION("""COMPUTED_VALUE"""),"dsmeatonix@admin.ch")</f>
        <v>dsmeatonix@admin.ch</v>
      </c>
      <c r="D1682" s="4">
        <f>IFERROR(__xludf.DUMMYFUNCTION("""COMPUTED_VALUE"""),124.0)</f>
        <v>124</v>
      </c>
      <c r="E1682" s="4">
        <f>IFERROR(__xludf.DUMMYFUNCTION("""COMPUTED_VALUE"""),81.0)</f>
        <v>81</v>
      </c>
      <c r="F1682" s="4">
        <f>IFERROR(__xludf.DUMMYFUNCTION("""COMPUTED_VALUE"""),2.0)</f>
        <v>2</v>
      </c>
      <c r="G1682" s="4">
        <f>IFERROR(__xludf.DUMMYFUNCTION("""COMPUTED_VALUE"""),791.0)</f>
        <v>791</v>
      </c>
      <c r="H1682" s="5">
        <f>IFERROR(__xludf.DUMMYFUNCTION("""COMPUTED_VALUE"""),811.67)</f>
        <v>811.67</v>
      </c>
      <c r="I1682" s="5">
        <f>IFERROR(__xludf.DUMMYFUNCTION("""COMPUTED_VALUE"""),7538.6)</f>
        <v>7538.6</v>
      </c>
      <c r="J1682" s="5">
        <f>IFERROR(__xludf.DUMMYFUNCTION("""COMPUTED_VALUE"""),6007.16)</f>
        <v>6007.16</v>
      </c>
      <c r="K1682" s="5">
        <f>IFERROR(__xludf.DUMMYFUNCTION("""COMPUTED_VALUE"""),9423.54)</f>
        <v>9423.54</v>
      </c>
      <c r="L1682" s="4">
        <f>IFERROR(__xludf.DUMMYFUNCTION("""COMPUTED_VALUE"""),14.0)</f>
        <v>14</v>
      </c>
      <c r="M1682" s="4">
        <f>IFERROR(__xludf.DUMMYFUNCTION("""COMPUTED_VALUE"""),87.0)</f>
        <v>87</v>
      </c>
      <c r="N1682" s="2" t="str">
        <f>IFERROR(__xludf.DUMMYFUNCTION("""COMPUTED_VALUE"""),"FALSO")</f>
        <v>FALSO</v>
      </c>
    </row>
    <row r="1683">
      <c r="A1683" s="2">
        <f>IFERROR(__xludf.DUMMYFUNCTION("""COMPUTED_VALUE"""),1682.0)</f>
        <v>1682</v>
      </c>
      <c r="B1683" s="2" t="str">
        <f>IFERROR(__xludf.DUMMYFUNCTION("""COMPUTED_VALUE"""),"Roxane Spenton")</f>
        <v>Roxane Spenton</v>
      </c>
      <c r="C1683" s="2" t="str">
        <f>IFERROR(__xludf.DUMMYFUNCTION("""COMPUTED_VALUE"""),"rspentoniy@bravesites.com")</f>
        <v>rspentoniy@bravesites.com</v>
      </c>
      <c r="D1683" s="4">
        <f>IFERROR(__xludf.DUMMYFUNCTION("""COMPUTED_VALUE"""),124.0)</f>
        <v>124</v>
      </c>
      <c r="E1683" s="4">
        <f>IFERROR(__xludf.DUMMYFUNCTION("""COMPUTED_VALUE"""),111.0)</f>
        <v>111</v>
      </c>
      <c r="F1683" s="4">
        <f>IFERROR(__xludf.DUMMYFUNCTION("""COMPUTED_VALUE"""),4.0)</f>
        <v>4</v>
      </c>
      <c r="G1683" s="4">
        <f>IFERROR(__xludf.DUMMYFUNCTION("""COMPUTED_VALUE"""),1463.0)</f>
        <v>1463</v>
      </c>
      <c r="H1683" s="5">
        <f>IFERROR(__xludf.DUMMYFUNCTION("""COMPUTED_VALUE"""),4493.52)</f>
        <v>4493.52</v>
      </c>
      <c r="I1683" s="5">
        <f>IFERROR(__xludf.DUMMYFUNCTION("""COMPUTED_VALUE"""),4622.46)</f>
        <v>4622.46</v>
      </c>
      <c r="J1683" s="5">
        <f>IFERROR(__xludf.DUMMYFUNCTION("""COMPUTED_VALUE"""),805.33)</f>
        <v>805.33</v>
      </c>
      <c r="K1683" s="5">
        <f>IFERROR(__xludf.DUMMYFUNCTION("""COMPUTED_VALUE"""),8228.15)</f>
        <v>8228.15</v>
      </c>
      <c r="L1683" s="4">
        <f>IFERROR(__xludf.DUMMYFUNCTION("""COMPUTED_VALUE"""),13.0)</f>
        <v>13</v>
      </c>
      <c r="M1683" s="4">
        <f>IFERROR(__xludf.DUMMYFUNCTION("""COMPUTED_VALUE"""),93.0)</f>
        <v>93</v>
      </c>
      <c r="N1683" s="2" t="str">
        <f>IFERROR(__xludf.DUMMYFUNCTION("""COMPUTED_VALUE"""),"FALSO")</f>
        <v>FALSO</v>
      </c>
    </row>
    <row r="1684">
      <c r="A1684" s="2">
        <f>IFERROR(__xludf.DUMMYFUNCTION("""COMPUTED_VALUE"""),1683.0)</f>
        <v>1683</v>
      </c>
      <c r="B1684" s="2" t="str">
        <f>IFERROR(__xludf.DUMMYFUNCTION("""COMPUTED_VALUE"""),"Ludwig Zecchinii")</f>
        <v>Ludwig Zecchinii</v>
      </c>
      <c r="C1684" s="2" t="str">
        <f>IFERROR(__xludf.DUMMYFUNCTION("""COMPUTED_VALUE"""),"lzecchiniiiz@paginegialle.it")</f>
        <v>lzecchiniiiz@paginegialle.it</v>
      </c>
      <c r="D1684" s="4">
        <f>IFERROR(__xludf.DUMMYFUNCTION("""COMPUTED_VALUE"""),49.0)</f>
        <v>49</v>
      </c>
      <c r="E1684" s="4">
        <f>IFERROR(__xludf.DUMMYFUNCTION("""COMPUTED_VALUE"""),64.0)</f>
        <v>64</v>
      </c>
      <c r="F1684" s="4">
        <f>IFERROR(__xludf.DUMMYFUNCTION("""COMPUTED_VALUE"""),4.0)</f>
        <v>4</v>
      </c>
      <c r="G1684" s="4">
        <f>IFERROR(__xludf.DUMMYFUNCTION("""COMPUTED_VALUE"""),935.0)</f>
        <v>935</v>
      </c>
      <c r="H1684" s="5">
        <f>IFERROR(__xludf.DUMMYFUNCTION("""COMPUTED_VALUE"""),9793.34)</f>
        <v>9793.34</v>
      </c>
      <c r="I1684" s="5">
        <f>IFERROR(__xludf.DUMMYFUNCTION("""COMPUTED_VALUE"""),3102.19)</f>
        <v>3102.19</v>
      </c>
      <c r="J1684" s="5">
        <f>IFERROR(__xludf.DUMMYFUNCTION("""COMPUTED_VALUE"""),8127.19)</f>
        <v>8127.19</v>
      </c>
      <c r="K1684" s="5">
        <f>IFERROR(__xludf.DUMMYFUNCTION("""COMPUTED_VALUE"""),439.71)</f>
        <v>439.71</v>
      </c>
      <c r="L1684" s="4">
        <f>IFERROR(__xludf.DUMMYFUNCTION("""COMPUTED_VALUE"""),7.0)</f>
        <v>7</v>
      </c>
      <c r="M1684" s="4">
        <f>IFERROR(__xludf.DUMMYFUNCTION("""COMPUTED_VALUE"""),57.0)</f>
        <v>57</v>
      </c>
      <c r="N1684" s="2" t="str">
        <f>IFERROR(__xludf.DUMMYFUNCTION("""COMPUTED_VALUE"""),"FALSO")</f>
        <v>FALSO</v>
      </c>
    </row>
    <row r="1685">
      <c r="A1685" s="2">
        <f>IFERROR(__xludf.DUMMYFUNCTION("""COMPUTED_VALUE"""),1684.0)</f>
        <v>1684</v>
      </c>
      <c r="B1685" s="2" t="str">
        <f>IFERROR(__xludf.DUMMYFUNCTION("""COMPUTED_VALUE"""),"Melosa Cockings")</f>
        <v>Melosa Cockings</v>
      </c>
      <c r="C1685" s="2" t="str">
        <f>IFERROR(__xludf.DUMMYFUNCTION("""COMPUTED_VALUE"""),"mcockingsj0@npr.org")</f>
        <v>mcockingsj0@npr.org</v>
      </c>
      <c r="D1685" s="4">
        <f>IFERROR(__xludf.DUMMYFUNCTION("""COMPUTED_VALUE"""),55.0)</f>
        <v>55</v>
      </c>
      <c r="E1685" s="4">
        <f>IFERROR(__xludf.DUMMYFUNCTION("""COMPUTED_VALUE"""),48.0)</f>
        <v>48</v>
      </c>
      <c r="F1685" s="4">
        <f>IFERROR(__xludf.DUMMYFUNCTION("""COMPUTED_VALUE"""),4.0)</f>
        <v>4</v>
      </c>
      <c r="G1685" s="4">
        <f>IFERROR(__xludf.DUMMYFUNCTION("""COMPUTED_VALUE"""),143.0)</f>
        <v>143</v>
      </c>
      <c r="H1685" s="5">
        <f>IFERROR(__xludf.DUMMYFUNCTION("""COMPUTED_VALUE"""),3885.63)</f>
        <v>3885.63</v>
      </c>
      <c r="I1685" s="5">
        <f>IFERROR(__xludf.DUMMYFUNCTION("""COMPUTED_VALUE"""),1478.08)</f>
        <v>1478.08</v>
      </c>
      <c r="J1685" s="5">
        <f>IFERROR(__xludf.DUMMYFUNCTION("""COMPUTED_VALUE"""),5730.38)</f>
        <v>5730.38</v>
      </c>
      <c r="K1685" s="5">
        <f>IFERROR(__xludf.DUMMYFUNCTION("""COMPUTED_VALUE"""),5657.97)</f>
        <v>5657.97</v>
      </c>
      <c r="L1685" s="4">
        <f>IFERROR(__xludf.DUMMYFUNCTION("""COMPUTED_VALUE"""),13.0)</f>
        <v>13</v>
      </c>
      <c r="M1685" s="4">
        <f>IFERROR(__xludf.DUMMYFUNCTION("""COMPUTED_VALUE"""),12.0)</f>
        <v>12</v>
      </c>
      <c r="N1685" s="2" t="str">
        <f>IFERROR(__xludf.DUMMYFUNCTION("""COMPUTED_VALUE"""),"FALSO")</f>
        <v>FALSO</v>
      </c>
    </row>
    <row r="1686">
      <c r="A1686" s="2">
        <f>IFERROR(__xludf.DUMMYFUNCTION("""COMPUTED_VALUE"""),1685.0)</f>
        <v>1685</v>
      </c>
      <c r="B1686" s="2" t="str">
        <f>IFERROR(__xludf.DUMMYFUNCTION("""COMPUTED_VALUE"""),"Liana Abrahamoff")</f>
        <v>Liana Abrahamoff</v>
      </c>
      <c r="C1686" s="2" t="str">
        <f>IFERROR(__xludf.DUMMYFUNCTION("""COMPUTED_VALUE"""),"labrahamoffj1@domainmarket.com")</f>
        <v>labrahamoffj1@domainmarket.com</v>
      </c>
      <c r="D1686" s="4">
        <f>IFERROR(__xludf.DUMMYFUNCTION("""COMPUTED_VALUE"""),124.0)</f>
        <v>124</v>
      </c>
      <c r="E1686" s="4">
        <f>IFERROR(__xludf.DUMMYFUNCTION("""COMPUTED_VALUE"""),60.0)</f>
        <v>60</v>
      </c>
      <c r="F1686" s="4">
        <f>IFERROR(__xludf.DUMMYFUNCTION("""COMPUTED_VALUE"""),3.0)</f>
        <v>3</v>
      </c>
      <c r="G1686" s="4">
        <f>IFERROR(__xludf.DUMMYFUNCTION("""COMPUTED_VALUE"""),713.0)</f>
        <v>713</v>
      </c>
      <c r="H1686" s="5">
        <f>IFERROR(__xludf.DUMMYFUNCTION("""COMPUTED_VALUE"""),1266.35)</f>
        <v>1266.35</v>
      </c>
      <c r="I1686" s="5">
        <f>IFERROR(__xludf.DUMMYFUNCTION("""COMPUTED_VALUE"""),9184.28)</f>
        <v>9184.28</v>
      </c>
      <c r="J1686" s="5">
        <f>IFERROR(__xludf.DUMMYFUNCTION("""COMPUTED_VALUE"""),1643.56)</f>
        <v>1643.56</v>
      </c>
      <c r="K1686" s="5">
        <f>IFERROR(__xludf.DUMMYFUNCTION("""COMPUTED_VALUE"""),7220.07)</f>
        <v>7220.07</v>
      </c>
      <c r="L1686" s="4">
        <f>IFERROR(__xludf.DUMMYFUNCTION("""COMPUTED_VALUE"""),10.0)</f>
        <v>10</v>
      </c>
      <c r="M1686" s="4">
        <f>IFERROR(__xludf.DUMMYFUNCTION("""COMPUTED_VALUE"""),72.0)</f>
        <v>72</v>
      </c>
      <c r="N1686" s="2" t="str">
        <f>IFERROR(__xludf.DUMMYFUNCTION("""COMPUTED_VALUE"""),"VERDADERO")</f>
        <v>VERDADERO</v>
      </c>
    </row>
    <row r="1687">
      <c r="A1687" s="2">
        <f>IFERROR(__xludf.DUMMYFUNCTION("""COMPUTED_VALUE"""),1686.0)</f>
        <v>1686</v>
      </c>
      <c r="B1687" s="2" t="str">
        <f>IFERROR(__xludf.DUMMYFUNCTION("""COMPUTED_VALUE"""),"Christiane Takos")</f>
        <v>Christiane Takos</v>
      </c>
      <c r="C1687" s="2" t="str">
        <f>IFERROR(__xludf.DUMMYFUNCTION("""COMPUTED_VALUE"""),"ctakosj2@hibu.com")</f>
        <v>ctakosj2@hibu.com</v>
      </c>
      <c r="D1687" s="4">
        <f>IFERROR(__xludf.DUMMYFUNCTION("""COMPUTED_VALUE"""),29.0)</f>
        <v>29</v>
      </c>
      <c r="E1687" s="4">
        <f>IFERROR(__xludf.DUMMYFUNCTION("""COMPUTED_VALUE"""),58.0)</f>
        <v>58</v>
      </c>
      <c r="F1687" s="4">
        <f>IFERROR(__xludf.DUMMYFUNCTION("""COMPUTED_VALUE"""),8.0)</f>
        <v>8</v>
      </c>
      <c r="G1687" s="4">
        <f>IFERROR(__xludf.DUMMYFUNCTION("""COMPUTED_VALUE"""),423.0)</f>
        <v>423</v>
      </c>
      <c r="H1687" s="5">
        <f>IFERROR(__xludf.DUMMYFUNCTION("""COMPUTED_VALUE"""),9492.22)</f>
        <v>9492.22</v>
      </c>
      <c r="I1687" s="5">
        <f>IFERROR(__xludf.DUMMYFUNCTION("""COMPUTED_VALUE"""),5834.16)</f>
        <v>5834.16</v>
      </c>
      <c r="J1687" s="5">
        <f>IFERROR(__xludf.DUMMYFUNCTION("""COMPUTED_VALUE"""),9867.88)</f>
        <v>9867.88</v>
      </c>
      <c r="K1687" s="5">
        <f>IFERROR(__xludf.DUMMYFUNCTION("""COMPUTED_VALUE"""),8081.31)</f>
        <v>8081.31</v>
      </c>
      <c r="L1687" s="4">
        <f>IFERROR(__xludf.DUMMYFUNCTION("""COMPUTED_VALUE"""),14.0)</f>
        <v>14</v>
      </c>
      <c r="M1687" s="4">
        <f>IFERROR(__xludf.DUMMYFUNCTION("""COMPUTED_VALUE"""),52.0)</f>
        <v>52</v>
      </c>
      <c r="N1687" s="2" t="str">
        <f>IFERROR(__xludf.DUMMYFUNCTION("""COMPUTED_VALUE"""),"VERDADERO")</f>
        <v>VERDADERO</v>
      </c>
    </row>
    <row r="1688">
      <c r="A1688" s="2">
        <f>IFERROR(__xludf.DUMMYFUNCTION("""COMPUTED_VALUE"""),1687.0)</f>
        <v>1687</v>
      </c>
      <c r="B1688" s="2" t="str">
        <f>IFERROR(__xludf.DUMMYFUNCTION("""COMPUTED_VALUE"""),"Lock Stealey")</f>
        <v>Lock Stealey</v>
      </c>
      <c r="C1688" s="2" t="str">
        <f>IFERROR(__xludf.DUMMYFUNCTION("""COMPUTED_VALUE"""),"lstealeyj3@163.com")</f>
        <v>lstealeyj3@163.com</v>
      </c>
      <c r="D1688" s="4">
        <f>IFERROR(__xludf.DUMMYFUNCTION("""COMPUTED_VALUE"""),29.0)</f>
        <v>29</v>
      </c>
      <c r="E1688" s="4">
        <f>IFERROR(__xludf.DUMMYFUNCTION("""COMPUTED_VALUE"""),6.0)</f>
        <v>6</v>
      </c>
      <c r="F1688" s="4">
        <f>IFERROR(__xludf.DUMMYFUNCTION("""COMPUTED_VALUE"""),13.0)</f>
        <v>13</v>
      </c>
      <c r="G1688" s="4">
        <f>IFERROR(__xludf.DUMMYFUNCTION("""COMPUTED_VALUE"""),818.0)</f>
        <v>818</v>
      </c>
      <c r="H1688" s="5">
        <f>IFERROR(__xludf.DUMMYFUNCTION("""COMPUTED_VALUE"""),7868.77)</f>
        <v>7868.77</v>
      </c>
      <c r="I1688" s="5">
        <f>IFERROR(__xludf.DUMMYFUNCTION("""COMPUTED_VALUE"""),9625.02)</f>
        <v>9625.02</v>
      </c>
      <c r="J1688" s="5">
        <f>IFERROR(__xludf.DUMMYFUNCTION("""COMPUTED_VALUE"""),1220.15)</f>
        <v>1220.15</v>
      </c>
      <c r="K1688" s="5">
        <f>IFERROR(__xludf.DUMMYFUNCTION("""COMPUTED_VALUE"""),4558.74)</f>
        <v>4558.74</v>
      </c>
      <c r="L1688" s="4">
        <f>IFERROR(__xludf.DUMMYFUNCTION("""COMPUTED_VALUE"""),7.0)</f>
        <v>7</v>
      </c>
      <c r="M1688" s="4">
        <f>IFERROR(__xludf.DUMMYFUNCTION("""COMPUTED_VALUE"""),9.0)</f>
        <v>9</v>
      </c>
      <c r="N1688" s="2" t="str">
        <f>IFERROR(__xludf.DUMMYFUNCTION("""COMPUTED_VALUE"""),"FALSO")</f>
        <v>FALSO</v>
      </c>
    </row>
    <row r="1689">
      <c r="A1689" s="2">
        <f>IFERROR(__xludf.DUMMYFUNCTION("""COMPUTED_VALUE"""),1688.0)</f>
        <v>1688</v>
      </c>
      <c r="B1689" s="2" t="str">
        <f>IFERROR(__xludf.DUMMYFUNCTION("""COMPUTED_VALUE"""),"Randi Linton")</f>
        <v>Randi Linton</v>
      </c>
      <c r="C1689" s="2" t="str">
        <f>IFERROR(__xludf.DUMMYFUNCTION("""COMPUTED_VALUE"""),"rlintonj4@google.nl")</f>
        <v>rlintonj4@google.nl</v>
      </c>
      <c r="D1689" s="4">
        <f>IFERROR(__xludf.DUMMYFUNCTION("""COMPUTED_VALUE"""),122.0)</f>
        <v>122</v>
      </c>
      <c r="E1689" s="4">
        <f>IFERROR(__xludf.DUMMYFUNCTION("""COMPUTED_VALUE"""),57.0)</f>
        <v>57</v>
      </c>
      <c r="F1689" s="4">
        <f>IFERROR(__xludf.DUMMYFUNCTION("""COMPUTED_VALUE"""),5.0)</f>
        <v>5</v>
      </c>
      <c r="G1689" s="4">
        <f>IFERROR(__xludf.DUMMYFUNCTION("""COMPUTED_VALUE"""),497.0)</f>
        <v>497</v>
      </c>
      <c r="H1689" s="5">
        <f>IFERROR(__xludf.DUMMYFUNCTION("""COMPUTED_VALUE"""),844.12)</f>
        <v>844.12</v>
      </c>
      <c r="I1689" s="5">
        <f>IFERROR(__xludf.DUMMYFUNCTION("""COMPUTED_VALUE"""),3177.9)</f>
        <v>3177.9</v>
      </c>
      <c r="J1689" s="5">
        <f>IFERROR(__xludf.DUMMYFUNCTION("""COMPUTED_VALUE"""),7515.14)</f>
        <v>7515.14</v>
      </c>
      <c r="K1689" s="5">
        <f>IFERROR(__xludf.DUMMYFUNCTION("""COMPUTED_VALUE"""),7686.86)</f>
        <v>7686.86</v>
      </c>
      <c r="L1689" s="4">
        <f>IFERROR(__xludf.DUMMYFUNCTION("""COMPUTED_VALUE"""),9.0)</f>
        <v>9</v>
      </c>
      <c r="M1689" s="4">
        <f>IFERROR(__xludf.DUMMYFUNCTION("""COMPUTED_VALUE"""),19.0)</f>
        <v>19</v>
      </c>
      <c r="N1689" s="2" t="str">
        <f>IFERROR(__xludf.DUMMYFUNCTION("""COMPUTED_VALUE"""),"VERDADERO")</f>
        <v>VERDADERO</v>
      </c>
    </row>
    <row r="1690">
      <c r="A1690" s="2">
        <f>IFERROR(__xludf.DUMMYFUNCTION("""COMPUTED_VALUE"""),1689.0)</f>
        <v>1689</v>
      </c>
      <c r="B1690" s="2" t="str">
        <f>IFERROR(__xludf.DUMMYFUNCTION("""COMPUTED_VALUE"""),"Lou Douthwaite")</f>
        <v>Lou Douthwaite</v>
      </c>
      <c r="C1690" s="2" t="str">
        <f>IFERROR(__xludf.DUMMYFUNCTION("""COMPUTED_VALUE"""),"ldouthwaitej5@sourceforge.net")</f>
        <v>ldouthwaitej5@sourceforge.net</v>
      </c>
      <c r="D1690" s="4">
        <f>IFERROR(__xludf.DUMMYFUNCTION("""COMPUTED_VALUE"""),48.0)</f>
        <v>48</v>
      </c>
      <c r="E1690" s="4">
        <f>IFERROR(__xludf.DUMMYFUNCTION("""COMPUTED_VALUE"""),81.0)</f>
        <v>81</v>
      </c>
      <c r="F1690" s="4">
        <f>IFERROR(__xludf.DUMMYFUNCTION("""COMPUTED_VALUE"""),2.0)</f>
        <v>2</v>
      </c>
      <c r="G1690" s="4">
        <f>IFERROR(__xludf.DUMMYFUNCTION("""COMPUTED_VALUE"""),475.0)</f>
        <v>475</v>
      </c>
      <c r="H1690" s="5">
        <f>IFERROR(__xludf.DUMMYFUNCTION("""COMPUTED_VALUE"""),4991.88)</f>
        <v>4991.88</v>
      </c>
      <c r="I1690" s="5">
        <f>IFERROR(__xludf.DUMMYFUNCTION("""COMPUTED_VALUE"""),2305.59)</f>
        <v>2305.59</v>
      </c>
      <c r="J1690" s="5">
        <f>IFERROR(__xludf.DUMMYFUNCTION("""COMPUTED_VALUE"""),2086.36)</f>
        <v>2086.36</v>
      </c>
      <c r="K1690" s="5">
        <f>IFERROR(__xludf.DUMMYFUNCTION("""COMPUTED_VALUE"""),3609.35)</f>
        <v>3609.35</v>
      </c>
      <c r="L1690" s="4">
        <f>IFERROR(__xludf.DUMMYFUNCTION("""COMPUTED_VALUE"""),1.0)</f>
        <v>1</v>
      </c>
      <c r="M1690" s="4">
        <f>IFERROR(__xludf.DUMMYFUNCTION("""COMPUTED_VALUE"""),56.0)</f>
        <v>56</v>
      </c>
      <c r="N1690" s="2" t="str">
        <f>IFERROR(__xludf.DUMMYFUNCTION("""COMPUTED_VALUE"""),"VERDADERO")</f>
        <v>VERDADERO</v>
      </c>
    </row>
    <row r="1691">
      <c r="A1691" s="2">
        <f>IFERROR(__xludf.DUMMYFUNCTION("""COMPUTED_VALUE"""),1690.0)</f>
        <v>1690</v>
      </c>
      <c r="B1691" s="2" t="str">
        <f>IFERROR(__xludf.DUMMYFUNCTION("""COMPUTED_VALUE"""),"Skipper Valance")</f>
        <v>Skipper Valance</v>
      </c>
      <c r="C1691" s="2" t="str">
        <f>IFERROR(__xludf.DUMMYFUNCTION("""COMPUTED_VALUE"""),"svalancej6@qq.com")</f>
        <v>svalancej6@qq.com</v>
      </c>
      <c r="D1691" s="4">
        <f>IFERROR(__xludf.DUMMYFUNCTION("""COMPUTED_VALUE"""),29.0)</f>
        <v>29</v>
      </c>
      <c r="E1691" s="4">
        <f>IFERROR(__xludf.DUMMYFUNCTION("""COMPUTED_VALUE"""),81.0)</f>
        <v>81</v>
      </c>
      <c r="F1691" s="4">
        <f>IFERROR(__xludf.DUMMYFUNCTION("""COMPUTED_VALUE"""),2.0)</f>
        <v>2</v>
      </c>
      <c r="G1691" s="4">
        <f>IFERROR(__xludf.DUMMYFUNCTION("""COMPUTED_VALUE"""),1350.0)</f>
        <v>1350</v>
      </c>
      <c r="H1691" s="5">
        <f>IFERROR(__xludf.DUMMYFUNCTION("""COMPUTED_VALUE"""),8891.29)</f>
        <v>8891.29</v>
      </c>
      <c r="I1691" s="5">
        <f>IFERROR(__xludf.DUMMYFUNCTION("""COMPUTED_VALUE"""),5414.15)</f>
        <v>5414.15</v>
      </c>
      <c r="J1691" s="5">
        <f>IFERROR(__xludf.DUMMYFUNCTION("""COMPUTED_VALUE"""),3613.12)</f>
        <v>3613.12</v>
      </c>
      <c r="K1691" s="5">
        <f>IFERROR(__xludf.DUMMYFUNCTION("""COMPUTED_VALUE"""),6445.23)</f>
        <v>6445.23</v>
      </c>
      <c r="L1691" s="4">
        <f>IFERROR(__xludf.DUMMYFUNCTION("""COMPUTED_VALUE"""),14.0)</f>
        <v>14</v>
      </c>
      <c r="M1691" s="4">
        <f>IFERROR(__xludf.DUMMYFUNCTION("""COMPUTED_VALUE"""),56.0)</f>
        <v>56</v>
      </c>
      <c r="N1691" s="2" t="str">
        <f>IFERROR(__xludf.DUMMYFUNCTION("""COMPUTED_VALUE"""),"FALSO")</f>
        <v>FALSO</v>
      </c>
    </row>
    <row r="1692">
      <c r="A1692" s="2">
        <f>IFERROR(__xludf.DUMMYFUNCTION("""COMPUTED_VALUE"""),1691.0)</f>
        <v>1691</v>
      </c>
      <c r="B1692" s="2" t="str">
        <f>IFERROR(__xludf.DUMMYFUNCTION("""COMPUTED_VALUE"""),"Hasheem Owttrim")</f>
        <v>Hasheem Owttrim</v>
      </c>
      <c r="C1692" s="2" t="str">
        <f>IFERROR(__xludf.DUMMYFUNCTION("""COMPUTED_VALUE"""),"howttrimj7@irs.gov")</f>
        <v>howttrimj7@irs.gov</v>
      </c>
      <c r="D1692" s="4">
        <f>IFERROR(__xludf.DUMMYFUNCTION("""COMPUTED_VALUE"""),121.0)</f>
        <v>121</v>
      </c>
      <c r="E1692" s="4">
        <f>IFERROR(__xludf.DUMMYFUNCTION("""COMPUTED_VALUE"""),67.0)</f>
        <v>67</v>
      </c>
      <c r="F1692" s="4">
        <f>IFERROR(__xludf.DUMMYFUNCTION("""COMPUTED_VALUE"""),7.0)</f>
        <v>7</v>
      </c>
      <c r="G1692" s="4">
        <f>IFERROR(__xludf.DUMMYFUNCTION("""COMPUTED_VALUE"""),1450.0)</f>
        <v>1450</v>
      </c>
      <c r="H1692" s="5">
        <f>IFERROR(__xludf.DUMMYFUNCTION("""COMPUTED_VALUE"""),2478.05)</f>
        <v>2478.05</v>
      </c>
      <c r="I1692" s="5">
        <f>IFERROR(__xludf.DUMMYFUNCTION("""COMPUTED_VALUE"""),8862.33)</f>
        <v>8862.33</v>
      </c>
      <c r="J1692" s="5">
        <f>IFERROR(__xludf.DUMMYFUNCTION("""COMPUTED_VALUE"""),2444.76)</f>
        <v>2444.76</v>
      </c>
      <c r="K1692" s="5">
        <f>IFERROR(__xludf.DUMMYFUNCTION("""COMPUTED_VALUE"""),3637.56)</f>
        <v>3637.56</v>
      </c>
      <c r="L1692" s="4">
        <f>IFERROR(__xludf.DUMMYFUNCTION("""COMPUTED_VALUE"""),2.0)</f>
        <v>2</v>
      </c>
      <c r="M1692" s="4">
        <f>IFERROR(__xludf.DUMMYFUNCTION("""COMPUTED_VALUE"""),92.0)</f>
        <v>92</v>
      </c>
      <c r="N1692" s="2" t="str">
        <f>IFERROR(__xludf.DUMMYFUNCTION("""COMPUTED_VALUE"""),"FALSO")</f>
        <v>FALSO</v>
      </c>
    </row>
    <row r="1693">
      <c r="A1693" s="2">
        <f>IFERROR(__xludf.DUMMYFUNCTION("""COMPUTED_VALUE"""),1692.0)</f>
        <v>1692</v>
      </c>
      <c r="B1693" s="2" t="str">
        <f>IFERROR(__xludf.DUMMYFUNCTION("""COMPUTED_VALUE"""),"Dugald Thayre")</f>
        <v>Dugald Thayre</v>
      </c>
      <c r="C1693" s="2" t="str">
        <f>IFERROR(__xludf.DUMMYFUNCTION("""COMPUTED_VALUE"""),"dthayrej8@netscape.com")</f>
        <v>dthayrej8@netscape.com</v>
      </c>
      <c r="D1693" s="4">
        <f>IFERROR(__xludf.DUMMYFUNCTION("""COMPUTED_VALUE"""),65.0)</f>
        <v>65</v>
      </c>
      <c r="E1693" s="4">
        <f>IFERROR(__xludf.DUMMYFUNCTION("""COMPUTED_VALUE"""),9.0)</f>
        <v>9</v>
      </c>
      <c r="F1693" s="4">
        <f>IFERROR(__xludf.DUMMYFUNCTION("""COMPUTED_VALUE"""),10.0)</f>
        <v>10</v>
      </c>
      <c r="G1693" s="4">
        <f>IFERROR(__xludf.DUMMYFUNCTION("""COMPUTED_VALUE"""),377.0)</f>
        <v>377</v>
      </c>
      <c r="H1693" s="5">
        <f>IFERROR(__xludf.DUMMYFUNCTION("""COMPUTED_VALUE"""),2328.96)</f>
        <v>2328.96</v>
      </c>
      <c r="I1693" s="5">
        <f>IFERROR(__xludf.DUMMYFUNCTION("""COMPUTED_VALUE"""),6946.84)</f>
        <v>6946.84</v>
      </c>
      <c r="J1693" s="5">
        <f>IFERROR(__xludf.DUMMYFUNCTION("""COMPUTED_VALUE"""),9052.1)</f>
        <v>9052.1</v>
      </c>
      <c r="K1693" s="5">
        <f>IFERROR(__xludf.DUMMYFUNCTION("""COMPUTED_VALUE"""),4948.3)</f>
        <v>4948.3</v>
      </c>
      <c r="L1693" s="4">
        <f>IFERROR(__xludf.DUMMYFUNCTION("""COMPUTED_VALUE"""),4.0)</f>
        <v>4</v>
      </c>
      <c r="M1693" s="4">
        <f>IFERROR(__xludf.DUMMYFUNCTION("""COMPUTED_VALUE"""),30.0)</f>
        <v>30</v>
      </c>
      <c r="N1693" s="2" t="str">
        <f>IFERROR(__xludf.DUMMYFUNCTION("""COMPUTED_VALUE"""),"FALSO")</f>
        <v>FALSO</v>
      </c>
    </row>
    <row r="1694">
      <c r="A1694" s="2">
        <f>IFERROR(__xludf.DUMMYFUNCTION("""COMPUTED_VALUE"""),1693.0)</f>
        <v>1693</v>
      </c>
      <c r="B1694" s="2" t="str">
        <f>IFERROR(__xludf.DUMMYFUNCTION("""COMPUTED_VALUE"""),"Lucita Blanpein")</f>
        <v>Lucita Blanpein</v>
      </c>
      <c r="C1694" s="2" t="str">
        <f>IFERROR(__xludf.DUMMYFUNCTION("""COMPUTED_VALUE"""),"lblanpeinj9@people.com.cn")</f>
        <v>lblanpeinj9@people.com.cn</v>
      </c>
      <c r="D1694" s="4">
        <f>IFERROR(__xludf.DUMMYFUNCTION("""COMPUTED_VALUE"""),121.0)</f>
        <v>121</v>
      </c>
      <c r="E1694" s="4">
        <f>IFERROR(__xludf.DUMMYFUNCTION("""COMPUTED_VALUE"""),29.0)</f>
        <v>29</v>
      </c>
      <c r="F1694" s="4">
        <f>IFERROR(__xludf.DUMMYFUNCTION("""COMPUTED_VALUE"""),11.0)</f>
        <v>11</v>
      </c>
      <c r="G1694" s="4">
        <f>IFERROR(__xludf.DUMMYFUNCTION("""COMPUTED_VALUE"""),1060.0)</f>
        <v>1060</v>
      </c>
      <c r="H1694" s="5">
        <f>IFERROR(__xludf.DUMMYFUNCTION("""COMPUTED_VALUE"""),5537.39)</f>
        <v>5537.39</v>
      </c>
      <c r="I1694" s="5">
        <f>IFERROR(__xludf.DUMMYFUNCTION("""COMPUTED_VALUE"""),7219.96)</f>
        <v>7219.96</v>
      </c>
      <c r="J1694" s="5">
        <f>IFERROR(__xludf.DUMMYFUNCTION("""COMPUTED_VALUE"""),1649.43)</f>
        <v>1649.43</v>
      </c>
      <c r="K1694" s="5">
        <f>IFERROR(__xludf.DUMMYFUNCTION("""COMPUTED_VALUE"""),5798.82)</f>
        <v>5798.82</v>
      </c>
      <c r="L1694" s="4">
        <f>IFERROR(__xludf.DUMMYFUNCTION("""COMPUTED_VALUE"""),7.0)</f>
        <v>7</v>
      </c>
      <c r="M1694" s="4">
        <f>IFERROR(__xludf.DUMMYFUNCTION("""COMPUTED_VALUE"""),2.0)</f>
        <v>2</v>
      </c>
      <c r="N1694" s="2" t="str">
        <f>IFERROR(__xludf.DUMMYFUNCTION("""COMPUTED_VALUE"""),"VERDADERO")</f>
        <v>VERDADERO</v>
      </c>
    </row>
    <row r="1695">
      <c r="A1695" s="2">
        <f>IFERROR(__xludf.DUMMYFUNCTION("""COMPUTED_VALUE"""),1694.0)</f>
        <v>1694</v>
      </c>
      <c r="B1695" s="2" t="str">
        <f>IFERROR(__xludf.DUMMYFUNCTION("""COMPUTED_VALUE"""),"Pamelina De Biaggi")</f>
        <v>Pamelina De Biaggi</v>
      </c>
      <c r="C1695" s="2" t="str">
        <f>IFERROR(__xludf.DUMMYFUNCTION("""COMPUTED_VALUE"""),"pdeja@chronoengine.com")</f>
        <v>pdeja@chronoengine.com</v>
      </c>
      <c r="D1695" s="4">
        <f>IFERROR(__xludf.DUMMYFUNCTION("""COMPUTED_VALUE"""),34.0)</f>
        <v>34</v>
      </c>
      <c r="E1695" s="4">
        <f>IFERROR(__xludf.DUMMYFUNCTION("""COMPUTED_VALUE"""),116.0)</f>
        <v>116</v>
      </c>
      <c r="F1695" s="4">
        <f>IFERROR(__xludf.DUMMYFUNCTION("""COMPUTED_VALUE"""),13.0)</f>
        <v>13</v>
      </c>
      <c r="G1695" s="4">
        <f>IFERROR(__xludf.DUMMYFUNCTION("""COMPUTED_VALUE"""),386.0)</f>
        <v>386</v>
      </c>
      <c r="H1695" s="5">
        <f>IFERROR(__xludf.DUMMYFUNCTION("""COMPUTED_VALUE"""),7658.73)</f>
        <v>7658.73</v>
      </c>
      <c r="I1695" s="5">
        <f>IFERROR(__xludf.DUMMYFUNCTION("""COMPUTED_VALUE"""),1394.57)</f>
        <v>1394.57</v>
      </c>
      <c r="J1695" s="5">
        <f>IFERROR(__xludf.DUMMYFUNCTION("""COMPUTED_VALUE"""),4237.3)</f>
        <v>4237.3</v>
      </c>
      <c r="K1695" s="5">
        <f>IFERROR(__xludf.DUMMYFUNCTION("""COMPUTED_VALUE"""),9535.51)</f>
        <v>9535.51</v>
      </c>
      <c r="L1695" s="4">
        <f>IFERROR(__xludf.DUMMYFUNCTION("""COMPUTED_VALUE"""),15.0)</f>
        <v>15</v>
      </c>
      <c r="M1695" s="4">
        <f>IFERROR(__xludf.DUMMYFUNCTION("""COMPUTED_VALUE"""),53.0)</f>
        <v>53</v>
      </c>
      <c r="N1695" s="2" t="str">
        <f>IFERROR(__xludf.DUMMYFUNCTION("""COMPUTED_VALUE"""),"FALSO")</f>
        <v>FALSO</v>
      </c>
    </row>
    <row r="1696">
      <c r="A1696" s="2">
        <f>IFERROR(__xludf.DUMMYFUNCTION("""COMPUTED_VALUE"""),1695.0)</f>
        <v>1695</v>
      </c>
      <c r="B1696" s="2" t="str">
        <f>IFERROR(__xludf.DUMMYFUNCTION("""COMPUTED_VALUE"""),"Harvey Grivori")</f>
        <v>Harvey Grivori</v>
      </c>
      <c r="C1696" s="2" t="str">
        <f>IFERROR(__xludf.DUMMYFUNCTION("""COMPUTED_VALUE"""),"hgrivorijb@mozilla.com")</f>
        <v>hgrivorijb@mozilla.com</v>
      </c>
      <c r="D1696" s="4">
        <f>IFERROR(__xludf.DUMMYFUNCTION("""COMPUTED_VALUE"""),30.0)</f>
        <v>30</v>
      </c>
      <c r="E1696" s="4">
        <f>IFERROR(__xludf.DUMMYFUNCTION("""COMPUTED_VALUE"""),21.0)</f>
        <v>21</v>
      </c>
      <c r="F1696" s="4">
        <f>IFERROR(__xludf.DUMMYFUNCTION("""COMPUTED_VALUE"""),12.0)</f>
        <v>12</v>
      </c>
      <c r="G1696" s="4">
        <f>IFERROR(__xludf.DUMMYFUNCTION("""COMPUTED_VALUE"""),870.0)</f>
        <v>870</v>
      </c>
      <c r="H1696" s="5">
        <f>IFERROR(__xludf.DUMMYFUNCTION("""COMPUTED_VALUE"""),686.61)</f>
        <v>686.61</v>
      </c>
      <c r="I1696" s="5">
        <f>IFERROR(__xludf.DUMMYFUNCTION("""COMPUTED_VALUE"""),512.28)</f>
        <v>512.28</v>
      </c>
      <c r="J1696" s="5">
        <f>IFERROR(__xludf.DUMMYFUNCTION("""COMPUTED_VALUE"""),9732.14)</f>
        <v>9732.14</v>
      </c>
      <c r="K1696" s="5">
        <f>IFERROR(__xludf.DUMMYFUNCTION("""COMPUTED_VALUE"""),7980.89)</f>
        <v>7980.89</v>
      </c>
      <c r="L1696" s="4">
        <f>IFERROR(__xludf.DUMMYFUNCTION("""COMPUTED_VALUE"""),18.0)</f>
        <v>18</v>
      </c>
      <c r="M1696" s="4">
        <f>IFERROR(__xludf.DUMMYFUNCTION("""COMPUTED_VALUE"""),16.0)</f>
        <v>16</v>
      </c>
      <c r="N1696" s="2" t="str">
        <f>IFERROR(__xludf.DUMMYFUNCTION("""COMPUTED_VALUE"""),"FALSO")</f>
        <v>FALSO</v>
      </c>
    </row>
    <row r="1697">
      <c r="A1697" s="2">
        <f>IFERROR(__xludf.DUMMYFUNCTION("""COMPUTED_VALUE"""),1696.0)</f>
        <v>1696</v>
      </c>
      <c r="B1697" s="2" t="str">
        <f>IFERROR(__xludf.DUMMYFUNCTION("""COMPUTED_VALUE"""),"Parnell Ivankin")</f>
        <v>Parnell Ivankin</v>
      </c>
      <c r="C1697" s="2" t="str">
        <f>IFERROR(__xludf.DUMMYFUNCTION("""COMPUTED_VALUE"""),"pivankinjc@phoca.cz")</f>
        <v>pivankinjc@phoca.cz</v>
      </c>
      <c r="D1697" s="4">
        <f>IFERROR(__xludf.DUMMYFUNCTION("""COMPUTED_VALUE"""),24.0)</f>
        <v>24</v>
      </c>
      <c r="E1697" s="4">
        <f>IFERROR(__xludf.DUMMYFUNCTION("""COMPUTED_VALUE"""),39.0)</f>
        <v>39</v>
      </c>
      <c r="F1697" s="4">
        <f>IFERROR(__xludf.DUMMYFUNCTION("""COMPUTED_VALUE"""),11.0)</f>
        <v>11</v>
      </c>
      <c r="G1697" s="4">
        <f>IFERROR(__xludf.DUMMYFUNCTION("""COMPUTED_VALUE"""),1500.0)</f>
        <v>1500</v>
      </c>
      <c r="H1697" s="5">
        <f>IFERROR(__xludf.DUMMYFUNCTION("""COMPUTED_VALUE"""),7039.78)</f>
        <v>7039.78</v>
      </c>
      <c r="I1697" s="5">
        <f>IFERROR(__xludf.DUMMYFUNCTION("""COMPUTED_VALUE"""),95.68)</f>
        <v>95.68</v>
      </c>
      <c r="J1697" s="5">
        <f>IFERROR(__xludf.DUMMYFUNCTION("""COMPUTED_VALUE"""),2361.12)</f>
        <v>2361.12</v>
      </c>
      <c r="K1697" s="5">
        <f>IFERROR(__xludf.DUMMYFUNCTION("""COMPUTED_VALUE"""),1223.87)</f>
        <v>1223.87</v>
      </c>
      <c r="L1697" s="4">
        <f>IFERROR(__xludf.DUMMYFUNCTION("""COMPUTED_VALUE"""),11.0)</f>
        <v>11</v>
      </c>
      <c r="M1697" s="4">
        <f>IFERROR(__xludf.DUMMYFUNCTION("""COMPUTED_VALUE"""),63.0)</f>
        <v>63</v>
      </c>
      <c r="N1697" s="2" t="str">
        <f>IFERROR(__xludf.DUMMYFUNCTION("""COMPUTED_VALUE"""),"VERDADERO")</f>
        <v>VERDADERO</v>
      </c>
    </row>
    <row r="1698">
      <c r="A1698" s="2">
        <f>IFERROR(__xludf.DUMMYFUNCTION("""COMPUTED_VALUE"""),1697.0)</f>
        <v>1697</v>
      </c>
      <c r="B1698" s="2" t="str">
        <f>IFERROR(__xludf.DUMMYFUNCTION("""COMPUTED_VALUE"""),"Minetta Feirn")</f>
        <v>Minetta Feirn</v>
      </c>
      <c r="C1698" s="2" t="str">
        <f>IFERROR(__xludf.DUMMYFUNCTION("""COMPUTED_VALUE"""),"mfeirnjd@artisteer.com")</f>
        <v>mfeirnjd@artisteer.com</v>
      </c>
      <c r="D1698" s="4">
        <f>IFERROR(__xludf.DUMMYFUNCTION("""COMPUTED_VALUE"""),120.0)</f>
        <v>120</v>
      </c>
      <c r="E1698" s="4">
        <f>IFERROR(__xludf.DUMMYFUNCTION("""COMPUTED_VALUE"""),65.0)</f>
        <v>65</v>
      </c>
      <c r="F1698" s="4">
        <f>IFERROR(__xludf.DUMMYFUNCTION("""COMPUTED_VALUE"""),9.0)</f>
        <v>9</v>
      </c>
      <c r="G1698" s="4">
        <f>IFERROR(__xludf.DUMMYFUNCTION("""COMPUTED_VALUE"""),1542.0)</f>
        <v>1542</v>
      </c>
      <c r="H1698" s="5">
        <f>IFERROR(__xludf.DUMMYFUNCTION("""COMPUTED_VALUE"""),8564.25)</f>
        <v>8564.25</v>
      </c>
      <c r="I1698" s="5">
        <f>IFERROR(__xludf.DUMMYFUNCTION("""COMPUTED_VALUE"""),3184.48)</f>
        <v>3184.48</v>
      </c>
      <c r="J1698" s="5">
        <f>IFERROR(__xludf.DUMMYFUNCTION("""COMPUTED_VALUE"""),8304.05)</f>
        <v>8304.05</v>
      </c>
      <c r="K1698" s="5">
        <f>IFERROR(__xludf.DUMMYFUNCTION("""COMPUTED_VALUE"""),1949.34)</f>
        <v>1949.34</v>
      </c>
      <c r="L1698" s="4">
        <f>IFERROR(__xludf.DUMMYFUNCTION("""COMPUTED_VALUE"""),5.0)</f>
        <v>5</v>
      </c>
      <c r="M1698" s="4">
        <f>IFERROR(__xludf.DUMMYFUNCTION("""COMPUTED_VALUE"""),52.0)</f>
        <v>52</v>
      </c>
      <c r="N1698" s="2" t="str">
        <f>IFERROR(__xludf.DUMMYFUNCTION("""COMPUTED_VALUE"""),"FALSO")</f>
        <v>FALSO</v>
      </c>
    </row>
    <row r="1699">
      <c r="A1699" s="2">
        <f>IFERROR(__xludf.DUMMYFUNCTION("""COMPUTED_VALUE"""),1698.0)</f>
        <v>1698</v>
      </c>
      <c r="B1699" s="2" t="str">
        <f>IFERROR(__xludf.DUMMYFUNCTION("""COMPUTED_VALUE"""),"Agneta Pardoe")</f>
        <v>Agneta Pardoe</v>
      </c>
      <c r="C1699" s="2" t="str">
        <f>IFERROR(__xludf.DUMMYFUNCTION("""COMPUTED_VALUE"""),"apardoeje@adobe.com")</f>
        <v>apardoeje@adobe.com</v>
      </c>
      <c r="D1699" s="4">
        <f>IFERROR(__xludf.DUMMYFUNCTION("""COMPUTED_VALUE"""),24.0)</f>
        <v>24</v>
      </c>
      <c r="E1699" s="4">
        <f>IFERROR(__xludf.DUMMYFUNCTION("""COMPUTED_VALUE"""),85.0)</f>
        <v>85</v>
      </c>
      <c r="F1699" s="4">
        <f>IFERROR(__xludf.DUMMYFUNCTION("""COMPUTED_VALUE"""),3.0)</f>
        <v>3</v>
      </c>
      <c r="G1699" s="4">
        <f>IFERROR(__xludf.DUMMYFUNCTION("""COMPUTED_VALUE"""),852.0)</f>
        <v>852</v>
      </c>
      <c r="H1699" s="5">
        <f>IFERROR(__xludf.DUMMYFUNCTION("""COMPUTED_VALUE"""),1252.07)</f>
        <v>1252.07</v>
      </c>
      <c r="I1699" s="5">
        <f>IFERROR(__xludf.DUMMYFUNCTION("""COMPUTED_VALUE"""),1286.58)</f>
        <v>1286.58</v>
      </c>
      <c r="J1699" s="5">
        <f>IFERROR(__xludf.DUMMYFUNCTION("""COMPUTED_VALUE"""),3140.23)</f>
        <v>3140.23</v>
      </c>
      <c r="K1699" s="5">
        <f>IFERROR(__xludf.DUMMYFUNCTION("""COMPUTED_VALUE"""),5849.44)</f>
        <v>5849.44</v>
      </c>
      <c r="L1699" s="4">
        <f>IFERROR(__xludf.DUMMYFUNCTION("""COMPUTED_VALUE"""),3.0)</f>
        <v>3</v>
      </c>
      <c r="M1699" s="4">
        <f>IFERROR(__xludf.DUMMYFUNCTION("""COMPUTED_VALUE"""),59.0)</f>
        <v>59</v>
      </c>
      <c r="N1699" s="2" t="str">
        <f>IFERROR(__xludf.DUMMYFUNCTION("""COMPUTED_VALUE"""),"FALSO")</f>
        <v>FALSO</v>
      </c>
    </row>
    <row r="1700">
      <c r="A1700" s="2">
        <f>IFERROR(__xludf.DUMMYFUNCTION("""COMPUTED_VALUE"""),1699.0)</f>
        <v>1699</v>
      </c>
      <c r="B1700" s="2" t="str">
        <f>IFERROR(__xludf.DUMMYFUNCTION("""COMPUTED_VALUE"""),"Finlay Camings")</f>
        <v>Finlay Camings</v>
      </c>
      <c r="C1700" s="2" t="str">
        <f>IFERROR(__xludf.DUMMYFUNCTION("""COMPUTED_VALUE"""),"fcamingsjf@apache.org")</f>
        <v>fcamingsjf@apache.org</v>
      </c>
      <c r="D1700" s="4">
        <f>IFERROR(__xludf.DUMMYFUNCTION("""COMPUTED_VALUE"""),124.0)</f>
        <v>124</v>
      </c>
      <c r="E1700" s="4">
        <f>IFERROR(__xludf.DUMMYFUNCTION("""COMPUTED_VALUE"""),103.0)</f>
        <v>103</v>
      </c>
      <c r="F1700" s="4">
        <f>IFERROR(__xludf.DUMMYFUNCTION("""COMPUTED_VALUE"""),5.0)</f>
        <v>5</v>
      </c>
      <c r="G1700" s="4">
        <f>IFERROR(__xludf.DUMMYFUNCTION("""COMPUTED_VALUE"""),1406.0)</f>
        <v>1406</v>
      </c>
      <c r="H1700" s="5">
        <f>IFERROR(__xludf.DUMMYFUNCTION("""COMPUTED_VALUE"""),4322.8)</f>
        <v>4322.8</v>
      </c>
      <c r="I1700" s="5">
        <f>IFERROR(__xludf.DUMMYFUNCTION("""COMPUTED_VALUE"""),3117.47)</f>
        <v>3117.47</v>
      </c>
      <c r="J1700" s="5">
        <f>IFERROR(__xludf.DUMMYFUNCTION("""COMPUTED_VALUE"""),3130.98)</f>
        <v>3130.98</v>
      </c>
      <c r="K1700" s="5">
        <f>IFERROR(__xludf.DUMMYFUNCTION("""COMPUTED_VALUE"""),9260.4)</f>
        <v>9260.4</v>
      </c>
      <c r="L1700" s="4">
        <f>IFERROR(__xludf.DUMMYFUNCTION("""COMPUTED_VALUE"""),6.0)</f>
        <v>6</v>
      </c>
      <c r="M1700" s="4">
        <f>IFERROR(__xludf.DUMMYFUNCTION("""COMPUTED_VALUE"""),16.0)</f>
        <v>16</v>
      </c>
      <c r="N1700" s="2" t="str">
        <f>IFERROR(__xludf.DUMMYFUNCTION("""COMPUTED_VALUE"""),"FALSO")</f>
        <v>FALSO</v>
      </c>
    </row>
    <row r="1701">
      <c r="A1701" s="2">
        <f>IFERROR(__xludf.DUMMYFUNCTION("""COMPUTED_VALUE"""),1700.0)</f>
        <v>1700</v>
      </c>
      <c r="B1701" s="2" t="str">
        <f>IFERROR(__xludf.DUMMYFUNCTION("""COMPUTED_VALUE"""),"Camel Terbruggen")</f>
        <v>Camel Terbruggen</v>
      </c>
      <c r="C1701" s="2" t="str">
        <f>IFERROR(__xludf.DUMMYFUNCTION("""COMPUTED_VALUE"""),"cterbruggenjg@cam.ac.uk")</f>
        <v>cterbruggenjg@cam.ac.uk</v>
      </c>
      <c r="D1701" s="4">
        <f>IFERROR(__xludf.DUMMYFUNCTION("""COMPUTED_VALUE"""),17.0)</f>
        <v>17</v>
      </c>
      <c r="E1701" s="4">
        <f>IFERROR(__xludf.DUMMYFUNCTION("""COMPUTED_VALUE"""),46.0)</f>
        <v>46</v>
      </c>
      <c r="F1701" s="4">
        <f>IFERROR(__xludf.DUMMYFUNCTION("""COMPUTED_VALUE"""),5.0)</f>
        <v>5</v>
      </c>
      <c r="G1701" s="4">
        <f>IFERROR(__xludf.DUMMYFUNCTION("""COMPUTED_VALUE"""),326.0)</f>
        <v>326</v>
      </c>
      <c r="H1701" s="5">
        <f>IFERROR(__xludf.DUMMYFUNCTION("""COMPUTED_VALUE"""),6912.0)</f>
        <v>6912</v>
      </c>
      <c r="I1701" s="5">
        <f>IFERROR(__xludf.DUMMYFUNCTION("""COMPUTED_VALUE"""),1705.28)</f>
        <v>1705.28</v>
      </c>
      <c r="J1701" s="5">
        <f>IFERROR(__xludf.DUMMYFUNCTION("""COMPUTED_VALUE"""),4420.06)</f>
        <v>4420.06</v>
      </c>
      <c r="K1701" s="5">
        <f>IFERROR(__xludf.DUMMYFUNCTION("""COMPUTED_VALUE"""),7801.17)</f>
        <v>7801.17</v>
      </c>
      <c r="L1701" s="4">
        <f>IFERROR(__xludf.DUMMYFUNCTION("""COMPUTED_VALUE"""),8.0)</f>
        <v>8</v>
      </c>
      <c r="M1701" s="4">
        <f>IFERROR(__xludf.DUMMYFUNCTION("""COMPUTED_VALUE"""),61.0)</f>
        <v>61</v>
      </c>
      <c r="N1701" s="2" t="str">
        <f>IFERROR(__xludf.DUMMYFUNCTION("""COMPUTED_VALUE"""),"VERDADERO")</f>
        <v>VERDADERO</v>
      </c>
    </row>
    <row r="1702">
      <c r="A1702" s="2">
        <f>IFERROR(__xludf.DUMMYFUNCTION("""COMPUTED_VALUE"""),1701.0)</f>
        <v>1701</v>
      </c>
      <c r="B1702" s="2" t="str">
        <f>IFERROR(__xludf.DUMMYFUNCTION("""COMPUTED_VALUE"""),"Saunderson Jiroudek")</f>
        <v>Saunderson Jiroudek</v>
      </c>
      <c r="C1702" s="2" t="str">
        <f>IFERROR(__xludf.DUMMYFUNCTION("""COMPUTED_VALUE"""),"sjiroudekjh@ted.com")</f>
        <v>sjiroudekjh@ted.com</v>
      </c>
      <c r="D1702" s="4">
        <f>IFERROR(__xludf.DUMMYFUNCTION("""COMPUTED_VALUE"""),17.0)</f>
        <v>17</v>
      </c>
      <c r="E1702" s="4">
        <f>IFERROR(__xludf.DUMMYFUNCTION("""COMPUTED_VALUE"""),81.0)</f>
        <v>81</v>
      </c>
      <c r="F1702" s="4">
        <f>IFERROR(__xludf.DUMMYFUNCTION("""COMPUTED_VALUE"""),2.0)</f>
        <v>2</v>
      </c>
      <c r="G1702" s="4">
        <f>IFERROR(__xludf.DUMMYFUNCTION("""COMPUTED_VALUE"""),1323.0)</f>
        <v>1323</v>
      </c>
      <c r="H1702" s="5">
        <f>IFERROR(__xludf.DUMMYFUNCTION("""COMPUTED_VALUE"""),7453.54)</f>
        <v>7453.54</v>
      </c>
      <c r="I1702" s="5">
        <f>IFERROR(__xludf.DUMMYFUNCTION("""COMPUTED_VALUE"""),7292.36)</f>
        <v>7292.36</v>
      </c>
      <c r="J1702" s="5">
        <f>IFERROR(__xludf.DUMMYFUNCTION("""COMPUTED_VALUE"""),6005.44)</f>
        <v>6005.44</v>
      </c>
      <c r="K1702" s="5">
        <f>IFERROR(__xludf.DUMMYFUNCTION("""COMPUTED_VALUE"""),6916.35)</f>
        <v>6916.35</v>
      </c>
      <c r="L1702" s="4">
        <f>IFERROR(__xludf.DUMMYFUNCTION("""COMPUTED_VALUE"""),3.0)</f>
        <v>3</v>
      </c>
      <c r="M1702" s="4">
        <f>IFERROR(__xludf.DUMMYFUNCTION("""COMPUTED_VALUE"""),7.0)</f>
        <v>7</v>
      </c>
      <c r="N1702" s="2" t="str">
        <f>IFERROR(__xludf.DUMMYFUNCTION("""COMPUTED_VALUE"""),"VERDADERO")</f>
        <v>VERDADERO</v>
      </c>
    </row>
    <row r="1703">
      <c r="A1703" s="2">
        <f>IFERROR(__xludf.DUMMYFUNCTION("""COMPUTED_VALUE"""),1702.0)</f>
        <v>1702</v>
      </c>
      <c r="B1703" s="2" t="str">
        <f>IFERROR(__xludf.DUMMYFUNCTION("""COMPUTED_VALUE"""),"Mozelle Christley")</f>
        <v>Mozelle Christley</v>
      </c>
      <c r="C1703" s="2" t="str">
        <f>IFERROR(__xludf.DUMMYFUNCTION("""COMPUTED_VALUE"""),"mchristleyji@illinois.edu")</f>
        <v>mchristleyji@illinois.edu</v>
      </c>
      <c r="D1703" s="4">
        <f>IFERROR(__xludf.DUMMYFUNCTION("""COMPUTED_VALUE"""),113.0)</f>
        <v>113</v>
      </c>
      <c r="E1703" s="4">
        <f>IFERROR(__xludf.DUMMYFUNCTION("""COMPUTED_VALUE"""),89.0)</f>
        <v>89</v>
      </c>
      <c r="F1703" s="4">
        <f>IFERROR(__xludf.DUMMYFUNCTION("""COMPUTED_VALUE"""),8.0)</f>
        <v>8</v>
      </c>
      <c r="G1703" s="4">
        <f>IFERROR(__xludf.DUMMYFUNCTION("""COMPUTED_VALUE"""),77.0)</f>
        <v>77</v>
      </c>
      <c r="H1703" s="5">
        <f>IFERROR(__xludf.DUMMYFUNCTION("""COMPUTED_VALUE"""),8369.24)</f>
        <v>8369.24</v>
      </c>
      <c r="I1703" s="5">
        <f>IFERROR(__xludf.DUMMYFUNCTION("""COMPUTED_VALUE"""),5568.3)</f>
        <v>5568.3</v>
      </c>
      <c r="J1703" s="5">
        <f>IFERROR(__xludf.DUMMYFUNCTION("""COMPUTED_VALUE"""),7964.59)</f>
        <v>7964.59</v>
      </c>
      <c r="K1703" s="5">
        <f>IFERROR(__xludf.DUMMYFUNCTION("""COMPUTED_VALUE"""),9677.91)</f>
        <v>9677.91</v>
      </c>
      <c r="L1703" s="4">
        <f>IFERROR(__xludf.DUMMYFUNCTION("""COMPUTED_VALUE"""),11.0)</f>
        <v>11</v>
      </c>
      <c r="M1703" s="4">
        <f>IFERROR(__xludf.DUMMYFUNCTION("""COMPUTED_VALUE"""),89.0)</f>
        <v>89</v>
      </c>
      <c r="N1703" s="2" t="str">
        <f>IFERROR(__xludf.DUMMYFUNCTION("""COMPUTED_VALUE"""),"VERDADERO")</f>
        <v>VERDADERO</v>
      </c>
    </row>
    <row r="1704">
      <c r="A1704" s="2">
        <f>IFERROR(__xludf.DUMMYFUNCTION("""COMPUTED_VALUE"""),1703.0)</f>
        <v>1703</v>
      </c>
      <c r="B1704" s="2" t="str">
        <f>IFERROR(__xludf.DUMMYFUNCTION("""COMPUTED_VALUE"""),"Lyndsay Lidgett")</f>
        <v>Lyndsay Lidgett</v>
      </c>
      <c r="C1704" s="2" t="str">
        <f>IFERROR(__xludf.DUMMYFUNCTION("""COMPUTED_VALUE"""),"llidgettjj@mediafire.com")</f>
        <v>llidgettjj@mediafire.com</v>
      </c>
      <c r="D1704" s="4">
        <f>IFERROR(__xludf.DUMMYFUNCTION("""COMPUTED_VALUE"""),5.0)</f>
        <v>5</v>
      </c>
      <c r="E1704" s="4">
        <f>IFERROR(__xludf.DUMMYFUNCTION("""COMPUTED_VALUE"""),56.0)</f>
        <v>56</v>
      </c>
      <c r="F1704" s="4">
        <f>IFERROR(__xludf.DUMMYFUNCTION("""COMPUTED_VALUE"""),6.0)</f>
        <v>6</v>
      </c>
      <c r="G1704" s="4">
        <f>IFERROR(__xludf.DUMMYFUNCTION("""COMPUTED_VALUE"""),827.0)</f>
        <v>827</v>
      </c>
      <c r="H1704" s="5">
        <f>IFERROR(__xludf.DUMMYFUNCTION("""COMPUTED_VALUE"""),7966.14)</f>
        <v>7966.14</v>
      </c>
      <c r="I1704" s="5">
        <f>IFERROR(__xludf.DUMMYFUNCTION("""COMPUTED_VALUE"""),3687.01)</f>
        <v>3687.01</v>
      </c>
      <c r="J1704" s="5">
        <f>IFERROR(__xludf.DUMMYFUNCTION("""COMPUTED_VALUE"""),298.27)</f>
        <v>298.27</v>
      </c>
      <c r="K1704" s="5">
        <f>IFERROR(__xludf.DUMMYFUNCTION("""COMPUTED_VALUE"""),8511.01)</f>
        <v>8511.01</v>
      </c>
      <c r="L1704" s="4">
        <f>IFERROR(__xludf.DUMMYFUNCTION("""COMPUTED_VALUE"""),3.0)</f>
        <v>3</v>
      </c>
      <c r="M1704" s="4">
        <f>IFERROR(__xludf.DUMMYFUNCTION("""COMPUTED_VALUE"""),52.0)</f>
        <v>52</v>
      </c>
      <c r="N1704" s="2" t="str">
        <f>IFERROR(__xludf.DUMMYFUNCTION("""COMPUTED_VALUE"""),"FALSO")</f>
        <v>FALSO</v>
      </c>
    </row>
    <row r="1705">
      <c r="A1705" s="2">
        <f>IFERROR(__xludf.DUMMYFUNCTION("""COMPUTED_VALUE"""),1704.0)</f>
        <v>1704</v>
      </c>
      <c r="B1705" s="2" t="str">
        <f>IFERROR(__xludf.DUMMYFUNCTION("""COMPUTED_VALUE"""),"Keir Bendixen")</f>
        <v>Keir Bendixen</v>
      </c>
      <c r="C1705" s="2" t="str">
        <f>IFERROR(__xludf.DUMMYFUNCTION("""COMPUTED_VALUE"""),"kbendixenjk@zimbio.com")</f>
        <v>kbendixenjk@zimbio.com</v>
      </c>
      <c r="D1705" s="4">
        <f>IFERROR(__xludf.DUMMYFUNCTION("""COMPUTED_VALUE"""),29.0)</f>
        <v>29</v>
      </c>
      <c r="E1705" s="4">
        <f>IFERROR(__xludf.DUMMYFUNCTION("""COMPUTED_VALUE"""),81.0)</f>
        <v>81</v>
      </c>
      <c r="F1705" s="4">
        <f>IFERROR(__xludf.DUMMYFUNCTION("""COMPUTED_VALUE"""),2.0)</f>
        <v>2</v>
      </c>
      <c r="G1705" s="4">
        <f>IFERROR(__xludf.DUMMYFUNCTION("""COMPUTED_VALUE"""),1093.0)</f>
        <v>1093</v>
      </c>
      <c r="H1705" s="5">
        <f>IFERROR(__xludf.DUMMYFUNCTION("""COMPUTED_VALUE"""),9139.32)</f>
        <v>9139.32</v>
      </c>
      <c r="I1705" s="5">
        <f>IFERROR(__xludf.DUMMYFUNCTION("""COMPUTED_VALUE"""),32.23)</f>
        <v>32.23</v>
      </c>
      <c r="J1705" s="5">
        <f>IFERROR(__xludf.DUMMYFUNCTION("""COMPUTED_VALUE"""),7110.38)</f>
        <v>7110.38</v>
      </c>
      <c r="K1705" s="5">
        <f>IFERROR(__xludf.DUMMYFUNCTION("""COMPUTED_VALUE"""),3438.6)</f>
        <v>3438.6</v>
      </c>
      <c r="L1705" s="4">
        <f>IFERROR(__xludf.DUMMYFUNCTION("""COMPUTED_VALUE"""),6.0)</f>
        <v>6</v>
      </c>
      <c r="M1705" s="4">
        <f>IFERROR(__xludf.DUMMYFUNCTION("""COMPUTED_VALUE"""),13.0)</f>
        <v>13</v>
      </c>
      <c r="N1705" s="2" t="str">
        <f>IFERROR(__xludf.DUMMYFUNCTION("""COMPUTED_VALUE"""),"FALSO")</f>
        <v>FALSO</v>
      </c>
    </row>
    <row r="1706">
      <c r="A1706" s="2">
        <f>IFERROR(__xludf.DUMMYFUNCTION("""COMPUTED_VALUE"""),1705.0)</f>
        <v>1705</v>
      </c>
      <c r="B1706" s="2" t="str">
        <f>IFERROR(__xludf.DUMMYFUNCTION("""COMPUTED_VALUE"""),"Lynnet Mauditt")</f>
        <v>Lynnet Mauditt</v>
      </c>
      <c r="C1706" s="2" t="str">
        <f>IFERROR(__xludf.DUMMYFUNCTION("""COMPUTED_VALUE"""),"lmaudittjl@yahoo.com")</f>
        <v>lmaudittjl@yahoo.com</v>
      </c>
      <c r="D1706" s="4">
        <f>IFERROR(__xludf.DUMMYFUNCTION("""COMPUTED_VALUE"""),17.0)</f>
        <v>17</v>
      </c>
      <c r="E1706" s="4">
        <f>IFERROR(__xludf.DUMMYFUNCTION("""COMPUTED_VALUE"""),81.0)</f>
        <v>81</v>
      </c>
      <c r="F1706" s="4">
        <f>IFERROR(__xludf.DUMMYFUNCTION("""COMPUTED_VALUE"""),2.0)</f>
        <v>2</v>
      </c>
      <c r="G1706" s="4">
        <f>IFERROR(__xludf.DUMMYFUNCTION("""COMPUTED_VALUE"""),223.0)</f>
        <v>223</v>
      </c>
      <c r="H1706" s="5">
        <f>IFERROR(__xludf.DUMMYFUNCTION("""COMPUTED_VALUE"""),7083.37)</f>
        <v>7083.37</v>
      </c>
      <c r="I1706" s="5">
        <f>IFERROR(__xludf.DUMMYFUNCTION("""COMPUTED_VALUE"""),8620.53)</f>
        <v>8620.53</v>
      </c>
      <c r="J1706" s="5">
        <f>IFERROR(__xludf.DUMMYFUNCTION("""COMPUTED_VALUE"""),4632.0)</f>
        <v>4632</v>
      </c>
      <c r="K1706" s="5">
        <f>IFERROR(__xludf.DUMMYFUNCTION("""COMPUTED_VALUE"""),208.72)</f>
        <v>208.72</v>
      </c>
      <c r="L1706" s="4">
        <f>IFERROR(__xludf.DUMMYFUNCTION("""COMPUTED_VALUE"""),13.0)</f>
        <v>13</v>
      </c>
      <c r="M1706" s="4">
        <f>IFERROR(__xludf.DUMMYFUNCTION("""COMPUTED_VALUE"""),21.0)</f>
        <v>21</v>
      </c>
      <c r="N1706" s="2" t="str">
        <f>IFERROR(__xludf.DUMMYFUNCTION("""COMPUTED_VALUE"""),"VERDADERO")</f>
        <v>VERDADERO</v>
      </c>
    </row>
    <row r="1707">
      <c r="A1707" s="2">
        <f>IFERROR(__xludf.DUMMYFUNCTION("""COMPUTED_VALUE"""),1706.0)</f>
        <v>1706</v>
      </c>
      <c r="B1707" s="2" t="str">
        <f>IFERROR(__xludf.DUMMYFUNCTION("""COMPUTED_VALUE"""),"Dorey Berntssen")</f>
        <v>Dorey Berntssen</v>
      </c>
      <c r="C1707" s="2" t="str">
        <f>IFERROR(__xludf.DUMMYFUNCTION("""COMPUTED_VALUE"""),"dberntssenjm@biglobe.ne.jp")</f>
        <v>dberntssenjm@biglobe.ne.jp</v>
      </c>
      <c r="D1707" s="4">
        <f>IFERROR(__xludf.DUMMYFUNCTION("""COMPUTED_VALUE"""),73.0)</f>
        <v>73</v>
      </c>
      <c r="E1707" s="4">
        <f>IFERROR(__xludf.DUMMYFUNCTION("""COMPUTED_VALUE"""),30.0)</f>
        <v>30</v>
      </c>
      <c r="F1707" s="4">
        <f>IFERROR(__xludf.DUMMYFUNCTION("""COMPUTED_VALUE"""),11.0)</f>
        <v>11</v>
      </c>
      <c r="G1707" s="4">
        <f>IFERROR(__xludf.DUMMYFUNCTION("""COMPUTED_VALUE"""),1579.0)</f>
        <v>1579</v>
      </c>
      <c r="H1707" s="5">
        <f>IFERROR(__xludf.DUMMYFUNCTION("""COMPUTED_VALUE"""),9605.04)</f>
        <v>9605.04</v>
      </c>
      <c r="I1707" s="5">
        <f>IFERROR(__xludf.DUMMYFUNCTION("""COMPUTED_VALUE"""),6421.8)</f>
        <v>6421.8</v>
      </c>
      <c r="J1707" s="5">
        <f>IFERROR(__xludf.DUMMYFUNCTION("""COMPUTED_VALUE"""),8075.54)</f>
        <v>8075.54</v>
      </c>
      <c r="K1707" s="5">
        <f>IFERROR(__xludf.DUMMYFUNCTION("""COMPUTED_VALUE"""),1567.93)</f>
        <v>1567.93</v>
      </c>
      <c r="L1707" s="4">
        <f>IFERROR(__xludf.DUMMYFUNCTION("""COMPUTED_VALUE"""),15.0)</f>
        <v>15</v>
      </c>
      <c r="M1707" s="4">
        <f>IFERROR(__xludf.DUMMYFUNCTION("""COMPUTED_VALUE"""),64.0)</f>
        <v>64</v>
      </c>
      <c r="N1707" s="2" t="str">
        <f>IFERROR(__xludf.DUMMYFUNCTION("""COMPUTED_VALUE"""),"FALSO")</f>
        <v>FALSO</v>
      </c>
    </row>
    <row r="1708">
      <c r="A1708" s="2">
        <f>IFERROR(__xludf.DUMMYFUNCTION("""COMPUTED_VALUE"""),1707.0)</f>
        <v>1707</v>
      </c>
      <c r="B1708" s="2" t="str">
        <f>IFERROR(__xludf.DUMMYFUNCTION("""COMPUTED_VALUE"""),"Yvette Craster")</f>
        <v>Yvette Craster</v>
      </c>
      <c r="C1708" s="2" t="str">
        <f>IFERROR(__xludf.DUMMYFUNCTION("""COMPUTED_VALUE"""),"ycrasterjn@smugmug.com")</f>
        <v>ycrasterjn@smugmug.com</v>
      </c>
      <c r="D1708" s="4">
        <f>IFERROR(__xludf.DUMMYFUNCTION("""COMPUTED_VALUE"""),88.0)</f>
        <v>88</v>
      </c>
      <c r="E1708" s="4">
        <f>IFERROR(__xludf.DUMMYFUNCTION("""COMPUTED_VALUE"""),81.0)</f>
        <v>81</v>
      </c>
      <c r="F1708" s="4">
        <f>IFERROR(__xludf.DUMMYFUNCTION("""COMPUTED_VALUE"""),2.0)</f>
        <v>2</v>
      </c>
      <c r="G1708" s="4">
        <f>IFERROR(__xludf.DUMMYFUNCTION("""COMPUTED_VALUE"""),650.0)</f>
        <v>650</v>
      </c>
      <c r="H1708" s="5">
        <f>IFERROR(__xludf.DUMMYFUNCTION("""COMPUTED_VALUE"""),419.21)</f>
        <v>419.21</v>
      </c>
      <c r="I1708" s="5">
        <f>IFERROR(__xludf.DUMMYFUNCTION("""COMPUTED_VALUE"""),1776.13)</f>
        <v>1776.13</v>
      </c>
      <c r="J1708" s="5">
        <f>IFERROR(__xludf.DUMMYFUNCTION("""COMPUTED_VALUE"""),3700.57)</f>
        <v>3700.57</v>
      </c>
      <c r="K1708" s="5">
        <f>IFERROR(__xludf.DUMMYFUNCTION("""COMPUTED_VALUE"""),1509.34)</f>
        <v>1509.34</v>
      </c>
      <c r="L1708" s="4">
        <f>IFERROR(__xludf.DUMMYFUNCTION("""COMPUTED_VALUE"""),8.0)</f>
        <v>8</v>
      </c>
      <c r="M1708" s="4">
        <f>IFERROR(__xludf.DUMMYFUNCTION("""COMPUTED_VALUE"""),85.0)</f>
        <v>85</v>
      </c>
      <c r="N1708" s="2" t="str">
        <f>IFERROR(__xludf.DUMMYFUNCTION("""COMPUTED_VALUE"""),"VERDADERO")</f>
        <v>VERDADERO</v>
      </c>
    </row>
    <row r="1709">
      <c r="A1709" s="2">
        <f>IFERROR(__xludf.DUMMYFUNCTION("""COMPUTED_VALUE"""),1708.0)</f>
        <v>1708</v>
      </c>
      <c r="B1709" s="2" t="str">
        <f>IFERROR(__xludf.DUMMYFUNCTION("""COMPUTED_VALUE"""),"Angus Lamswood")</f>
        <v>Angus Lamswood</v>
      </c>
      <c r="C1709" s="2" t="str">
        <f>IFERROR(__xludf.DUMMYFUNCTION("""COMPUTED_VALUE"""),"alamswoodjo@dion.ne.jp")</f>
        <v>alamswoodjo@dion.ne.jp</v>
      </c>
      <c r="D1709" s="4">
        <f>IFERROR(__xludf.DUMMYFUNCTION("""COMPUTED_VALUE"""),150.0)</f>
        <v>150</v>
      </c>
      <c r="E1709" s="4">
        <f>IFERROR(__xludf.DUMMYFUNCTION("""COMPUTED_VALUE"""),81.0)</f>
        <v>81</v>
      </c>
      <c r="F1709" s="4">
        <f>IFERROR(__xludf.DUMMYFUNCTION("""COMPUTED_VALUE"""),2.0)</f>
        <v>2</v>
      </c>
      <c r="G1709" s="4">
        <f>IFERROR(__xludf.DUMMYFUNCTION("""COMPUTED_VALUE"""),1489.0)</f>
        <v>1489</v>
      </c>
      <c r="H1709" s="5">
        <f>IFERROR(__xludf.DUMMYFUNCTION("""COMPUTED_VALUE"""),6454.76)</f>
        <v>6454.76</v>
      </c>
      <c r="I1709" s="5">
        <f>IFERROR(__xludf.DUMMYFUNCTION("""COMPUTED_VALUE"""),8490.47)</f>
        <v>8490.47</v>
      </c>
      <c r="J1709" s="5">
        <f>IFERROR(__xludf.DUMMYFUNCTION("""COMPUTED_VALUE"""),352.22)</f>
        <v>352.22</v>
      </c>
      <c r="K1709" s="5">
        <f>IFERROR(__xludf.DUMMYFUNCTION("""COMPUTED_VALUE"""),1343.7)</f>
        <v>1343.7</v>
      </c>
      <c r="L1709" s="4">
        <f>IFERROR(__xludf.DUMMYFUNCTION("""COMPUTED_VALUE"""),13.0)</f>
        <v>13</v>
      </c>
      <c r="M1709" s="4">
        <f>IFERROR(__xludf.DUMMYFUNCTION("""COMPUTED_VALUE"""),50.0)</f>
        <v>50</v>
      </c>
      <c r="N1709" s="2" t="str">
        <f>IFERROR(__xludf.DUMMYFUNCTION("""COMPUTED_VALUE"""),"VERDADERO")</f>
        <v>VERDADERO</v>
      </c>
    </row>
    <row r="1710">
      <c r="A1710" s="2">
        <f>IFERROR(__xludf.DUMMYFUNCTION("""COMPUTED_VALUE"""),1709.0)</f>
        <v>1709</v>
      </c>
      <c r="B1710" s="2" t="str">
        <f>IFERROR(__xludf.DUMMYFUNCTION("""COMPUTED_VALUE"""),"Colleen MacCart")</f>
        <v>Colleen MacCart</v>
      </c>
      <c r="C1710" s="2" t="str">
        <f>IFERROR(__xludf.DUMMYFUNCTION("""COMPUTED_VALUE"""),"cmaccartjp@cpanel.net")</f>
        <v>cmaccartjp@cpanel.net</v>
      </c>
      <c r="D1710" s="4">
        <f>IFERROR(__xludf.DUMMYFUNCTION("""COMPUTED_VALUE"""),49.0)</f>
        <v>49</v>
      </c>
      <c r="E1710" s="4">
        <f>IFERROR(__xludf.DUMMYFUNCTION("""COMPUTED_VALUE"""),81.0)</f>
        <v>81</v>
      </c>
      <c r="F1710" s="4">
        <f>IFERROR(__xludf.DUMMYFUNCTION("""COMPUTED_VALUE"""),2.0)</f>
        <v>2</v>
      </c>
      <c r="G1710" s="4">
        <f>IFERROR(__xludf.DUMMYFUNCTION("""COMPUTED_VALUE"""),1561.0)</f>
        <v>1561</v>
      </c>
      <c r="H1710" s="5">
        <f>IFERROR(__xludf.DUMMYFUNCTION("""COMPUTED_VALUE"""),976.03)</f>
        <v>976.03</v>
      </c>
      <c r="I1710" s="5">
        <f>IFERROR(__xludf.DUMMYFUNCTION("""COMPUTED_VALUE"""),5321.39)</f>
        <v>5321.39</v>
      </c>
      <c r="J1710" s="5">
        <f>IFERROR(__xludf.DUMMYFUNCTION("""COMPUTED_VALUE"""),9786.63)</f>
        <v>9786.63</v>
      </c>
      <c r="K1710" s="5">
        <f>IFERROR(__xludf.DUMMYFUNCTION("""COMPUTED_VALUE"""),4689.26)</f>
        <v>4689.26</v>
      </c>
      <c r="L1710" s="4">
        <f>IFERROR(__xludf.DUMMYFUNCTION("""COMPUTED_VALUE"""),11.0)</f>
        <v>11</v>
      </c>
      <c r="M1710" s="4">
        <f>IFERROR(__xludf.DUMMYFUNCTION("""COMPUTED_VALUE"""),13.0)</f>
        <v>13</v>
      </c>
      <c r="N1710" s="2" t="str">
        <f>IFERROR(__xludf.DUMMYFUNCTION("""COMPUTED_VALUE"""),"FALSO")</f>
        <v>FALSO</v>
      </c>
    </row>
    <row r="1711">
      <c r="A1711" s="2">
        <f>IFERROR(__xludf.DUMMYFUNCTION("""COMPUTED_VALUE"""),1710.0)</f>
        <v>1710</v>
      </c>
      <c r="B1711" s="2" t="str">
        <f>IFERROR(__xludf.DUMMYFUNCTION("""COMPUTED_VALUE"""),"Della Stelli")</f>
        <v>Della Stelli</v>
      </c>
      <c r="C1711" s="2" t="str">
        <f>IFERROR(__xludf.DUMMYFUNCTION("""COMPUTED_VALUE"""),"dstellijq@toplist.cz")</f>
        <v>dstellijq@toplist.cz</v>
      </c>
      <c r="D1711" s="4">
        <f>IFERROR(__xludf.DUMMYFUNCTION("""COMPUTED_VALUE"""),143.0)</f>
        <v>143</v>
      </c>
      <c r="E1711" s="4">
        <f>IFERROR(__xludf.DUMMYFUNCTION("""COMPUTED_VALUE"""),71.0)</f>
        <v>71</v>
      </c>
      <c r="F1711" s="4">
        <f>IFERROR(__xludf.DUMMYFUNCTION("""COMPUTED_VALUE"""),6.0)</f>
        <v>6</v>
      </c>
      <c r="G1711" s="4">
        <f>IFERROR(__xludf.DUMMYFUNCTION("""COMPUTED_VALUE"""),855.0)</f>
        <v>855</v>
      </c>
      <c r="H1711" s="5">
        <f>IFERROR(__xludf.DUMMYFUNCTION("""COMPUTED_VALUE"""),9544.47)</f>
        <v>9544.47</v>
      </c>
      <c r="I1711" s="5">
        <f>IFERROR(__xludf.DUMMYFUNCTION("""COMPUTED_VALUE"""),5947.89)</f>
        <v>5947.89</v>
      </c>
      <c r="J1711" s="5">
        <f>IFERROR(__xludf.DUMMYFUNCTION("""COMPUTED_VALUE"""),9259.64)</f>
        <v>9259.64</v>
      </c>
      <c r="K1711" s="5">
        <f>IFERROR(__xludf.DUMMYFUNCTION("""COMPUTED_VALUE"""),9666.07)</f>
        <v>9666.07</v>
      </c>
      <c r="L1711" s="4">
        <f>IFERROR(__xludf.DUMMYFUNCTION("""COMPUTED_VALUE"""),9.0)</f>
        <v>9</v>
      </c>
      <c r="M1711" s="4">
        <f>IFERROR(__xludf.DUMMYFUNCTION("""COMPUTED_VALUE"""),18.0)</f>
        <v>18</v>
      </c>
      <c r="N1711" s="2" t="str">
        <f>IFERROR(__xludf.DUMMYFUNCTION("""COMPUTED_VALUE"""),"VERDADERO")</f>
        <v>VERDADERO</v>
      </c>
    </row>
    <row r="1712">
      <c r="A1712" s="2">
        <f>IFERROR(__xludf.DUMMYFUNCTION("""COMPUTED_VALUE"""),1711.0)</f>
        <v>1711</v>
      </c>
      <c r="B1712" s="2" t="str">
        <f>IFERROR(__xludf.DUMMYFUNCTION("""COMPUTED_VALUE"""),"Farris Gorhardt")</f>
        <v>Farris Gorhardt</v>
      </c>
      <c r="C1712" s="2" t="str">
        <f>IFERROR(__xludf.DUMMYFUNCTION("""COMPUTED_VALUE"""),"fgorhardtjr@macromedia.com")</f>
        <v>fgorhardtjr@macromedia.com</v>
      </c>
      <c r="D1712" s="4">
        <f>IFERROR(__xludf.DUMMYFUNCTION("""COMPUTED_VALUE"""),120.0)</f>
        <v>120</v>
      </c>
      <c r="E1712" s="4">
        <f>IFERROR(__xludf.DUMMYFUNCTION("""COMPUTED_VALUE"""),81.0)</f>
        <v>81</v>
      </c>
      <c r="F1712" s="4">
        <f>IFERROR(__xludf.DUMMYFUNCTION("""COMPUTED_VALUE"""),2.0)</f>
        <v>2</v>
      </c>
      <c r="G1712" s="4">
        <f>IFERROR(__xludf.DUMMYFUNCTION("""COMPUTED_VALUE"""),853.0)</f>
        <v>853</v>
      </c>
      <c r="H1712" s="5">
        <f>IFERROR(__xludf.DUMMYFUNCTION("""COMPUTED_VALUE"""),2650.17)</f>
        <v>2650.17</v>
      </c>
      <c r="I1712" s="5">
        <f>IFERROR(__xludf.DUMMYFUNCTION("""COMPUTED_VALUE"""),6806.32)</f>
        <v>6806.32</v>
      </c>
      <c r="J1712" s="5">
        <f>IFERROR(__xludf.DUMMYFUNCTION("""COMPUTED_VALUE"""),2309.94)</f>
        <v>2309.94</v>
      </c>
      <c r="K1712" s="5">
        <f>IFERROR(__xludf.DUMMYFUNCTION("""COMPUTED_VALUE"""),8600.85)</f>
        <v>8600.85</v>
      </c>
      <c r="L1712" s="4">
        <f>IFERROR(__xludf.DUMMYFUNCTION("""COMPUTED_VALUE"""),17.0)</f>
        <v>17</v>
      </c>
      <c r="M1712" s="4">
        <f>IFERROR(__xludf.DUMMYFUNCTION("""COMPUTED_VALUE"""),79.0)</f>
        <v>79</v>
      </c>
      <c r="N1712" s="2" t="str">
        <f>IFERROR(__xludf.DUMMYFUNCTION("""COMPUTED_VALUE"""),"FALSO")</f>
        <v>FALSO</v>
      </c>
    </row>
    <row r="1713">
      <c r="A1713" s="2">
        <f>IFERROR(__xludf.DUMMYFUNCTION("""COMPUTED_VALUE"""),1712.0)</f>
        <v>1712</v>
      </c>
      <c r="B1713" s="2" t="str">
        <f>IFERROR(__xludf.DUMMYFUNCTION("""COMPUTED_VALUE"""),"Erna Eason")</f>
        <v>Erna Eason</v>
      </c>
      <c r="C1713" s="2" t="str">
        <f>IFERROR(__xludf.DUMMYFUNCTION("""COMPUTED_VALUE"""),"eeasonjs@zdnet.com")</f>
        <v>eeasonjs@zdnet.com</v>
      </c>
      <c r="D1713" s="4">
        <f>IFERROR(__xludf.DUMMYFUNCTION("""COMPUTED_VALUE"""),143.0)</f>
        <v>143</v>
      </c>
      <c r="E1713" s="4">
        <f>IFERROR(__xludf.DUMMYFUNCTION("""COMPUTED_VALUE"""),81.0)</f>
        <v>81</v>
      </c>
      <c r="F1713" s="4">
        <f>IFERROR(__xludf.DUMMYFUNCTION("""COMPUTED_VALUE"""),2.0)</f>
        <v>2</v>
      </c>
      <c r="G1713" s="4">
        <f>IFERROR(__xludf.DUMMYFUNCTION("""COMPUTED_VALUE"""),679.0)</f>
        <v>679</v>
      </c>
      <c r="H1713" s="5">
        <f>IFERROR(__xludf.DUMMYFUNCTION("""COMPUTED_VALUE"""),3898.88)</f>
        <v>3898.88</v>
      </c>
      <c r="I1713" s="5">
        <f>IFERROR(__xludf.DUMMYFUNCTION("""COMPUTED_VALUE"""),2603.23)</f>
        <v>2603.23</v>
      </c>
      <c r="J1713" s="5">
        <f>IFERROR(__xludf.DUMMYFUNCTION("""COMPUTED_VALUE"""),6380.26)</f>
        <v>6380.26</v>
      </c>
      <c r="K1713" s="5">
        <f>IFERROR(__xludf.DUMMYFUNCTION("""COMPUTED_VALUE"""),7822.8)</f>
        <v>7822.8</v>
      </c>
      <c r="L1713" s="4">
        <f>IFERROR(__xludf.DUMMYFUNCTION("""COMPUTED_VALUE"""),11.0)</f>
        <v>11</v>
      </c>
      <c r="M1713" s="4">
        <f>IFERROR(__xludf.DUMMYFUNCTION("""COMPUTED_VALUE"""),4.0)</f>
        <v>4</v>
      </c>
      <c r="N1713" s="2" t="str">
        <f>IFERROR(__xludf.DUMMYFUNCTION("""COMPUTED_VALUE"""),"VERDADERO")</f>
        <v>VERDADERO</v>
      </c>
    </row>
    <row r="1714">
      <c r="A1714" s="2">
        <f>IFERROR(__xludf.DUMMYFUNCTION("""COMPUTED_VALUE"""),1713.0)</f>
        <v>1713</v>
      </c>
      <c r="B1714" s="2" t="str">
        <f>IFERROR(__xludf.DUMMYFUNCTION("""COMPUTED_VALUE"""),"Celeste Gribbin")</f>
        <v>Celeste Gribbin</v>
      </c>
      <c r="C1714" s="2" t="str">
        <f>IFERROR(__xludf.DUMMYFUNCTION("""COMPUTED_VALUE"""),"cgribbinjt@multiply.com")</f>
        <v>cgribbinjt@multiply.com</v>
      </c>
      <c r="D1714" s="4">
        <f>IFERROR(__xludf.DUMMYFUNCTION("""COMPUTED_VALUE"""),2.0)</f>
        <v>2</v>
      </c>
      <c r="E1714" s="4">
        <f>IFERROR(__xludf.DUMMYFUNCTION("""COMPUTED_VALUE"""),57.0)</f>
        <v>57</v>
      </c>
      <c r="F1714" s="4">
        <f>IFERROR(__xludf.DUMMYFUNCTION("""COMPUTED_VALUE"""),5.0)</f>
        <v>5</v>
      </c>
      <c r="G1714" s="4">
        <f>IFERROR(__xludf.DUMMYFUNCTION("""COMPUTED_VALUE"""),1587.0)</f>
        <v>1587</v>
      </c>
      <c r="H1714" s="5">
        <f>IFERROR(__xludf.DUMMYFUNCTION("""COMPUTED_VALUE"""),5933.54)</f>
        <v>5933.54</v>
      </c>
      <c r="I1714" s="5">
        <f>IFERROR(__xludf.DUMMYFUNCTION("""COMPUTED_VALUE"""),9604.33)</f>
        <v>9604.33</v>
      </c>
      <c r="J1714" s="5">
        <f>IFERROR(__xludf.DUMMYFUNCTION("""COMPUTED_VALUE"""),6754.3)</f>
        <v>6754.3</v>
      </c>
      <c r="K1714" s="5">
        <f>IFERROR(__xludf.DUMMYFUNCTION("""COMPUTED_VALUE"""),1931.82)</f>
        <v>1931.82</v>
      </c>
      <c r="L1714" s="4">
        <f>IFERROR(__xludf.DUMMYFUNCTION("""COMPUTED_VALUE"""),2.0)</f>
        <v>2</v>
      </c>
      <c r="M1714" s="4">
        <f>IFERROR(__xludf.DUMMYFUNCTION("""COMPUTED_VALUE"""),85.0)</f>
        <v>85</v>
      </c>
      <c r="N1714" s="2" t="str">
        <f>IFERROR(__xludf.DUMMYFUNCTION("""COMPUTED_VALUE"""),"FALSO")</f>
        <v>FALSO</v>
      </c>
    </row>
    <row r="1715">
      <c r="A1715" s="2">
        <f>IFERROR(__xludf.DUMMYFUNCTION("""COMPUTED_VALUE"""),1714.0)</f>
        <v>1714</v>
      </c>
      <c r="B1715" s="2" t="str">
        <f>IFERROR(__xludf.DUMMYFUNCTION("""COMPUTED_VALUE"""),"Courtney Bront")</f>
        <v>Courtney Bront</v>
      </c>
      <c r="C1715" s="2" t="str">
        <f>IFERROR(__xludf.DUMMYFUNCTION("""COMPUTED_VALUE"""),"cbrontju@utexas.edu")</f>
        <v>cbrontju@utexas.edu</v>
      </c>
      <c r="D1715" s="4">
        <f>IFERROR(__xludf.DUMMYFUNCTION("""COMPUTED_VALUE"""),78.0)</f>
        <v>78</v>
      </c>
      <c r="E1715" s="4">
        <f>IFERROR(__xludf.DUMMYFUNCTION("""COMPUTED_VALUE"""),81.0)</f>
        <v>81</v>
      </c>
      <c r="F1715" s="4">
        <f>IFERROR(__xludf.DUMMYFUNCTION("""COMPUTED_VALUE"""),2.0)</f>
        <v>2</v>
      </c>
      <c r="G1715" s="4">
        <f>IFERROR(__xludf.DUMMYFUNCTION("""COMPUTED_VALUE"""),972.0)</f>
        <v>972</v>
      </c>
      <c r="H1715" s="5">
        <f>IFERROR(__xludf.DUMMYFUNCTION("""COMPUTED_VALUE"""),1833.22)</f>
        <v>1833.22</v>
      </c>
      <c r="I1715" s="5">
        <f>IFERROR(__xludf.DUMMYFUNCTION("""COMPUTED_VALUE"""),6673.47)</f>
        <v>6673.47</v>
      </c>
      <c r="J1715" s="5">
        <f>IFERROR(__xludf.DUMMYFUNCTION("""COMPUTED_VALUE"""),66.64)</f>
        <v>66.64</v>
      </c>
      <c r="K1715" s="5">
        <f>IFERROR(__xludf.DUMMYFUNCTION("""COMPUTED_VALUE"""),5636.45)</f>
        <v>5636.45</v>
      </c>
      <c r="L1715" s="4">
        <f>IFERROR(__xludf.DUMMYFUNCTION("""COMPUTED_VALUE"""),1.0)</f>
        <v>1</v>
      </c>
      <c r="M1715" s="4">
        <f>IFERROR(__xludf.DUMMYFUNCTION("""COMPUTED_VALUE"""),100.0)</f>
        <v>100</v>
      </c>
      <c r="N1715" s="2" t="str">
        <f>IFERROR(__xludf.DUMMYFUNCTION("""COMPUTED_VALUE"""),"VERDADERO")</f>
        <v>VERDADERO</v>
      </c>
    </row>
    <row r="1716">
      <c r="A1716" s="2">
        <f>IFERROR(__xludf.DUMMYFUNCTION("""COMPUTED_VALUE"""),1715.0)</f>
        <v>1715</v>
      </c>
      <c r="B1716" s="2" t="str">
        <f>IFERROR(__xludf.DUMMYFUNCTION("""COMPUTED_VALUE"""),"Alexandra Zimek")</f>
        <v>Alexandra Zimek</v>
      </c>
      <c r="C1716" s="2" t="str">
        <f>IFERROR(__xludf.DUMMYFUNCTION("""COMPUTED_VALUE"""),"azimekjv@yelp.com")</f>
        <v>azimekjv@yelp.com</v>
      </c>
      <c r="D1716" s="4">
        <f>IFERROR(__xludf.DUMMYFUNCTION("""COMPUTED_VALUE"""),120.0)</f>
        <v>120</v>
      </c>
      <c r="E1716" s="4">
        <f>IFERROR(__xludf.DUMMYFUNCTION("""COMPUTED_VALUE"""),124.0)</f>
        <v>124</v>
      </c>
      <c r="F1716" s="4">
        <f>IFERROR(__xludf.DUMMYFUNCTION("""COMPUTED_VALUE"""),1.0)</f>
        <v>1</v>
      </c>
      <c r="G1716" s="4">
        <f>IFERROR(__xludf.DUMMYFUNCTION("""COMPUTED_VALUE"""),364.0)</f>
        <v>364</v>
      </c>
      <c r="H1716" s="5">
        <f>IFERROR(__xludf.DUMMYFUNCTION("""COMPUTED_VALUE"""),952.43)</f>
        <v>952.43</v>
      </c>
      <c r="I1716" s="5">
        <f>IFERROR(__xludf.DUMMYFUNCTION("""COMPUTED_VALUE"""),4253.27)</f>
        <v>4253.27</v>
      </c>
      <c r="J1716" s="5">
        <f>IFERROR(__xludf.DUMMYFUNCTION("""COMPUTED_VALUE"""),5109.23)</f>
        <v>5109.23</v>
      </c>
      <c r="K1716" s="5">
        <f>IFERROR(__xludf.DUMMYFUNCTION("""COMPUTED_VALUE"""),5480.23)</f>
        <v>5480.23</v>
      </c>
      <c r="L1716" s="4">
        <f>IFERROR(__xludf.DUMMYFUNCTION("""COMPUTED_VALUE"""),2.0)</f>
        <v>2</v>
      </c>
      <c r="M1716" s="4">
        <f>IFERROR(__xludf.DUMMYFUNCTION("""COMPUTED_VALUE"""),33.0)</f>
        <v>33</v>
      </c>
      <c r="N1716" s="2" t="str">
        <f>IFERROR(__xludf.DUMMYFUNCTION("""COMPUTED_VALUE"""),"FALSO")</f>
        <v>FALSO</v>
      </c>
    </row>
    <row r="1717">
      <c r="A1717" s="2">
        <f>IFERROR(__xludf.DUMMYFUNCTION("""COMPUTED_VALUE"""),1716.0)</f>
        <v>1716</v>
      </c>
      <c r="B1717" s="2" t="str">
        <f>IFERROR(__xludf.DUMMYFUNCTION("""COMPUTED_VALUE"""),"Deborah Alejandre")</f>
        <v>Deborah Alejandre</v>
      </c>
      <c r="C1717" s="2" t="str">
        <f>IFERROR(__xludf.DUMMYFUNCTION("""COMPUTED_VALUE"""),"dalejandrejw@umn.edu")</f>
        <v>dalejandrejw@umn.edu</v>
      </c>
      <c r="D1717" s="4">
        <f>IFERROR(__xludf.DUMMYFUNCTION("""COMPUTED_VALUE"""),35.0)</f>
        <v>35</v>
      </c>
      <c r="E1717" s="4">
        <f>IFERROR(__xludf.DUMMYFUNCTION("""COMPUTED_VALUE"""),66.0)</f>
        <v>66</v>
      </c>
      <c r="F1717" s="4">
        <f>IFERROR(__xludf.DUMMYFUNCTION("""COMPUTED_VALUE"""),6.0)</f>
        <v>6</v>
      </c>
      <c r="G1717" s="4">
        <f>IFERROR(__xludf.DUMMYFUNCTION("""COMPUTED_VALUE"""),1230.0)</f>
        <v>1230</v>
      </c>
      <c r="H1717" s="5">
        <f>IFERROR(__xludf.DUMMYFUNCTION("""COMPUTED_VALUE"""),9388.91)</f>
        <v>9388.91</v>
      </c>
      <c r="I1717" s="5">
        <f>IFERROR(__xludf.DUMMYFUNCTION("""COMPUTED_VALUE"""),8801.58)</f>
        <v>8801.58</v>
      </c>
      <c r="J1717" s="5">
        <f>IFERROR(__xludf.DUMMYFUNCTION("""COMPUTED_VALUE"""),5570.57)</f>
        <v>5570.57</v>
      </c>
      <c r="K1717" s="5">
        <f>IFERROR(__xludf.DUMMYFUNCTION("""COMPUTED_VALUE"""),1662.8)</f>
        <v>1662.8</v>
      </c>
      <c r="L1717" s="4">
        <f>IFERROR(__xludf.DUMMYFUNCTION("""COMPUTED_VALUE"""),11.0)</f>
        <v>11</v>
      </c>
      <c r="M1717" s="4">
        <f>IFERROR(__xludf.DUMMYFUNCTION("""COMPUTED_VALUE"""),43.0)</f>
        <v>43</v>
      </c>
      <c r="N1717" s="2" t="str">
        <f>IFERROR(__xludf.DUMMYFUNCTION("""COMPUTED_VALUE"""),"FALSO")</f>
        <v>FALSO</v>
      </c>
    </row>
    <row r="1718">
      <c r="A1718" s="2">
        <f>IFERROR(__xludf.DUMMYFUNCTION("""COMPUTED_VALUE"""),1717.0)</f>
        <v>1717</v>
      </c>
      <c r="B1718" s="2" t="str">
        <f>IFERROR(__xludf.DUMMYFUNCTION("""COMPUTED_VALUE"""),"Arlen Bettinson")</f>
        <v>Arlen Bettinson</v>
      </c>
      <c r="C1718" s="2" t="str">
        <f>IFERROR(__xludf.DUMMYFUNCTION("""COMPUTED_VALUE"""),"abettinsonjx@arizona.edu")</f>
        <v>abettinsonjx@arizona.edu</v>
      </c>
      <c r="D1718" s="4">
        <f>IFERROR(__xludf.DUMMYFUNCTION("""COMPUTED_VALUE"""),121.0)</f>
        <v>121</v>
      </c>
      <c r="E1718" s="4">
        <f>IFERROR(__xludf.DUMMYFUNCTION("""COMPUTED_VALUE"""),28.0)</f>
        <v>28</v>
      </c>
      <c r="F1718" s="4">
        <f>IFERROR(__xludf.DUMMYFUNCTION("""COMPUTED_VALUE"""),11.0)</f>
        <v>11</v>
      </c>
      <c r="G1718" s="4">
        <f>IFERROR(__xludf.DUMMYFUNCTION("""COMPUTED_VALUE"""),1330.0)</f>
        <v>1330</v>
      </c>
      <c r="H1718" s="5">
        <f>IFERROR(__xludf.DUMMYFUNCTION("""COMPUTED_VALUE"""),4805.31)</f>
        <v>4805.31</v>
      </c>
      <c r="I1718" s="5">
        <f>IFERROR(__xludf.DUMMYFUNCTION("""COMPUTED_VALUE"""),638.69)</f>
        <v>638.69</v>
      </c>
      <c r="J1718" s="5">
        <f>IFERROR(__xludf.DUMMYFUNCTION("""COMPUTED_VALUE"""),2172.58)</f>
        <v>2172.58</v>
      </c>
      <c r="K1718" s="5">
        <f>IFERROR(__xludf.DUMMYFUNCTION("""COMPUTED_VALUE"""),833.41)</f>
        <v>833.41</v>
      </c>
      <c r="L1718" s="4">
        <f>IFERROR(__xludf.DUMMYFUNCTION("""COMPUTED_VALUE"""),14.0)</f>
        <v>14</v>
      </c>
      <c r="M1718" s="4">
        <f>IFERROR(__xludf.DUMMYFUNCTION("""COMPUTED_VALUE"""),19.0)</f>
        <v>19</v>
      </c>
      <c r="N1718" s="2" t="str">
        <f>IFERROR(__xludf.DUMMYFUNCTION("""COMPUTED_VALUE"""),"FALSO")</f>
        <v>FALSO</v>
      </c>
    </row>
    <row r="1719">
      <c r="A1719" s="2">
        <f>IFERROR(__xludf.DUMMYFUNCTION("""COMPUTED_VALUE"""),1718.0)</f>
        <v>1718</v>
      </c>
      <c r="B1719" s="2" t="str">
        <f>IFERROR(__xludf.DUMMYFUNCTION("""COMPUTED_VALUE"""),"Charyl Kisting")</f>
        <v>Charyl Kisting</v>
      </c>
      <c r="C1719" s="2" t="str">
        <f>IFERROR(__xludf.DUMMYFUNCTION("""COMPUTED_VALUE"""),"ckistingjy@gnu.org")</f>
        <v>ckistingjy@gnu.org</v>
      </c>
      <c r="D1719" s="4">
        <f>IFERROR(__xludf.DUMMYFUNCTION("""COMPUTED_VALUE"""),57.0)</f>
        <v>57</v>
      </c>
      <c r="E1719" s="4">
        <f>IFERROR(__xludf.DUMMYFUNCTION("""COMPUTED_VALUE"""),64.0)</f>
        <v>64</v>
      </c>
      <c r="F1719" s="4">
        <f>IFERROR(__xludf.DUMMYFUNCTION("""COMPUTED_VALUE"""),4.0)</f>
        <v>4</v>
      </c>
      <c r="G1719" s="4">
        <f>IFERROR(__xludf.DUMMYFUNCTION("""COMPUTED_VALUE"""),1133.0)</f>
        <v>1133</v>
      </c>
      <c r="H1719" s="5">
        <f>IFERROR(__xludf.DUMMYFUNCTION("""COMPUTED_VALUE"""),684.68)</f>
        <v>684.68</v>
      </c>
      <c r="I1719" s="5">
        <f>IFERROR(__xludf.DUMMYFUNCTION("""COMPUTED_VALUE"""),8832.23)</f>
        <v>8832.23</v>
      </c>
      <c r="J1719" s="5">
        <f>IFERROR(__xludf.DUMMYFUNCTION("""COMPUTED_VALUE"""),6634.29)</f>
        <v>6634.29</v>
      </c>
      <c r="K1719" s="5">
        <f>IFERROR(__xludf.DUMMYFUNCTION("""COMPUTED_VALUE"""),8389.82)</f>
        <v>8389.82</v>
      </c>
      <c r="L1719" s="4">
        <f>IFERROR(__xludf.DUMMYFUNCTION("""COMPUTED_VALUE"""),12.0)</f>
        <v>12</v>
      </c>
      <c r="M1719" s="4">
        <f>IFERROR(__xludf.DUMMYFUNCTION("""COMPUTED_VALUE"""),50.0)</f>
        <v>50</v>
      </c>
      <c r="N1719" s="2" t="str">
        <f>IFERROR(__xludf.DUMMYFUNCTION("""COMPUTED_VALUE"""),"FALSO")</f>
        <v>FALSO</v>
      </c>
    </row>
    <row r="1720">
      <c r="A1720" s="2">
        <f>IFERROR(__xludf.DUMMYFUNCTION("""COMPUTED_VALUE"""),1719.0)</f>
        <v>1719</v>
      </c>
      <c r="B1720" s="2" t="str">
        <f>IFERROR(__xludf.DUMMYFUNCTION("""COMPUTED_VALUE"""),"Homere Cuchey")</f>
        <v>Homere Cuchey</v>
      </c>
      <c r="C1720" s="2" t="str">
        <f>IFERROR(__xludf.DUMMYFUNCTION("""COMPUTED_VALUE"""),"hcucheyjz@nymag.com")</f>
        <v>hcucheyjz@nymag.com</v>
      </c>
      <c r="D1720" s="4">
        <f>IFERROR(__xludf.DUMMYFUNCTION("""COMPUTED_VALUE"""),137.0)</f>
        <v>137</v>
      </c>
      <c r="E1720" s="4">
        <f>IFERROR(__xludf.DUMMYFUNCTION("""COMPUTED_VALUE"""),71.0)</f>
        <v>71</v>
      </c>
      <c r="F1720" s="4">
        <f>IFERROR(__xludf.DUMMYFUNCTION("""COMPUTED_VALUE"""),6.0)</f>
        <v>6</v>
      </c>
      <c r="G1720" s="4">
        <f>IFERROR(__xludf.DUMMYFUNCTION("""COMPUTED_VALUE"""),155.0)</f>
        <v>155</v>
      </c>
      <c r="H1720" s="5">
        <f>IFERROR(__xludf.DUMMYFUNCTION("""COMPUTED_VALUE"""),6180.98)</f>
        <v>6180.98</v>
      </c>
      <c r="I1720" s="5">
        <f>IFERROR(__xludf.DUMMYFUNCTION("""COMPUTED_VALUE"""),8460.05)</f>
        <v>8460.05</v>
      </c>
      <c r="J1720" s="5">
        <f>IFERROR(__xludf.DUMMYFUNCTION("""COMPUTED_VALUE"""),4817.95)</f>
        <v>4817.95</v>
      </c>
      <c r="K1720" s="5">
        <f>IFERROR(__xludf.DUMMYFUNCTION("""COMPUTED_VALUE"""),4533.98)</f>
        <v>4533.98</v>
      </c>
      <c r="L1720" s="4">
        <f>IFERROR(__xludf.DUMMYFUNCTION("""COMPUTED_VALUE"""),6.0)</f>
        <v>6</v>
      </c>
      <c r="M1720" s="4">
        <f>IFERROR(__xludf.DUMMYFUNCTION("""COMPUTED_VALUE"""),97.0)</f>
        <v>97</v>
      </c>
      <c r="N1720" s="2" t="str">
        <f>IFERROR(__xludf.DUMMYFUNCTION("""COMPUTED_VALUE"""),"FALSO")</f>
        <v>FALSO</v>
      </c>
    </row>
    <row r="1721">
      <c r="A1721" s="2">
        <f>IFERROR(__xludf.DUMMYFUNCTION("""COMPUTED_VALUE"""),1720.0)</f>
        <v>1720</v>
      </c>
      <c r="B1721" s="2" t="str">
        <f>IFERROR(__xludf.DUMMYFUNCTION("""COMPUTED_VALUE"""),"Johnna Dummigan")</f>
        <v>Johnna Dummigan</v>
      </c>
      <c r="C1721" s="2" t="str">
        <f>IFERROR(__xludf.DUMMYFUNCTION("""COMPUTED_VALUE"""),"jdummigank0@dmoz.org")</f>
        <v>jdummigank0@dmoz.org</v>
      </c>
      <c r="D1721" s="4">
        <f>IFERROR(__xludf.DUMMYFUNCTION("""COMPUTED_VALUE"""),122.0)</f>
        <v>122</v>
      </c>
      <c r="E1721" s="4">
        <f>IFERROR(__xludf.DUMMYFUNCTION("""COMPUTED_VALUE"""),81.0)</f>
        <v>81</v>
      </c>
      <c r="F1721" s="4">
        <f>IFERROR(__xludf.DUMMYFUNCTION("""COMPUTED_VALUE"""),2.0)</f>
        <v>2</v>
      </c>
      <c r="G1721" s="4">
        <f>IFERROR(__xludf.DUMMYFUNCTION("""COMPUTED_VALUE"""),357.0)</f>
        <v>357</v>
      </c>
      <c r="H1721" s="5">
        <f>IFERROR(__xludf.DUMMYFUNCTION("""COMPUTED_VALUE"""),1997.83)</f>
        <v>1997.83</v>
      </c>
      <c r="I1721" s="5">
        <f>IFERROR(__xludf.DUMMYFUNCTION("""COMPUTED_VALUE"""),7803.76)</f>
        <v>7803.76</v>
      </c>
      <c r="J1721" s="5">
        <f>IFERROR(__xludf.DUMMYFUNCTION("""COMPUTED_VALUE"""),7726.85)</f>
        <v>7726.85</v>
      </c>
      <c r="K1721" s="5">
        <f>IFERROR(__xludf.DUMMYFUNCTION("""COMPUTED_VALUE"""),2935.58)</f>
        <v>2935.58</v>
      </c>
      <c r="L1721" s="4">
        <f>IFERROR(__xludf.DUMMYFUNCTION("""COMPUTED_VALUE"""),7.0)</f>
        <v>7</v>
      </c>
      <c r="M1721" s="4">
        <f>IFERROR(__xludf.DUMMYFUNCTION("""COMPUTED_VALUE"""),93.0)</f>
        <v>93</v>
      </c>
      <c r="N1721" s="2" t="str">
        <f>IFERROR(__xludf.DUMMYFUNCTION("""COMPUTED_VALUE"""),"FALSO")</f>
        <v>FALSO</v>
      </c>
    </row>
    <row r="1722">
      <c r="A1722" s="2">
        <f>IFERROR(__xludf.DUMMYFUNCTION("""COMPUTED_VALUE"""),1721.0)</f>
        <v>1721</v>
      </c>
      <c r="B1722" s="2" t="str">
        <f>IFERROR(__xludf.DUMMYFUNCTION("""COMPUTED_VALUE"""),"Timoteo Willman")</f>
        <v>Timoteo Willman</v>
      </c>
      <c r="C1722" s="2" t="str">
        <f>IFERROR(__xludf.DUMMYFUNCTION("""COMPUTED_VALUE"""),"twillmank1@sogou.com")</f>
        <v>twillmank1@sogou.com</v>
      </c>
      <c r="D1722" s="4">
        <f>IFERROR(__xludf.DUMMYFUNCTION("""COMPUTED_VALUE"""),157.0)</f>
        <v>157</v>
      </c>
      <c r="E1722" s="4">
        <f>IFERROR(__xludf.DUMMYFUNCTION("""COMPUTED_VALUE"""),29.0)</f>
        <v>29</v>
      </c>
      <c r="F1722" s="4">
        <f>IFERROR(__xludf.DUMMYFUNCTION("""COMPUTED_VALUE"""),11.0)</f>
        <v>11</v>
      </c>
      <c r="G1722" s="4">
        <f>IFERROR(__xludf.DUMMYFUNCTION("""COMPUTED_VALUE"""),493.0)</f>
        <v>493</v>
      </c>
      <c r="H1722" s="5">
        <f>IFERROR(__xludf.DUMMYFUNCTION("""COMPUTED_VALUE"""),5756.15)</f>
        <v>5756.15</v>
      </c>
      <c r="I1722" s="5">
        <f>IFERROR(__xludf.DUMMYFUNCTION("""COMPUTED_VALUE"""),9638.84)</f>
        <v>9638.84</v>
      </c>
      <c r="J1722" s="5">
        <f>IFERROR(__xludf.DUMMYFUNCTION("""COMPUTED_VALUE"""),515.64)</f>
        <v>515.64</v>
      </c>
      <c r="K1722" s="5">
        <f>IFERROR(__xludf.DUMMYFUNCTION("""COMPUTED_VALUE"""),7916.03)</f>
        <v>7916.03</v>
      </c>
      <c r="L1722" s="4">
        <f>IFERROR(__xludf.DUMMYFUNCTION("""COMPUTED_VALUE"""),14.0)</f>
        <v>14</v>
      </c>
      <c r="M1722" s="4">
        <f>IFERROR(__xludf.DUMMYFUNCTION("""COMPUTED_VALUE"""),13.0)</f>
        <v>13</v>
      </c>
      <c r="N1722" s="2" t="str">
        <f>IFERROR(__xludf.DUMMYFUNCTION("""COMPUTED_VALUE"""),"FALSO")</f>
        <v>FALSO</v>
      </c>
    </row>
    <row r="1723">
      <c r="A1723" s="2">
        <f>IFERROR(__xludf.DUMMYFUNCTION("""COMPUTED_VALUE"""),1722.0)</f>
        <v>1722</v>
      </c>
      <c r="B1723" s="2" t="str">
        <f>IFERROR(__xludf.DUMMYFUNCTION("""COMPUTED_VALUE"""),"Kalli Hamsher")</f>
        <v>Kalli Hamsher</v>
      </c>
      <c r="C1723" s="2" t="str">
        <f>IFERROR(__xludf.DUMMYFUNCTION("""COMPUTED_VALUE"""),"khamsherk2@mac.com")</f>
        <v>khamsherk2@mac.com</v>
      </c>
      <c r="D1723" s="4">
        <f>IFERROR(__xludf.DUMMYFUNCTION("""COMPUTED_VALUE"""),57.0)</f>
        <v>57</v>
      </c>
      <c r="E1723" s="4">
        <f>IFERROR(__xludf.DUMMYFUNCTION("""COMPUTED_VALUE"""),30.0)</f>
        <v>30</v>
      </c>
      <c r="F1723" s="4">
        <f>IFERROR(__xludf.DUMMYFUNCTION("""COMPUTED_VALUE"""),11.0)</f>
        <v>11</v>
      </c>
      <c r="G1723" s="4">
        <f>IFERROR(__xludf.DUMMYFUNCTION("""COMPUTED_VALUE"""),536.0)</f>
        <v>536</v>
      </c>
      <c r="H1723" s="5">
        <f>IFERROR(__xludf.DUMMYFUNCTION("""COMPUTED_VALUE"""),4330.77)</f>
        <v>4330.77</v>
      </c>
      <c r="I1723" s="5">
        <f>IFERROR(__xludf.DUMMYFUNCTION("""COMPUTED_VALUE"""),9826.54)</f>
        <v>9826.54</v>
      </c>
      <c r="J1723" s="5">
        <f>IFERROR(__xludf.DUMMYFUNCTION("""COMPUTED_VALUE"""),7423.78)</f>
        <v>7423.78</v>
      </c>
      <c r="K1723" s="5">
        <f>IFERROR(__xludf.DUMMYFUNCTION("""COMPUTED_VALUE"""),286.88)</f>
        <v>286.88</v>
      </c>
      <c r="L1723" s="4">
        <f>IFERROR(__xludf.DUMMYFUNCTION("""COMPUTED_VALUE"""),2.0)</f>
        <v>2</v>
      </c>
      <c r="M1723" s="4">
        <f>IFERROR(__xludf.DUMMYFUNCTION("""COMPUTED_VALUE"""),93.0)</f>
        <v>93</v>
      </c>
      <c r="N1723" s="2" t="str">
        <f>IFERROR(__xludf.DUMMYFUNCTION("""COMPUTED_VALUE"""),"FALSO")</f>
        <v>FALSO</v>
      </c>
    </row>
    <row r="1724">
      <c r="A1724" s="2">
        <f>IFERROR(__xludf.DUMMYFUNCTION("""COMPUTED_VALUE"""),1723.0)</f>
        <v>1723</v>
      </c>
      <c r="B1724" s="2" t="str">
        <f>IFERROR(__xludf.DUMMYFUNCTION("""COMPUTED_VALUE"""),"Franciskus Pancost")</f>
        <v>Franciskus Pancost</v>
      </c>
      <c r="C1724" s="2" t="str">
        <f>IFERROR(__xludf.DUMMYFUNCTION("""COMPUTED_VALUE"""),"fpancostk3@biblegateway.com")</f>
        <v>fpancostk3@biblegateway.com</v>
      </c>
      <c r="D1724" s="4">
        <f>IFERROR(__xludf.DUMMYFUNCTION("""COMPUTED_VALUE"""),111.0)</f>
        <v>111</v>
      </c>
      <c r="E1724" s="4">
        <f>IFERROR(__xludf.DUMMYFUNCTION("""COMPUTED_VALUE"""),66.0)</f>
        <v>66</v>
      </c>
      <c r="F1724" s="4">
        <f>IFERROR(__xludf.DUMMYFUNCTION("""COMPUTED_VALUE"""),6.0)</f>
        <v>6</v>
      </c>
      <c r="G1724" s="4">
        <f>IFERROR(__xludf.DUMMYFUNCTION("""COMPUTED_VALUE"""),24.0)</f>
        <v>24</v>
      </c>
      <c r="H1724" s="5">
        <f>IFERROR(__xludf.DUMMYFUNCTION("""COMPUTED_VALUE"""),9615.42)</f>
        <v>9615.42</v>
      </c>
      <c r="I1724" s="5">
        <f>IFERROR(__xludf.DUMMYFUNCTION("""COMPUTED_VALUE"""),7601.1)</f>
        <v>7601.1</v>
      </c>
      <c r="J1724" s="5">
        <f>IFERROR(__xludf.DUMMYFUNCTION("""COMPUTED_VALUE"""),5976.5)</f>
        <v>5976.5</v>
      </c>
      <c r="K1724" s="5">
        <f>IFERROR(__xludf.DUMMYFUNCTION("""COMPUTED_VALUE"""),5239.89)</f>
        <v>5239.89</v>
      </c>
      <c r="L1724" s="4">
        <f>IFERROR(__xludf.DUMMYFUNCTION("""COMPUTED_VALUE"""),5.0)</f>
        <v>5</v>
      </c>
      <c r="M1724" s="4">
        <f>IFERROR(__xludf.DUMMYFUNCTION("""COMPUTED_VALUE"""),74.0)</f>
        <v>74</v>
      </c>
      <c r="N1724" s="2" t="str">
        <f>IFERROR(__xludf.DUMMYFUNCTION("""COMPUTED_VALUE"""),"FALSO")</f>
        <v>FALSO</v>
      </c>
    </row>
    <row r="1725">
      <c r="A1725" s="2">
        <f>IFERROR(__xludf.DUMMYFUNCTION("""COMPUTED_VALUE"""),1724.0)</f>
        <v>1724</v>
      </c>
      <c r="B1725" s="2" t="str">
        <f>IFERROR(__xludf.DUMMYFUNCTION("""COMPUTED_VALUE"""),"Wylie Strutt")</f>
        <v>Wylie Strutt</v>
      </c>
      <c r="C1725" s="2" t="str">
        <f>IFERROR(__xludf.DUMMYFUNCTION("""COMPUTED_VALUE"""),"wstruttk4@oaic.gov.au")</f>
        <v>wstruttk4@oaic.gov.au</v>
      </c>
      <c r="D1725" s="4">
        <f>IFERROR(__xludf.DUMMYFUNCTION("""COMPUTED_VALUE"""),50.0)</f>
        <v>50</v>
      </c>
      <c r="E1725" s="4">
        <f>IFERROR(__xludf.DUMMYFUNCTION("""COMPUTED_VALUE"""),6.0)</f>
        <v>6</v>
      </c>
      <c r="F1725" s="4">
        <f>IFERROR(__xludf.DUMMYFUNCTION("""COMPUTED_VALUE"""),13.0)</f>
        <v>13</v>
      </c>
      <c r="G1725" s="4">
        <f>IFERROR(__xludf.DUMMYFUNCTION("""COMPUTED_VALUE"""),640.0)</f>
        <v>640</v>
      </c>
      <c r="H1725" s="5">
        <f>IFERROR(__xludf.DUMMYFUNCTION("""COMPUTED_VALUE"""),7204.46)</f>
        <v>7204.46</v>
      </c>
      <c r="I1725" s="5">
        <f>IFERROR(__xludf.DUMMYFUNCTION("""COMPUTED_VALUE"""),6241.78)</f>
        <v>6241.78</v>
      </c>
      <c r="J1725" s="5">
        <f>IFERROR(__xludf.DUMMYFUNCTION("""COMPUTED_VALUE"""),6622.88)</f>
        <v>6622.88</v>
      </c>
      <c r="K1725" s="5">
        <f>IFERROR(__xludf.DUMMYFUNCTION("""COMPUTED_VALUE"""),6762.33)</f>
        <v>6762.33</v>
      </c>
      <c r="L1725" s="4">
        <f>IFERROR(__xludf.DUMMYFUNCTION("""COMPUTED_VALUE"""),20.0)</f>
        <v>20</v>
      </c>
      <c r="M1725" s="4">
        <f>IFERROR(__xludf.DUMMYFUNCTION("""COMPUTED_VALUE"""),23.0)</f>
        <v>23</v>
      </c>
      <c r="N1725" s="2" t="str">
        <f>IFERROR(__xludf.DUMMYFUNCTION("""COMPUTED_VALUE"""),"FALSO")</f>
        <v>FALSO</v>
      </c>
    </row>
    <row r="1726">
      <c r="A1726" s="2">
        <f>IFERROR(__xludf.DUMMYFUNCTION("""COMPUTED_VALUE"""),1725.0)</f>
        <v>1725</v>
      </c>
      <c r="B1726" s="2" t="str">
        <f>IFERROR(__xludf.DUMMYFUNCTION("""COMPUTED_VALUE"""),"Arabela St Leger")</f>
        <v>Arabela St Leger</v>
      </c>
      <c r="C1726" s="2" t="str">
        <f>IFERROR(__xludf.DUMMYFUNCTION("""COMPUTED_VALUE"""),"astk5@mit.edu")</f>
        <v>astk5@mit.edu</v>
      </c>
      <c r="D1726" s="4">
        <f>IFERROR(__xludf.DUMMYFUNCTION("""COMPUTED_VALUE"""),137.0)</f>
        <v>137</v>
      </c>
      <c r="E1726" s="4">
        <f>IFERROR(__xludf.DUMMYFUNCTION("""COMPUTED_VALUE"""),12.0)</f>
        <v>12</v>
      </c>
      <c r="F1726" s="4">
        <f>IFERROR(__xludf.DUMMYFUNCTION("""COMPUTED_VALUE"""),6.0)</f>
        <v>6</v>
      </c>
      <c r="G1726" s="4">
        <f>IFERROR(__xludf.DUMMYFUNCTION("""COMPUTED_VALUE"""),1527.0)</f>
        <v>1527</v>
      </c>
      <c r="H1726" s="5">
        <f>IFERROR(__xludf.DUMMYFUNCTION("""COMPUTED_VALUE"""),6866.0)</f>
        <v>6866</v>
      </c>
      <c r="I1726" s="5">
        <f>IFERROR(__xludf.DUMMYFUNCTION("""COMPUTED_VALUE"""),6322.93)</f>
        <v>6322.93</v>
      </c>
      <c r="J1726" s="5">
        <f>IFERROR(__xludf.DUMMYFUNCTION("""COMPUTED_VALUE"""),1182.26)</f>
        <v>1182.26</v>
      </c>
      <c r="K1726" s="5">
        <f>IFERROR(__xludf.DUMMYFUNCTION("""COMPUTED_VALUE"""),5850.08)</f>
        <v>5850.08</v>
      </c>
      <c r="L1726" s="4">
        <f>IFERROR(__xludf.DUMMYFUNCTION("""COMPUTED_VALUE"""),15.0)</f>
        <v>15</v>
      </c>
      <c r="M1726" s="4">
        <f>IFERROR(__xludf.DUMMYFUNCTION("""COMPUTED_VALUE"""),86.0)</f>
        <v>86</v>
      </c>
      <c r="N1726" s="2" t="str">
        <f>IFERROR(__xludf.DUMMYFUNCTION("""COMPUTED_VALUE"""),"VERDADERO")</f>
        <v>VERDADERO</v>
      </c>
    </row>
    <row r="1727">
      <c r="A1727" s="2">
        <f>IFERROR(__xludf.DUMMYFUNCTION("""COMPUTED_VALUE"""),1726.0)</f>
        <v>1726</v>
      </c>
      <c r="B1727" s="2" t="str">
        <f>IFERROR(__xludf.DUMMYFUNCTION("""COMPUTED_VALUE"""),"Des Gwillym")</f>
        <v>Des Gwillym</v>
      </c>
      <c r="C1727" s="2" t="str">
        <f>IFERROR(__xludf.DUMMYFUNCTION("""COMPUTED_VALUE"""),"dgwillymk6@liveinternet.ru")</f>
        <v>dgwillymk6@liveinternet.ru</v>
      </c>
      <c r="D1727" s="4">
        <f>IFERROR(__xludf.DUMMYFUNCTION("""COMPUTED_VALUE"""),65.0)</f>
        <v>65</v>
      </c>
      <c r="E1727" s="4">
        <f>IFERROR(__xludf.DUMMYFUNCTION("""COMPUTED_VALUE"""),86.0)</f>
        <v>86</v>
      </c>
      <c r="F1727" s="4">
        <f>IFERROR(__xludf.DUMMYFUNCTION("""COMPUTED_VALUE"""),3.0)</f>
        <v>3</v>
      </c>
      <c r="G1727" s="4">
        <f>IFERROR(__xludf.DUMMYFUNCTION("""COMPUTED_VALUE"""),648.0)</f>
        <v>648</v>
      </c>
      <c r="H1727" s="5">
        <f>IFERROR(__xludf.DUMMYFUNCTION("""COMPUTED_VALUE"""),3332.58)</f>
        <v>3332.58</v>
      </c>
      <c r="I1727" s="5">
        <f>IFERROR(__xludf.DUMMYFUNCTION("""COMPUTED_VALUE"""),4401.4)</f>
        <v>4401.4</v>
      </c>
      <c r="J1727" s="5">
        <f>IFERROR(__xludf.DUMMYFUNCTION("""COMPUTED_VALUE"""),9509.53)</f>
        <v>9509.53</v>
      </c>
      <c r="K1727" s="5">
        <f>IFERROR(__xludf.DUMMYFUNCTION("""COMPUTED_VALUE"""),9786.15)</f>
        <v>9786.15</v>
      </c>
      <c r="L1727" s="4">
        <f>IFERROR(__xludf.DUMMYFUNCTION("""COMPUTED_VALUE"""),9.0)</f>
        <v>9</v>
      </c>
      <c r="M1727" s="4">
        <f>IFERROR(__xludf.DUMMYFUNCTION("""COMPUTED_VALUE"""),34.0)</f>
        <v>34</v>
      </c>
      <c r="N1727" s="2" t="str">
        <f>IFERROR(__xludf.DUMMYFUNCTION("""COMPUTED_VALUE"""),"FALSO")</f>
        <v>FALSO</v>
      </c>
    </row>
    <row r="1728">
      <c r="A1728" s="2">
        <f>IFERROR(__xludf.DUMMYFUNCTION("""COMPUTED_VALUE"""),1727.0)</f>
        <v>1727</v>
      </c>
      <c r="B1728" s="2" t="str">
        <f>IFERROR(__xludf.DUMMYFUNCTION("""COMPUTED_VALUE"""),"Stephen Priddle")</f>
        <v>Stephen Priddle</v>
      </c>
      <c r="C1728" s="2" t="str">
        <f>IFERROR(__xludf.DUMMYFUNCTION("""COMPUTED_VALUE"""),"spriddlek7@usda.gov")</f>
        <v>spriddlek7@usda.gov</v>
      </c>
      <c r="D1728" s="4">
        <f>IFERROR(__xludf.DUMMYFUNCTION("""COMPUTED_VALUE"""),11.0)</f>
        <v>11</v>
      </c>
      <c r="E1728" s="4">
        <f>IFERROR(__xludf.DUMMYFUNCTION("""COMPUTED_VALUE"""),66.0)</f>
        <v>66</v>
      </c>
      <c r="F1728" s="4">
        <f>IFERROR(__xludf.DUMMYFUNCTION("""COMPUTED_VALUE"""),6.0)</f>
        <v>6</v>
      </c>
      <c r="G1728" s="4">
        <f>IFERROR(__xludf.DUMMYFUNCTION("""COMPUTED_VALUE"""),183.0)</f>
        <v>183</v>
      </c>
      <c r="H1728" s="5">
        <f>IFERROR(__xludf.DUMMYFUNCTION("""COMPUTED_VALUE"""),1599.56)</f>
        <v>1599.56</v>
      </c>
      <c r="I1728" s="5">
        <f>IFERROR(__xludf.DUMMYFUNCTION("""COMPUTED_VALUE"""),7677.74)</f>
        <v>7677.74</v>
      </c>
      <c r="J1728" s="5">
        <f>IFERROR(__xludf.DUMMYFUNCTION("""COMPUTED_VALUE"""),2838.22)</f>
        <v>2838.22</v>
      </c>
      <c r="K1728" s="5">
        <f>IFERROR(__xludf.DUMMYFUNCTION("""COMPUTED_VALUE"""),8741.33)</f>
        <v>8741.33</v>
      </c>
      <c r="L1728" s="4">
        <f>IFERROR(__xludf.DUMMYFUNCTION("""COMPUTED_VALUE"""),10.0)</f>
        <v>10</v>
      </c>
      <c r="M1728" s="4">
        <f>IFERROR(__xludf.DUMMYFUNCTION("""COMPUTED_VALUE"""),55.0)</f>
        <v>55</v>
      </c>
      <c r="N1728" s="2" t="str">
        <f>IFERROR(__xludf.DUMMYFUNCTION("""COMPUTED_VALUE"""),"FALSO")</f>
        <v>FALSO</v>
      </c>
    </row>
    <row r="1729">
      <c r="A1729" s="2">
        <f>IFERROR(__xludf.DUMMYFUNCTION("""COMPUTED_VALUE"""),1728.0)</f>
        <v>1728</v>
      </c>
      <c r="B1729" s="2" t="str">
        <f>IFERROR(__xludf.DUMMYFUNCTION("""COMPUTED_VALUE"""),"Paule Baldery")</f>
        <v>Paule Baldery</v>
      </c>
      <c r="C1729" s="2" t="str">
        <f>IFERROR(__xludf.DUMMYFUNCTION("""COMPUTED_VALUE"""),"pbalderyk8@de.vu")</f>
        <v>pbalderyk8@de.vu</v>
      </c>
      <c r="D1729" s="4">
        <f>IFERROR(__xludf.DUMMYFUNCTION("""COMPUTED_VALUE"""),122.0)</f>
        <v>122</v>
      </c>
      <c r="E1729" s="4">
        <f>IFERROR(__xludf.DUMMYFUNCTION("""COMPUTED_VALUE"""),81.0)</f>
        <v>81</v>
      </c>
      <c r="F1729" s="4">
        <f>IFERROR(__xludf.DUMMYFUNCTION("""COMPUTED_VALUE"""),2.0)</f>
        <v>2</v>
      </c>
      <c r="G1729" s="4">
        <f>IFERROR(__xludf.DUMMYFUNCTION("""COMPUTED_VALUE"""),177.0)</f>
        <v>177</v>
      </c>
      <c r="H1729" s="5">
        <f>IFERROR(__xludf.DUMMYFUNCTION("""COMPUTED_VALUE"""),3028.52)</f>
        <v>3028.52</v>
      </c>
      <c r="I1729" s="5">
        <f>IFERROR(__xludf.DUMMYFUNCTION("""COMPUTED_VALUE"""),6094.17)</f>
        <v>6094.17</v>
      </c>
      <c r="J1729" s="5">
        <f>IFERROR(__xludf.DUMMYFUNCTION("""COMPUTED_VALUE"""),9840.36)</f>
        <v>9840.36</v>
      </c>
      <c r="K1729" s="5">
        <f>IFERROR(__xludf.DUMMYFUNCTION("""COMPUTED_VALUE"""),1346.11)</f>
        <v>1346.11</v>
      </c>
      <c r="L1729" s="4">
        <f>IFERROR(__xludf.DUMMYFUNCTION("""COMPUTED_VALUE"""),2.0)</f>
        <v>2</v>
      </c>
      <c r="M1729" s="4">
        <f>IFERROR(__xludf.DUMMYFUNCTION("""COMPUTED_VALUE"""),84.0)</f>
        <v>84</v>
      </c>
      <c r="N1729" s="2" t="str">
        <f>IFERROR(__xludf.DUMMYFUNCTION("""COMPUTED_VALUE"""),"VERDADERO")</f>
        <v>VERDADERO</v>
      </c>
    </row>
    <row r="1730">
      <c r="A1730" s="2">
        <f>IFERROR(__xludf.DUMMYFUNCTION("""COMPUTED_VALUE"""),1729.0)</f>
        <v>1729</v>
      </c>
      <c r="B1730" s="2" t="str">
        <f>IFERROR(__xludf.DUMMYFUNCTION("""COMPUTED_VALUE"""),"Elnora Cocher")</f>
        <v>Elnora Cocher</v>
      </c>
      <c r="C1730" s="2" t="str">
        <f>IFERROR(__xludf.DUMMYFUNCTION("""COMPUTED_VALUE"""),"ecocherk9@youku.com")</f>
        <v>ecocherk9@youku.com</v>
      </c>
      <c r="D1730" s="4">
        <f>IFERROR(__xludf.DUMMYFUNCTION("""COMPUTED_VALUE"""),122.0)</f>
        <v>122</v>
      </c>
      <c r="E1730" s="4">
        <f>IFERROR(__xludf.DUMMYFUNCTION("""COMPUTED_VALUE"""),67.0)</f>
        <v>67</v>
      </c>
      <c r="F1730" s="4">
        <f>IFERROR(__xludf.DUMMYFUNCTION("""COMPUTED_VALUE"""),5.0)</f>
        <v>5</v>
      </c>
      <c r="G1730" s="4">
        <f>IFERROR(__xludf.DUMMYFUNCTION("""COMPUTED_VALUE"""),280.0)</f>
        <v>280</v>
      </c>
      <c r="H1730" s="5">
        <f>IFERROR(__xludf.DUMMYFUNCTION("""COMPUTED_VALUE"""),9185.47)</f>
        <v>9185.47</v>
      </c>
      <c r="I1730" s="5">
        <f>IFERROR(__xludf.DUMMYFUNCTION("""COMPUTED_VALUE"""),411.15)</f>
        <v>411.15</v>
      </c>
      <c r="J1730" s="5">
        <f>IFERROR(__xludf.DUMMYFUNCTION("""COMPUTED_VALUE"""),3757.72)</f>
        <v>3757.72</v>
      </c>
      <c r="K1730" s="5">
        <f>IFERROR(__xludf.DUMMYFUNCTION("""COMPUTED_VALUE"""),6668.13)</f>
        <v>6668.13</v>
      </c>
      <c r="L1730" s="4">
        <f>IFERROR(__xludf.DUMMYFUNCTION("""COMPUTED_VALUE"""),7.0)</f>
        <v>7</v>
      </c>
      <c r="M1730" s="4">
        <f>IFERROR(__xludf.DUMMYFUNCTION("""COMPUTED_VALUE"""),30.0)</f>
        <v>30</v>
      </c>
      <c r="N1730" s="2" t="str">
        <f>IFERROR(__xludf.DUMMYFUNCTION("""COMPUTED_VALUE"""),"VERDADERO")</f>
        <v>VERDADERO</v>
      </c>
    </row>
    <row r="1731">
      <c r="A1731" s="2">
        <f>IFERROR(__xludf.DUMMYFUNCTION("""COMPUTED_VALUE"""),1730.0)</f>
        <v>1730</v>
      </c>
      <c r="B1731" s="2" t="str">
        <f>IFERROR(__xludf.DUMMYFUNCTION("""COMPUTED_VALUE"""),"Jeramey McGorman")</f>
        <v>Jeramey McGorman</v>
      </c>
      <c r="C1731" s="2" t="str">
        <f>IFERROR(__xludf.DUMMYFUNCTION("""COMPUTED_VALUE"""),"jmcgormanka@skyrock.com")</f>
        <v>jmcgormanka@skyrock.com</v>
      </c>
      <c r="D1731" s="4">
        <f>IFERROR(__xludf.DUMMYFUNCTION("""COMPUTED_VALUE"""),29.0)</f>
        <v>29</v>
      </c>
      <c r="E1731" s="4">
        <f>IFERROR(__xludf.DUMMYFUNCTION("""COMPUTED_VALUE"""),81.0)</f>
        <v>81</v>
      </c>
      <c r="F1731" s="4">
        <f>IFERROR(__xludf.DUMMYFUNCTION("""COMPUTED_VALUE"""),2.0)</f>
        <v>2</v>
      </c>
      <c r="G1731" s="4">
        <f>IFERROR(__xludf.DUMMYFUNCTION("""COMPUTED_VALUE"""),1149.0)</f>
        <v>1149</v>
      </c>
      <c r="H1731" s="5">
        <f>IFERROR(__xludf.DUMMYFUNCTION("""COMPUTED_VALUE"""),5010.57)</f>
        <v>5010.57</v>
      </c>
      <c r="I1731" s="5">
        <f>IFERROR(__xludf.DUMMYFUNCTION("""COMPUTED_VALUE"""),7920.15)</f>
        <v>7920.15</v>
      </c>
      <c r="J1731" s="5">
        <f>IFERROR(__xludf.DUMMYFUNCTION("""COMPUTED_VALUE"""),6451.69)</f>
        <v>6451.69</v>
      </c>
      <c r="K1731" s="5">
        <f>IFERROR(__xludf.DUMMYFUNCTION("""COMPUTED_VALUE"""),8715.05)</f>
        <v>8715.05</v>
      </c>
      <c r="L1731" s="4">
        <f>IFERROR(__xludf.DUMMYFUNCTION("""COMPUTED_VALUE"""),12.0)</f>
        <v>12</v>
      </c>
      <c r="M1731" s="4">
        <f>IFERROR(__xludf.DUMMYFUNCTION("""COMPUTED_VALUE"""),28.0)</f>
        <v>28</v>
      </c>
      <c r="N1731" s="2" t="str">
        <f>IFERROR(__xludf.DUMMYFUNCTION("""COMPUTED_VALUE"""),"FALSO")</f>
        <v>FALSO</v>
      </c>
    </row>
    <row r="1732">
      <c r="A1732" s="2">
        <f>IFERROR(__xludf.DUMMYFUNCTION("""COMPUTED_VALUE"""),1731.0)</f>
        <v>1731</v>
      </c>
      <c r="B1732" s="2" t="str">
        <f>IFERROR(__xludf.DUMMYFUNCTION("""COMPUTED_VALUE"""),"Shanna Pikesley")</f>
        <v>Shanna Pikesley</v>
      </c>
      <c r="C1732" s="2" t="str">
        <f>IFERROR(__xludf.DUMMYFUNCTION("""COMPUTED_VALUE"""),"spikesleykb@ycombinator.com")</f>
        <v>spikesleykb@ycombinator.com</v>
      </c>
      <c r="D1732" s="4">
        <f>IFERROR(__xludf.DUMMYFUNCTION("""COMPUTED_VALUE"""),5.0)</f>
        <v>5</v>
      </c>
      <c r="E1732" s="4">
        <f>IFERROR(__xludf.DUMMYFUNCTION("""COMPUTED_VALUE"""),72.0)</f>
        <v>72</v>
      </c>
      <c r="F1732" s="4">
        <f>IFERROR(__xludf.DUMMYFUNCTION("""COMPUTED_VALUE"""),6.0)</f>
        <v>6</v>
      </c>
      <c r="G1732" s="4">
        <f>IFERROR(__xludf.DUMMYFUNCTION("""COMPUTED_VALUE"""),1108.0)</f>
        <v>1108</v>
      </c>
      <c r="H1732" s="5">
        <f>IFERROR(__xludf.DUMMYFUNCTION("""COMPUTED_VALUE"""),9559.69)</f>
        <v>9559.69</v>
      </c>
      <c r="I1732" s="5">
        <f>IFERROR(__xludf.DUMMYFUNCTION("""COMPUTED_VALUE"""),1779.73)</f>
        <v>1779.73</v>
      </c>
      <c r="J1732" s="5">
        <f>IFERROR(__xludf.DUMMYFUNCTION("""COMPUTED_VALUE"""),2388.39)</f>
        <v>2388.39</v>
      </c>
      <c r="K1732" s="5">
        <f>IFERROR(__xludf.DUMMYFUNCTION("""COMPUTED_VALUE"""),4373.79)</f>
        <v>4373.79</v>
      </c>
      <c r="L1732" s="4">
        <f>IFERROR(__xludf.DUMMYFUNCTION("""COMPUTED_VALUE"""),8.0)</f>
        <v>8</v>
      </c>
      <c r="M1732" s="4">
        <f>IFERROR(__xludf.DUMMYFUNCTION("""COMPUTED_VALUE"""),2.0)</f>
        <v>2</v>
      </c>
      <c r="N1732" s="2" t="str">
        <f>IFERROR(__xludf.DUMMYFUNCTION("""COMPUTED_VALUE"""),"VERDADERO")</f>
        <v>VERDADERO</v>
      </c>
    </row>
    <row r="1733">
      <c r="A1733" s="2">
        <f>IFERROR(__xludf.DUMMYFUNCTION("""COMPUTED_VALUE"""),1732.0)</f>
        <v>1732</v>
      </c>
      <c r="B1733" s="2" t="str">
        <f>IFERROR(__xludf.DUMMYFUNCTION("""COMPUTED_VALUE"""),"Waldemar Hammarberg")</f>
        <v>Waldemar Hammarberg</v>
      </c>
      <c r="C1733" s="2" t="str">
        <f>IFERROR(__xludf.DUMMYFUNCTION("""COMPUTED_VALUE"""),"whammarbergkc@t.co")</f>
        <v>whammarbergkc@t.co</v>
      </c>
      <c r="D1733" s="4">
        <f>IFERROR(__xludf.DUMMYFUNCTION("""COMPUTED_VALUE"""),108.0)</f>
        <v>108</v>
      </c>
      <c r="E1733" s="4">
        <f>IFERROR(__xludf.DUMMYFUNCTION("""COMPUTED_VALUE"""),74.0)</f>
        <v>74</v>
      </c>
      <c r="F1733" s="4">
        <f>IFERROR(__xludf.DUMMYFUNCTION("""COMPUTED_VALUE"""),5.0)</f>
        <v>5</v>
      </c>
      <c r="G1733" s="4">
        <f>IFERROR(__xludf.DUMMYFUNCTION("""COMPUTED_VALUE"""),492.0)</f>
        <v>492</v>
      </c>
      <c r="H1733" s="5">
        <f>IFERROR(__xludf.DUMMYFUNCTION("""COMPUTED_VALUE"""),4055.94)</f>
        <v>4055.94</v>
      </c>
      <c r="I1733" s="5">
        <f>IFERROR(__xludf.DUMMYFUNCTION("""COMPUTED_VALUE"""),7290.33)</f>
        <v>7290.33</v>
      </c>
      <c r="J1733" s="5">
        <f>IFERROR(__xludf.DUMMYFUNCTION("""COMPUTED_VALUE"""),6946.51)</f>
        <v>6946.51</v>
      </c>
      <c r="K1733" s="5">
        <f>IFERROR(__xludf.DUMMYFUNCTION("""COMPUTED_VALUE"""),1329.83)</f>
        <v>1329.83</v>
      </c>
      <c r="L1733" s="4">
        <f>IFERROR(__xludf.DUMMYFUNCTION("""COMPUTED_VALUE"""),18.0)</f>
        <v>18</v>
      </c>
      <c r="M1733" s="4">
        <f>IFERROR(__xludf.DUMMYFUNCTION("""COMPUTED_VALUE"""),55.0)</f>
        <v>55</v>
      </c>
      <c r="N1733" s="2" t="str">
        <f>IFERROR(__xludf.DUMMYFUNCTION("""COMPUTED_VALUE"""),"FALSO")</f>
        <v>FALSO</v>
      </c>
    </row>
    <row r="1734">
      <c r="A1734" s="2">
        <f>IFERROR(__xludf.DUMMYFUNCTION("""COMPUTED_VALUE"""),1733.0)</f>
        <v>1733</v>
      </c>
      <c r="B1734" s="2" t="str">
        <f>IFERROR(__xludf.DUMMYFUNCTION("""COMPUTED_VALUE"""),"Tabbie Sexon")</f>
        <v>Tabbie Sexon</v>
      </c>
      <c r="C1734" s="2" t="str">
        <f>IFERROR(__xludf.DUMMYFUNCTION("""COMPUTED_VALUE"""),"tsexonkd@businessweek.com")</f>
        <v>tsexonkd@businessweek.com</v>
      </c>
      <c r="D1734" s="4">
        <f>IFERROR(__xludf.DUMMYFUNCTION("""COMPUTED_VALUE"""),122.0)</f>
        <v>122</v>
      </c>
      <c r="E1734" s="4">
        <f>IFERROR(__xludf.DUMMYFUNCTION("""COMPUTED_VALUE"""),81.0)</f>
        <v>81</v>
      </c>
      <c r="F1734" s="4">
        <f>IFERROR(__xludf.DUMMYFUNCTION("""COMPUTED_VALUE"""),2.0)</f>
        <v>2</v>
      </c>
      <c r="G1734" s="4">
        <f>IFERROR(__xludf.DUMMYFUNCTION("""COMPUTED_VALUE"""),1170.0)</f>
        <v>1170</v>
      </c>
      <c r="H1734" s="5">
        <f>IFERROR(__xludf.DUMMYFUNCTION("""COMPUTED_VALUE"""),2840.78)</f>
        <v>2840.78</v>
      </c>
      <c r="I1734" s="5">
        <f>IFERROR(__xludf.DUMMYFUNCTION("""COMPUTED_VALUE"""),1696.86)</f>
        <v>1696.86</v>
      </c>
      <c r="J1734" s="5">
        <f>IFERROR(__xludf.DUMMYFUNCTION("""COMPUTED_VALUE"""),821.04)</f>
        <v>821.04</v>
      </c>
      <c r="K1734" s="5">
        <f>IFERROR(__xludf.DUMMYFUNCTION("""COMPUTED_VALUE"""),748.87)</f>
        <v>748.87</v>
      </c>
      <c r="L1734" s="4">
        <f>IFERROR(__xludf.DUMMYFUNCTION("""COMPUTED_VALUE"""),13.0)</f>
        <v>13</v>
      </c>
      <c r="M1734" s="4">
        <f>IFERROR(__xludf.DUMMYFUNCTION("""COMPUTED_VALUE"""),98.0)</f>
        <v>98</v>
      </c>
      <c r="N1734" s="2" t="str">
        <f>IFERROR(__xludf.DUMMYFUNCTION("""COMPUTED_VALUE"""),"VERDADERO")</f>
        <v>VERDADERO</v>
      </c>
    </row>
    <row r="1735">
      <c r="A1735" s="2">
        <f>IFERROR(__xludf.DUMMYFUNCTION("""COMPUTED_VALUE"""),1734.0)</f>
        <v>1734</v>
      </c>
      <c r="B1735" s="2" t="str">
        <f>IFERROR(__xludf.DUMMYFUNCTION("""COMPUTED_VALUE"""),"Yorke Bridgman")</f>
        <v>Yorke Bridgman</v>
      </c>
      <c r="C1735" s="2" t="str">
        <f>IFERROR(__xludf.DUMMYFUNCTION("""COMPUTED_VALUE"""),"ybridgmanke@who.int")</f>
        <v>ybridgmanke@who.int</v>
      </c>
      <c r="D1735" s="4">
        <f>IFERROR(__xludf.DUMMYFUNCTION("""COMPUTED_VALUE"""),24.0)</f>
        <v>24</v>
      </c>
      <c r="E1735" s="4">
        <f>IFERROR(__xludf.DUMMYFUNCTION("""COMPUTED_VALUE"""),102.0)</f>
        <v>102</v>
      </c>
      <c r="F1735" s="4">
        <f>IFERROR(__xludf.DUMMYFUNCTION("""COMPUTED_VALUE"""),4.0)</f>
        <v>4</v>
      </c>
      <c r="G1735" s="4">
        <f>IFERROR(__xludf.DUMMYFUNCTION("""COMPUTED_VALUE"""),68.0)</f>
        <v>68</v>
      </c>
      <c r="H1735" s="5">
        <f>IFERROR(__xludf.DUMMYFUNCTION("""COMPUTED_VALUE"""),2025.84)</f>
        <v>2025.84</v>
      </c>
      <c r="I1735" s="5">
        <f>IFERROR(__xludf.DUMMYFUNCTION("""COMPUTED_VALUE"""),141.74)</f>
        <v>141.74</v>
      </c>
      <c r="J1735" s="5">
        <f>IFERROR(__xludf.DUMMYFUNCTION("""COMPUTED_VALUE"""),3773.73)</f>
        <v>3773.73</v>
      </c>
      <c r="K1735" s="5">
        <f>IFERROR(__xludf.DUMMYFUNCTION("""COMPUTED_VALUE"""),4071.3)</f>
        <v>4071.3</v>
      </c>
      <c r="L1735" s="4">
        <f>IFERROR(__xludf.DUMMYFUNCTION("""COMPUTED_VALUE"""),6.0)</f>
        <v>6</v>
      </c>
      <c r="M1735" s="4">
        <f>IFERROR(__xludf.DUMMYFUNCTION("""COMPUTED_VALUE"""),29.0)</f>
        <v>29</v>
      </c>
      <c r="N1735" s="2" t="str">
        <f>IFERROR(__xludf.DUMMYFUNCTION("""COMPUTED_VALUE"""),"VERDADERO")</f>
        <v>VERDADERO</v>
      </c>
    </row>
    <row r="1736">
      <c r="A1736" s="2">
        <f>IFERROR(__xludf.DUMMYFUNCTION("""COMPUTED_VALUE"""),1735.0)</f>
        <v>1735</v>
      </c>
      <c r="B1736" s="2" t="str">
        <f>IFERROR(__xludf.DUMMYFUNCTION("""COMPUTED_VALUE"""),"Kylen Ablett")</f>
        <v>Kylen Ablett</v>
      </c>
      <c r="C1736" s="2" t="str">
        <f>IFERROR(__xludf.DUMMYFUNCTION("""COMPUTED_VALUE"""),"kablettkf@symantec.com")</f>
        <v>kablettkf@symantec.com</v>
      </c>
      <c r="D1736" s="4">
        <f>IFERROR(__xludf.DUMMYFUNCTION("""COMPUTED_VALUE"""),11.0)</f>
        <v>11</v>
      </c>
      <c r="E1736" s="4">
        <f>IFERROR(__xludf.DUMMYFUNCTION("""COMPUTED_VALUE"""),119.0)</f>
        <v>119</v>
      </c>
      <c r="F1736" s="4">
        <f>IFERROR(__xludf.DUMMYFUNCTION("""COMPUTED_VALUE"""),5.0)</f>
        <v>5</v>
      </c>
      <c r="G1736" s="4">
        <f>IFERROR(__xludf.DUMMYFUNCTION("""COMPUTED_VALUE"""),1229.0)</f>
        <v>1229</v>
      </c>
      <c r="H1736" s="5">
        <f>IFERROR(__xludf.DUMMYFUNCTION("""COMPUTED_VALUE"""),4970.35)</f>
        <v>4970.35</v>
      </c>
      <c r="I1736" s="5">
        <f>IFERROR(__xludf.DUMMYFUNCTION("""COMPUTED_VALUE"""),1159.28)</f>
        <v>1159.28</v>
      </c>
      <c r="J1736" s="5">
        <f>IFERROR(__xludf.DUMMYFUNCTION("""COMPUTED_VALUE"""),827.91)</f>
        <v>827.91</v>
      </c>
      <c r="K1736" s="5">
        <f>IFERROR(__xludf.DUMMYFUNCTION("""COMPUTED_VALUE"""),2694.73)</f>
        <v>2694.73</v>
      </c>
      <c r="L1736" s="4">
        <f>IFERROR(__xludf.DUMMYFUNCTION("""COMPUTED_VALUE"""),11.0)</f>
        <v>11</v>
      </c>
      <c r="M1736" s="4">
        <f>IFERROR(__xludf.DUMMYFUNCTION("""COMPUTED_VALUE"""),27.0)</f>
        <v>27</v>
      </c>
      <c r="N1736" s="2" t="str">
        <f>IFERROR(__xludf.DUMMYFUNCTION("""COMPUTED_VALUE"""),"FALSO")</f>
        <v>FALSO</v>
      </c>
    </row>
    <row r="1737">
      <c r="A1737" s="2">
        <f>IFERROR(__xludf.DUMMYFUNCTION("""COMPUTED_VALUE"""),1736.0)</f>
        <v>1736</v>
      </c>
      <c r="B1737" s="2" t="str">
        <f>IFERROR(__xludf.DUMMYFUNCTION("""COMPUTED_VALUE"""),"Yasmeen Duchateau")</f>
        <v>Yasmeen Duchateau</v>
      </c>
      <c r="C1737" s="2" t="str">
        <f>IFERROR(__xludf.DUMMYFUNCTION("""COMPUTED_VALUE"""),"yduchateaukg@chronoengine.com")</f>
        <v>yduchateaukg@chronoengine.com</v>
      </c>
      <c r="D1737" s="4">
        <f>IFERROR(__xludf.DUMMYFUNCTION("""COMPUTED_VALUE"""),73.0)</f>
        <v>73</v>
      </c>
      <c r="E1737" s="4">
        <f>IFERROR(__xludf.DUMMYFUNCTION("""COMPUTED_VALUE"""),15.0)</f>
        <v>15</v>
      </c>
      <c r="F1737" s="4">
        <f>IFERROR(__xludf.DUMMYFUNCTION("""COMPUTED_VALUE"""),6.0)</f>
        <v>6</v>
      </c>
      <c r="G1737" s="4">
        <f>IFERROR(__xludf.DUMMYFUNCTION("""COMPUTED_VALUE"""),917.0)</f>
        <v>917</v>
      </c>
      <c r="H1737" s="5">
        <f>IFERROR(__xludf.DUMMYFUNCTION("""COMPUTED_VALUE"""),9518.47)</f>
        <v>9518.47</v>
      </c>
      <c r="I1737" s="5">
        <f>IFERROR(__xludf.DUMMYFUNCTION("""COMPUTED_VALUE"""),4161.37)</f>
        <v>4161.37</v>
      </c>
      <c r="J1737" s="5">
        <f>IFERROR(__xludf.DUMMYFUNCTION("""COMPUTED_VALUE"""),3748.55)</f>
        <v>3748.55</v>
      </c>
      <c r="K1737" s="5">
        <f>IFERROR(__xludf.DUMMYFUNCTION("""COMPUTED_VALUE"""),2253.1)</f>
        <v>2253.1</v>
      </c>
      <c r="L1737" s="4">
        <f>IFERROR(__xludf.DUMMYFUNCTION("""COMPUTED_VALUE"""),6.0)</f>
        <v>6</v>
      </c>
      <c r="M1737" s="4">
        <f>IFERROR(__xludf.DUMMYFUNCTION("""COMPUTED_VALUE"""),83.0)</f>
        <v>83</v>
      </c>
      <c r="N1737" s="2" t="str">
        <f>IFERROR(__xludf.DUMMYFUNCTION("""COMPUTED_VALUE"""),"VERDADERO")</f>
        <v>VERDADERO</v>
      </c>
    </row>
    <row r="1738">
      <c r="A1738" s="2">
        <f>IFERROR(__xludf.DUMMYFUNCTION("""COMPUTED_VALUE"""),1737.0)</f>
        <v>1737</v>
      </c>
      <c r="B1738" s="2" t="str">
        <f>IFERROR(__xludf.DUMMYFUNCTION("""COMPUTED_VALUE"""),"Ritchie Carvilla")</f>
        <v>Ritchie Carvilla</v>
      </c>
      <c r="C1738" s="2" t="str">
        <f>IFERROR(__xludf.DUMMYFUNCTION("""COMPUTED_VALUE"""),"rcarvillakh@uiuc.edu")</f>
        <v>rcarvillakh@uiuc.edu</v>
      </c>
      <c r="D1738" s="4">
        <f>IFERROR(__xludf.DUMMYFUNCTION("""COMPUTED_VALUE"""),30.0)</f>
        <v>30</v>
      </c>
      <c r="E1738" s="4">
        <f>IFERROR(__xludf.DUMMYFUNCTION("""COMPUTED_VALUE"""),42.0)</f>
        <v>42</v>
      </c>
      <c r="F1738" s="4">
        <f>IFERROR(__xludf.DUMMYFUNCTION("""COMPUTED_VALUE"""),11.0)</f>
        <v>11</v>
      </c>
      <c r="G1738" s="4">
        <f>IFERROR(__xludf.DUMMYFUNCTION("""COMPUTED_VALUE"""),992.0)</f>
        <v>992</v>
      </c>
      <c r="H1738" s="5">
        <f>IFERROR(__xludf.DUMMYFUNCTION("""COMPUTED_VALUE"""),9859.26)</f>
        <v>9859.26</v>
      </c>
      <c r="I1738" s="5">
        <f>IFERROR(__xludf.DUMMYFUNCTION("""COMPUTED_VALUE"""),5286.95)</f>
        <v>5286.95</v>
      </c>
      <c r="J1738" s="5">
        <f>IFERROR(__xludf.DUMMYFUNCTION("""COMPUTED_VALUE"""),2852.44)</f>
        <v>2852.44</v>
      </c>
      <c r="K1738" s="5">
        <f>IFERROR(__xludf.DUMMYFUNCTION("""COMPUTED_VALUE"""),202.14)</f>
        <v>202.14</v>
      </c>
      <c r="L1738" s="4">
        <f>IFERROR(__xludf.DUMMYFUNCTION("""COMPUTED_VALUE"""),7.0)</f>
        <v>7</v>
      </c>
      <c r="M1738" s="4">
        <f>IFERROR(__xludf.DUMMYFUNCTION("""COMPUTED_VALUE"""),39.0)</f>
        <v>39</v>
      </c>
      <c r="N1738" s="2" t="str">
        <f>IFERROR(__xludf.DUMMYFUNCTION("""COMPUTED_VALUE"""),"FALSO")</f>
        <v>FALSO</v>
      </c>
    </row>
    <row r="1739">
      <c r="A1739" s="2">
        <f>IFERROR(__xludf.DUMMYFUNCTION("""COMPUTED_VALUE"""),1738.0)</f>
        <v>1738</v>
      </c>
      <c r="B1739" s="2" t="str">
        <f>IFERROR(__xludf.DUMMYFUNCTION("""COMPUTED_VALUE"""),"Rafaelia Currall")</f>
        <v>Rafaelia Currall</v>
      </c>
      <c r="C1739" s="2" t="str">
        <f>IFERROR(__xludf.DUMMYFUNCTION("""COMPUTED_VALUE"""),"rcurrallki@noaa.gov")</f>
        <v>rcurrallki@noaa.gov</v>
      </c>
      <c r="D1739" s="4">
        <f>IFERROR(__xludf.DUMMYFUNCTION("""COMPUTED_VALUE"""),37.0)</f>
        <v>37</v>
      </c>
      <c r="E1739" s="4">
        <f>IFERROR(__xludf.DUMMYFUNCTION("""COMPUTED_VALUE"""),64.0)</f>
        <v>64</v>
      </c>
      <c r="F1739" s="4">
        <f>IFERROR(__xludf.DUMMYFUNCTION("""COMPUTED_VALUE"""),4.0)</f>
        <v>4</v>
      </c>
      <c r="G1739" s="4">
        <f>IFERROR(__xludf.DUMMYFUNCTION("""COMPUTED_VALUE"""),1449.0)</f>
        <v>1449</v>
      </c>
      <c r="H1739" s="5">
        <f>IFERROR(__xludf.DUMMYFUNCTION("""COMPUTED_VALUE"""),5797.3)</f>
        <v>5797.3</v>
      </c>
      <c r="I1739" s="5">
        <f>IFERROR(__xludf.DUMMYFUNCTION("""COMPUTED_VALUE"""),9642.84)</f>
        <v>9642.84</v>
      </c>
      <c r="J1739" s="5">
        <f>IFERROR(__xludf.DUMMYFUNCTION("""COMPUTED_VALUE"""),195.24)</f>
        <v>195.24</v>
      </c>
      <c r="K1739" s="5">
        <f>IFERROR(__xludf.DUMMYFUNCTION("""COMPUTED_VALUE"""),3269.7)</f>
        <v>3269.7</v>
      </c>
      <c r="L1739" s="4">
        <f>IFERROR(__xludf.DUMMYFUNCTION("""COMPUTED_VALUE"""),7.0)</f>
        <v>7</v>
      </c>
      <c r="M1739" s="4">
        <f>IFERROR(__xludf.DUMMYFUNCTION("""COMPUTED_VALUE"""),87.0)</f>
        <v>87</v>
      </c>
      <c r="N1739" s="2" t="str">
        <f>IFERROR(__xludf.DUMMYFUNCTION("""COMPUTED_VALUE"""),"VERDADERO")</f>
        <v>VERDADERO</v>
      </c>
    </row>
    <row r="1740">
      <c r="A1740" s="2">
        <f>IFERROR(__xludf.DUMMYFUNCTION("""COMPUTED_VALUE"""),1739.0)</f>
        <v>1739</v>
      </c>
      <c r="B1740" s="2" t="str">
        <f>IFERROR(__xludf.DUMMYFUNCTION("""COMPUTED_VALUE"""),"Latashia Blowin")</f>
        <v>Latashia Blowin</v>
      </c>
      <c r="C1740" s="2" t="str">
        <f>IFERROR(__xludf.DUMMYFUNCTION("""COMPUTED_VALUE"""),"lblowinkj@php.net")</f>
        <v>lblowinkj@php.net</v>
      </c>
      <c r="D1740" s="4">
        <f>IFERROR(__xludf.DUMMYFUNCTION("""COMPUTED_VALUE"""),29.0)</f>
        <v>29</v>
      </c>
      <c r="E1740" s="4">
        <f>IFERROR(__xludf.DUMMYFUNCTION("""COMPUTED_VALUE"""),40.0)</f>
        <v>40</v>
      </c>
      <c r="F1740" s="4">
        <f>IFERROR(__xludf.DUMMYFUNCTION("""COMPUTED_VALUE"""),1.0)</f>
        <v>1</v>
      </c>
      <c r="G1740" s="4">
        <f>IFERROR(__xludf.DUMMYFUNCTION("""COMPUTED_VALUE"""),730.0)</f>
        <v>730</v>
      </c>
      <c r="H1740" s="5">
        <f>IFERROR(__xludf.DUMMYFUNCTION("""COMPUTED_VALUE"""),9667.37)</f>
        <v>9667.37</v>
      </c>
      <c r="I1740" s="5">
        <f>IFERROR(__xludf.DUMMYFUNCTION("""COMPUTED_VALUE"""),6366.79)</f>
        <v>6366.79</v>
      </c>
      <c r="J1740" s="5">
        <f>IFERROR(__xludf.DUMMYFUNCTION("""COMPUTED_VALUE"""),6651.37)</f>
        <v>6651.37</v>
      </c>
      <c r="K1740" s="5">
        <f>IFERROR(__xludf.DUMMYFUNCTION("""COMPUTED_VALUE"""),8105.74)</f>
        <v>8105.74</v>
      </c>
      <c r="L1740" s="4">
        <f>IFERROR(__xludf.DUMMYFUNCTION("""COMPUTED_VALUE"""),15.0)</f>
        <v>15</v>
      </c>
      <c r="M1740" s="4">
        <f>IFERROR(__xludf.DUMMYFUNCTION("""COMPUTED_VALUE"""),51.0)</f>
        <v>51</v>
      </c>
      <c r="N1740" s="2" t="str">
        <f>IFERROR(__xludf.DUMMYFUNCTION("""COMPUTED_VALUE"""),"VERDADERO")</f>
        <v>VERDADERO</v>
      </c>
    </row>
    <row r="1741">
      <c r="A1741" s="2">
        <f>IFERROR(__xludf.DUMMYFUNCTION("""COMPUTED_VALUE"""),1740.0)</f>
        <v>1740</v>
      </c>
      <c r="B1741" s="2" t="str">
        <f>IFERROR(__xludf.DUMMYFUNCTION("""COMPUTED_VALUE"""),"Kelsy Hurdiss")</f>
        <v>Kelsy Hurdiss</v>
      </c>
      <c r="C1741" s="2" t="str">
        <f>IFERROR(__xludf.DUMMYFUNCTION("""COMPUTED_VALUE"""),"khurdisskk@imdb.com")</f>
        <v>khurdisskk@imdb.com</v>
      </c>
      <c r="D1741" s="4">
        <f>IFERROR(__xludf.DUMMYFUNCTION("""COMPUTED_VALUE"""),124.0)</f>
        <v>124</v>
      </c>
      <c r="E1741" s="4">
        <f>IFERROR(__xludf.DUMMYFUNCTION("""COMPUTED_VALUE"""),64.0)</f>
        <v>64</v>
      </c>
      <c r="F1741" s="4">
        <f>IFERROR(__xludf.DUMMYFUNCTION("""COMPUTED_VALUE"""),4.0)</f>
        <v>4</v>
      </c>
      <c r="G1741" s="4">
        <f>IFERROR(__xludf.DUMMYFUNCTION("""COMPUTED_VALUE"""),541.0)</f>
        <v>541</v>
      </c>
      <c r="H1741" s="5">
        <f>IFERROR(__xludf.DUMMYFUNCTION("""COMPUTED_VALUE"""),2346.17)</f>
        <v>2346.17</v>
      </c>
      <c r="I1741" s="5">
        <f>IFERROR(__xludf.DUMMYFUNCTION("""COMPUTED_VALUE"""),1859.99)</f>
        <v>1859.99</v>
      </c>
      <c r="J1741" s="5">
        <f>IFERROR(__xludf.DUMMYFUNCTION("""COMPUTED_VALUE"""),5563.67)</f>
        <v>5563.67</v>
      </c>
      <c r="K1741" s="5">
        <f>IFERROR(__xludf.DUMMYFUNCTION("""COMPUTED_VALUE"""),1720.66)</f>
        <v>1720.66</v>
      </c>
      <c r="L1741" s="4">
        <f>IFERROR(__xludf.DUMMYFUNCTION("""COMPUTED_VALUE"""),8.0)</f>
        <v>8</v>
      </c>
      <c r="M1741" s="4">
        <f>IFERROR(__xludf.DUMMYFUNCTION("""COMPUTED_VALUE"""),41.0)</f>
        <v>41</v>
      </c>
      <c r="N1741" s="2" t="str">
        <f>IFERROR(__xludf.DUMMYFUNCTION("""COMPUTED_VALUE"""),"VERDADERO")</f>
        <v>VERDADERO</v>
      </c>
    </row>
    <row r="1742">
      <c r="A1742" s="2">
        <f>IFERROR(__xludf.DUMMYFUNCTION("""COMPUTED_VALUE"""),1741.0)</f>
        <v>1741</v>
      </c>
      <c r="B1742" s="2" t="str">
        <f>IFERROR(__xludf.DUMMYFUNCTION("""COMPUTED_VALUE"""),"Khalil Bielby")</f>
        <v>Khalil Bielby</v>
      </c>
      <c r="C1742" s="2" t="str">
        <f>IFERROR(__xludf.DUMMYFUNCTION("""COMPUTED_VALUE"""),"kbielbykl@psu.edu")</f>
        <v>kbielbykl@psu.edu</v>
      </c>
      <c r="D1742" s="4">
        <f>IFERROR(__xludf.DUMMYFUNCTION("""COMPUTED_VALUE"""),124.0)</f>
        <v>124</v>
      </c>
      <c r="E1742" s="4">
        <f>IFERROR(__xludf.DUMMYFUNCTION("""COMPUTED_VALUE"""),30.0)</f>
        <v>30</v>
      </c>
      <c r="F1742" s="4">
        <f>IFERROR(__xludf.DUMMYFUNCTION("""COMPUTED_VALUE"""),11.0)</f>
        <v>11</v>
      </c>
      <c r="G1742" s="4">
        <f>IFERROR(__xludf.DUMMYFUNCTION("""COMPUTED_VALUE"""),1439.0)</f>
        <v>1439</v>
      </c>
      <c r="H1742" s="5">
        <f>IFERROR(__xludf.DUMMYFUNCTION("""COMPUTED_VALUE"""),4199.62)</f>
        <v>4199.62</v>
      </c>
      <c r="I1742" s="5">
        <f>IFERROR(__xludf.DUMMYFUNCTION("""COMPUTED_VALUE"""),5512.39)</f>
        <v>5512.39</v>
      </c>
      <c r="J1742" s="5">
        <f>IFERROR(__xludf.DUMMYFUNCTION("""COMPUTED_VALUE"""),9670.28)</f>
        <v>9670.28</v>
      </c>
      <c r="K1742" s="5">
        <f>IFERROR(__xludf.DUMMYFUNCTION("""COMPUTED_VALUE"""),8894.04)</f>
        <v>8894.04</v>
      </c>
      <c r="L1742" s="4">
        <f>IFERROR(__xludf.DUMMYFUNCTION("""COMPUTED_VALUE"""),5.0)</f>
        <v>5</v>
      </c>
      <c r="M1742" s="4">
        <f>IFERROR(__xludf.DUMMYFUNCTION("""COMPUTED_VALUE"""),6.0)</f>
        <v>6</v>
      </c>
      <c r="N1742" s="2" t="str">
        <f>IFERROR(__xludf.DUMMYFUNCTION("""COMPUTED_VALUE"""),"VERDADERO")</f>
        <v>VERDADERO</v>
      </c>
    </row>
    <row r="1743">
      <c r="A1743" s="2">
        <f>IFERROR(__xludf.DUMMYFUNCTION("""COMPUTED_VALUE"""),1742.0)</f>
        <v>1742</v>
      </c>
      <c r="B1743" s="2" t="str">
        <f>IFERROR(__xludf.DUMMYFUNCTION("""COMPUTED_VALUE"""),"Clarette Shawdforth")</f>
        <v>Clarette Shawdforth</v>
      </c>
      <c r="C1743" s="2" t="str">
        <f>IFERROR(__xludf.DUMMYFUNCTION("""COMPUTED_VALUE"""),"cshawdforthkm@elpais.com")</f>
        <v>cshawdforthkm@elpais.com</v>
      </c>
      <c r="D1743" s="4">
        <f>IFERROR(__xludf.DUMMYFUNCTION("""COMPUTED_VALUE"""),29.0)</f>
        <v>29</v>
      </c>
      <c r="E1743" s="4">
        <f>IFERROR(__xludf.DUMMYFUNCTION("""COMPUTED_VALUE"""),100.0)</f>
        <v>100</v>
      </c>
      <c r="F1743" s="4">
        <f>IFERROR(__xludf.DUMMYFUNCTION("""COMPUTED_VALUE"""),9.0)</f>
        <v>9</v>
      </c>
      <c r="G1743" s="4">
        <f>IFERROR(__xludf.DUMMYFUNCTION("""COMPUTED_VALUE"""),608.0)</f>
        <v>608</v>
      </c>
      <c r="H1743" s="5">
        <f>IFERROR(__xludf.DUMMYFUNCTION("""COMPUTED_VALUE"""),9590.6)</f>
        <v>9590.6</v>
      </c>
      <c r="I1743" s="5">
        <f>IFERROR(__xludf.DUMMYFUNCTION("""COMPUTED_VALUE"""),4004.51)</f>
        <v>4004.51</v>
      </c>
      <c r="J1743" s="5">
        <f>IFERROR(__xludf.DUMMYFUNCTION("""COMPUTED_VALUE"""),509.71)</f>
        <v>509.71</v>
      </c>
      <c r="K1743" s="5">
        <f>IFERROR(__xludf.DUMMYFUNCTION("""COMPUTED_VALUE"""),9374.66)</f>
        <v>9374.66</v>
      </c>
      <c r="L1743" s="4">
        <f>IFERROR(__xludf.DUMMYFUNCTION("""COMPUTED_VALUE"""),6.0)</f>
        <v>6</v>
      </c>
      <c r="M1743" s="4">
        <f>IFERROR(__xludf.DUMMYFUNCTION("""COMPUTED_VALUE"""),17.0)</f>
        <v>17</v>
      </c>
      <c r="N1743" s="2" t="str">
        <f>IFERROR(__xludf.DUMMYFUNCTION("""COMPUTED_VALUE"""),"VERDADERO")</f>
        <v>VERDADERO</v>
      </c>
    </row>
    <row r="1744">
      <c r="A1744" s="2">
        <f>IFERROR(__xludf.DUMMYFUNCTION("""COMPUTED_VALUE"""),1743.0)</f>
        <v>1743</v>
      </c>
      <c r="B1744" s="2" t="str">
        <f>IFERROR(__xludf.DUMMYFUNCTION("""COMPUTED_VALUE"""),"Whitman Beretta")</f>
        <v>Whitman Beretta</v>
      </c>
      <c r="C1744" s="2" t="str">
        <f>IFERROR(__xludf.DUMMYFUNCTION("""COMPUTED_VALUE"""),"wberettakn@free.fr")</f>
        <v>wberettakn@free.fr</v>
      </c>
      <c r="D1744" s="4">
        <f>IFERROR(__xludf.DUMMYFUNCTION("""COMPUTED_VALUE"""),83.0)</f>
        <v>83</v>
      </c>
      <c r="E1744" s="4">
        <f>IFERROR(__xludf.DUMMYFUNCTION("""COMPUTED_VALUE"""),77.0)</f>
        <v>77</v>
      </c>
      <c r="F1744" s="4">
        <f>IFERROR(__xludf.DUMMYFUNCTION("""COMPUTED_VALUE"""),10.0)</f>
        <v>10</v>
      </c>
      <c r="G1744" s="4">
        <f>IFERROR(__xludf.DUMMYFUNCTION("""COMPUTED_VALUE"""),522.0)</f>
        <v>522</v>
      </c>
      <c r="H1744" s="5">
        <f>IFERROR(__xludf.DUMMYFUNCTION("""COMPUTED_VALUE"""),601.03)</f>
        <v>601.03</v>
      </c>
      <c r="I1744" s="5">
        <f>IFERROR(__xludf.DUMMYFUNCTION("""COMPUTED_VALUE"""),2602.8)</f>
        <v>2602.8</v>
      </c>
      <c r="J1744" s="5">
        <f>IFERROR(__xludf.DUMMYFUNCTION("""COMPUTED_VALUE"""),6015.98)</f>
        <v>6015.98</v>
      </c>
      <c r="K1744" s="5">
        <f>IFERROR(__xludf.DUMMYFUNCTION("""COMPUTED_VALUE"""),9810.49)</f>
        <v>9810.49</v>
      </c>
      <c r="L1744" s="4">
        <f>IFERROR(__xludf.DUMMYFUNCTION("""COMPUTED_VALUE"""),4.0)</f>
        <v>4</v>
      </c>
      <c r="M1744" s="4">
        <f>IFERROR(__xludf.DUMMYFUNCTION("""COMPUTED_VALUE"""),82.0)</f>
        <v>82</v>
      </c>
      <c r="N1744" s="2" t="str">
        <f>IFERROR(__xludf.DUMMYFUNCTION("""COMPUTED_VALUE"""),"FALSO")</f>
        <v>FALSO</v>
      </c>
    </row>
    <row r="1745">
      <c r="A1745" s="2">
        <f>IFERROR(__xludf.DUMMYFUNCTION("""COMPUTED_VALUE"""),1744.0)</f>
        <v>1744</v>
      </c>
      <c r="B1745" s="2" t="str">
        <f>IFERROR(__xludf.DUMMYFUNCTION("""COMPUTED_VALUE"""),"Mackenzie Cocking")</f>
        <v>Mackenzie Cocking</v>
      </c>
      <c r="C1745" s="2" t="str">
        <f>IFERROR(__xludf.DUMMYFUNCTION("""COMPUTED_VALUE"""),"mcockingko@theglobeandmail.com")</f>
        <v>mcockingko@theglobeandmail.com</v>
      </c>
      <c r="D1745" s="4">
        <f>IFERROR(__xludf.DUMMYFUNCTION("""COMPUTED_VALUE"""),29.0)</f>
        <v>29</v>
      </c>
      <c r="E1745" s="4">
        <f>IFERROR(__xludf.DUMMYFUNCTION("""COMPUTED_VALUE"""),58.0)</f>
        <v>58</v>
      </c>
      <c r="F1745" s="4">
        <f>IFERROR(__xludf.DUMMYFUNCTION("""COMPUTED_VALUE"""),11.0)</f>
        <v>11</v>
      </c>
      <c r="G1745" s="4">
        <f>IFERROR(__xludf.DUMMYFUNCTION("""COMPUTED_VALUE"""),1495.0)</f>
        <v>1495</v>
      </c>
      <c r="H1745" s="5">
        <f>IFERROR(__xludf.DUMMYFUNCTION("""COMPUTED_VALUE"""),8309.87)</f>
        <v>8309.87</v>
      </c>
      <c r="I1745" s="5">
        <f>IFERROR(__xludf.DUMMYFUNCTION("""COMPUTED_VALUE"""),1776.28)</f>
        <v>1776.28</v>
      </c>
      <c r="J1745" s="5">
        <f>IFERROR(__xludf.DUMMYFUNCTION("""COMPUTED_VALUE"""),7506.48)</f>
        <v>7506.48</v>
      </c>
      <c r="K1745" s="5">
        <f>IFERROR(__xludf.DUMMYFUNCTION("""COMPUTED_VALUE"""),8168.2)</f>
        <v>8168.2</v>
      </c>
      <c r="L1745" s="4">
        <f>IFERROR(__xludf.DUMMYFUNCTION("""COMPUTED_VALUE"""),6.0)</f>
        <v>6</v>
      </c>
      <c r="M1745" s="4">
        <f>IFERROR(__xludf.DUMMYFUNCTION("""COMPUTED_VALUE"""),50.0)</f>
        <v>50</v>
      </c>
      <c r="N1745" s="2" t="str">
        <f>IFERROR(__xludf.DUMMYFUNCTION("""COMPUTED_VALUE"""),"FALSO")</f>
        <v>FALSO</v>
      </c>
    </row>
    <row r="1746">
      <c r="A1746" s="2">
        <f>IFERROR(__xludf.DUMMYFUNCTION("""COMPUTED_VALUE"""),1745.0)</f>
        <v>1745</v>
      </c>
      <c r="B1746" s="2" t="str">
        <f>IFERROR(__xludf.DUMMYFUNCTION("""COMPUTED_VALUE"""),"Corliss Pecht")</f>
        <v>Corliss Pecht</v>
      </c>
      <c r="C1746" s="2" t="str">
        <f>IFERROR(__xludf.DUMMYFUNCTION("""COMPUTED_VALUE"""),"cpechtkp@odnoklassniki.ru")</f>
        <v>cpechtkp@odnoklassniki.ru</v>
      </c>
      <c r="D1746" s="4">
        <f>IFERROR(__xludf.DUMMYFUNCTION("""COMPUTED_VALUE"""),6.0)</f>
        <v>6</v>
      </c>
      <c r="E1746" s="4">
        <f>IFERROR(__xludf.DUMMYFUNCTION("""COMPUTED_VALUE"""),29.0)</f>
        <v>29</v>
      </c>
      <c r="F1746" s="4">
        <f>IFERROR(__xludf.DUMMYFUNCTION("""COMPUTED_VALUE"""),11.0)</f>
        <v>11</v>
      </c>
      <c r="G1746" s="4">
        <f>IFERROR(__xludf.DUMMYFUNCTION("""COMPUTED_VALUE"""),343.0)</f>
        <v>343</v>
      </c>
      <c r="H1746" s="5">
        <f>IFERROR(__xludf.DUMMYFUNCTION("""COMPUTED_VALUE"""),4272.38)</f>
        <v>4272.38</v>
      </c>
      <c r="I1746" s="5">
        <f>IFERROR(__xludf.DUMMYFUNCTION("""COMPUTED_VALUE"""),1001.47)</f>
        <v>1001.47</v>
      </c>
      <c r="J1746" s="5">
        <f>IFERROR(__xludf.DUMMYFUNCTION("""COMPUTED_VALUE"""),8292.6)</f>
        <v>8292.6</v>
      </c>
      <c r="K1746" s="5">
        <f>IFERROR(__xludf.DUMMYFUNCTION("""COMPUTED_VALUE"""),5535.2)</f>
        <v>5535.2</v>
      </c>
      <c r="L1746" s="4">
        <f>IFERROR(__xludf.DUMMYFUNCTION("""COMPUTED_VALUE"""),17.0)</f>
        <v>17</v>
      </c>
      <c r="M1746" s="4">
        <f>IFERROR(__xludf.DUMMYFUNCTION("""COMPUTED_VALUE"""),49.0)</f>
        <v>49</v>
      </c>
      <c r="N1746" s="2" t="str">
        <f>IFERROR(__xludf.DUMMYFUNCTION("""COMPUTED_VALUE"""),"FALSO")</f>
        <v>FALSO</v>
      </c>
    </row>
    <row r="1747">
      <c r="A1747" s="2">
        <f>IFERROR(__xludf.DUMMYFUNCTION("""COMPUTED_VALUE"""),1746.0)</f>
        <v>1746</v>
      </c>
      <c r="B1747" s="2" t="str">
        <f>IFERROR(__xludf.DUMMYFUNCTION("""COMPUTED_VALUE"""),"Elie Morpeth")</f>
        <v>Elie Morpeth</v>
      </c>
      <c r="C1747" s="2" t="str">
        <f>IFERROR(__xludf.DUMMYFUNCTION("""COMPUTED_VALUE"""),"emorpethkq@jiathis.com")</f>
        <v>emorpethkq@jiathis.com</v>
      </c>
      <c r="D1747" s="4">
        <f>IFERROR(__xludf.DUMMYFUNCTION("""COMPUTED_VALUE"""),141.0)</f>
        <v>141</v>
      </c>
      <c r="E1747" s="4">
        <f>IFERROR(__xludf.DUMMYFUNCTION("""COMPUTED_VALUE"""),109.0)</f>
        <v>109</v>
      </c>
      <c r="F1747" s="4">
        <f>IFERROR(__xludf.DUMMYFUNCTION("""COMPUTED_VALUE"""),5.0)</f>
        <v>5</v>
      </c>
      <c r="G1747" s="4">
        <f>IFERROR(__xludf.DUMMYFUNCTION("""COMPUTED_VALUE"""),1212.0)</f>
        <v>1212</v>
      </c>
      <c r="H1747" s="5">
        <f>IFERROR(__xludf.DUMMYFUNCTION("""COMPUTED_VALUE"""),7135.94)</f>
        <v>7135.94</v>
      </c>
      <c r="I1747" s="5">
        <f>IFERROR(__xludf.DUMMYFUNCTION("""COMPUTED_VALUE"""),6606.38)</f>
        <v>6606.38</v>
      </c>
      <c r="J1747" s="5">
        <f>IFERROR(__xludf.DUMMYFUNCTION("""COMPUTED_VALUE"""),868.22)</f>
        <v>868.22</v>
      </c>
      <c r="K1747" s="5">
        <f>IFERROR(__xludf.DUMMYFUNCTION("""COMPUTED_VALUE"""),4437.5)</f>
        <v>4437.5</v>
      </c>
      <c r="L1747" s="4">
        <f>IFERROR(__xludf.DUMMYFUNCTION("""COMPUTED_VALUE"""),10.0)</f>
        <v>10</v>
      </c>
      <c r="M1747" s="4">
        <f>IFERROR(__xludf.DUMMYFUNCTION("""COMPUTED_VALUE"""),89.0)</f>
        <v>89</v>
      </c>
      <c r="N1747" s="2" t="str">
        <f>IFERROR(__xludf.DUMMYFUNCTION("""COMPUTED_VALUE"""),"FALSO")</f>
        <v>FALSO</v>
      </c>
    </row>
    <row r="1748">
      <c r="A1748" s="2">
        <f>IFERROR(__xludf.DUMMYFUNCTION("""COMPUTED_VALUE"""),1747.0)</f>
        <v>1747</v>
      </c>
      <c r="B1748" s="2" t="str">
        <f>IFERROR(__xludf.DUMMYFUNCTION("""COMPUTED_VALUE"""),"Arch Serris")</f>
        <v>Arch Serris</v>
      </c>
      <c r="C1748" s="2" t="str">
        <f>IFERROR(__xludf.DUMMYFUNCTION("""COMPUTED_VALUE"""),"aserriskr@storify.com")</f>
        <v>aserriskr@storify.com</v>
      </c>
      <c r="D1748" s="4">
        <f>IFERROR(__xludf.DUMMYFUNCTION("""COMPUTED_VALUE"""),32.0)</f>
        <v>32</v>
      </c>
      <c r="E1748" s="4">
        <f>IFERROR(__xludf.DUMMYFUNCTION("""COMPUTED_VALUE"""),21.0)</f>
        <v>21</v>
      </c>
      <c r="F1748" s="4">
        <f>IFERROR(__xludf.DUMMYFUNCTION("""COMPUTED_VALUE"""),12.0)</f>
        <v>12</v>
      </c>
      <c r="G1748" s="4">
        <f>IFERROR(__xludf.DUMMYFUNCTION("""COMPUTED_VALUE"""),916.0)</f>
        <v>916</v>
      </c>
      <c r="H1748" s="5">
        <f>IFERROR(__xludf.DUMMYFUNCTION("""COMPUTED_VALUE"""),6121.31)</f>
        <v>6121.31</v>
      </c>
      <c r="I1748" s="5">
        <f>IFERROR(__xludf.DUMMYFUNCTION("""COMPUTED_VALUE"""),757.31)</f>
        <v>757.31</v>
      </c>
      <c r="J1748" s="5">
        <f>IFERROR(__xludf.DUMMYFUNCTION("""COMPUTED_VALUE"""),837.81)</f>
        <v>837.81</v>
      </c>
      <c r="K1748" s="5">
        <f>IFERROR(__xludf.DUMMYFUNCTION("""COMPUTED_VALUE"""),6952.21)</f>
        <v>6952.21</v>
      </c>
      <c r="L1748" s="4">
        <f>IFERROR(__xludf.DUMMYFUNCTION("""COMPUTED_VALUE"""),15.0)</f>
        <v>15</v>
      </c>
      <c r="M1748" s="4">
        <f>IFERROR(__xludf.DUMMYFUNCTION("""COMPUTED_VALUE"""),91.0)</f>
        <v>91</v>
      </c>
      <c r="N1748" s="2" t="str">
        <f>IFERROR(__xludf.DUMMYFUNCTION("""COMPUTED_VALUE"""),"VERDADERO")</f>
        <v>VERDADERO</v>
      </c>
    </row>
    <row r="1749">
      <c r="A1749" s="2">
        <f>IFERROR(__xludf.DUMMYFUNCTION("""COMPUTED_VALUE"""),1748.0)</f>
        <v>1748</v>
      </c>
      <c r="B1749" s="2" t="str">
        <f>IFERROR(__xludf.DUMMYFUNCTION("""COMPUTED_VALUE"""),"Vina Machent")</f>
        <v>Vina Machent</v>
      </c>
      <c r="C1749" s="2" t="str">
        <f>IFERROR(__xludf.DUMMYFUNCTION("""COMPUTED_VALUE"""),"vmachentks@squidoo.com")</f>
        <v>vmachentks@squidoo.com</v>
      </c>
      <c r="D1749" s="4">
        <f>IFERROR(__xludf.DUMMYFUNCTION("""COMPUTED_VALUE"""),42.0)</f>
        <v>42</v>
      </c>
      <c r="E1749" s="4">
        <f>IFERROR(__xludf.DUMMYFUNCTION("""COMPUTED_VALUE"""),71.0)</f>
        <v>71</v>
      </c>
      <c r="F1749" s="4">
        <f>IFERROR(__xludf.DUMMYFUNCTION("""COMPUTED_VALUE"""),6.0)</f>
        <v>6</v>
      </c>
      <c r="G1749" s="4">
        <f>IFERROR(__xludf.DUMMYFUNCTION("""COMPUTED_VALUE"""),420.0)</f>
        <v>420</v>
      </c>
      <c r="H1749" s="5">
        <f>IFERROR(__xludf.DUMMYFUNCTION("""COMPUTED_VALUE"""),9408.9)</f>
        <v>9408.9</v>
      </c>
      <c r="I1749" s="5">
        <f>IFERROR(__xludf.DUMMYFUNCTION("""COMPUTED_VALUE"""),7451.5)</f>
        <v>7451.5</v>
      </c>
      <c r="J1749" s="5">
        <f>IFERROR(__xludf.DUMMYFUNCTION("""COMPUTED_VALUE"""),9390.87)</f>
        <v>9390.87</v>
      </c>
      <c r="K1749" s="5">
        <f>IFERROR(__xludf.DUMMYFUNCTION("""COMPUTED_VALUE"""),4780.65)</f>
        <v>4780.65</v>
      </c>
      <c r="L1749" s="4">
        <f>IFERROR(__xludf.DUMMYFUNCTION("""COMPUTED_VALUE"""),1.0)</f>
        <v>1</v>
      </c>
      <c r="M1749" s="4">
        <f>IFERROR(__xludf.DUMMYFUNCTION("""COMPUTED_VALUE"""),20.0)</f>
        <v>20</v>
      </c>
      <c r="N1749" s="2" t="str">
        <f>IFERROR(__xludf.DUMMYFUNCTION("""COMPUTED_VALUE"""),"FALSO")</f>
        <v>FALSO</v>
      </c>
    </row>
    <row r="1750">
      <c r="A1750" s="2">
        <f>IFERROR(__xludf.DUMMYFUNCTION("""COMPUTED_VALUE"""),1749.0)</f>
        <v>1749</v>
      </c>
      <c r="B1750" s="2" t="str">
        <f>IFERROR(__xludf.DUMMYFUNCTION("""COMPUTED_VALUE"""),"Kippy Dimitrescu")</f>
        <v>Kippy Dimitrescu</v>
      </c>
      <c r="C1750" s="2" t="str">
        <f>IFERROR(__xludf.DUMMYFUNCTION("""COMPUTED_VALUE"""),"kdimitrescukt@posterous.com")</f>
        <v>kdimitrescukt@posterous.com</v>
      </c>
      <c r="D1750" s="4">
        <f>IFERROR(__xludf.DUMMYFUNCTION("""COMPUTED_VALUE"""),17.0)</f>
        <v>17</v>
      </c>
      <c r="E1750" s="4">
        <f>IFERROR(__xludf.DUMMYFUNCTION("""COMPUTED_VALUE"""),8.0)</f>
        <v>8</v>
      </c>
      <c r="F1750" s="4">
        <f>IFERROR(__xludf.DUMMYFUNCTION("""COMPUTED_VALUE"""),8.0)</f>
        <v>8</v>
      </c>
      <c r="G1750" s="4">
        <f>IFERROR(__xludf.DUMMYFUNCTION("""COMPUTED_VALUE"""),1345.0)</f>
        <v>1345</v>
      </c>
      <c r="H1750" s="5">
        <f>IFERROR(__xludf.DUMMYFUNCTION("""COMPUTED_VALUE"""),9198.46)</f>
        <v>9198.46</v>
      </c>
      <c r="I1750" s="5">
        <f>IFERROR(__xludf.DUMMYFUNCTION("""COMPUTED_VALUE"""),7465.84)</f>
        <v>7465.84</v>
      </c>
      <c r="J1750" s="5">
        <f>IFERROR(__xludf.DUMMYFUNCTION("""COMPUTED_VALUE"""),9420.88)</f>
        <v>9420.88</v>
      </c>
      <c r="K1750" s="5">
        <f>IFERROR(__xludf.DUMMYFUNCTION("""COMPUTED_VALUE"""),74.87)</f>
        <v>74.87</v>
      </c>
      <c r="L1750" s="4">
        <f>IFERROR(__xludf.DUMMYFUNCTION("""COMPUTED_VALUE"""),1.0)</f>
        <v>1</v>
      </c>
      <c r="M1750" s="4">
        <f>IFERROR(__xludf.DUMMYFUNCTION("""COMPUTED_VALUE"""),83.0)</f>
        <v>83</v>
      </c>
      <c r="N1750" s="2" t="str">
        <f>IFERROR(__xludf.DUMMYFUNCTION("""COMPUTED_VALUE"""),"FALSO")</f>
        <v>FALSO</v>
      </c>
    </row>
    <row r="1751">
      <c r="A1751" s="2">
        <f>IFERROR(__xludf.DUMMYFUNCTION("""COMPUTED_VALUE"""),1750.0)</f>
        <v>1750</v>
      </c>
      <c r="B1751" s="2" t="str">
        <f>IFERROR(__xludf.DUMMYFUNCTION("""COMPUTED_VALUE"""),"Grethel Dominik")</f>
        <v>Grethel Dominik</v>
      </c>
      <c r="C1751" s="2" t="str">
        <f>IFERROR(__xludf.DUMMYFUNCTION("""COMPUTED_VALUE"""),"gdominikku@constantcontact.com")</f>
        <v>gdominikku@constantcontact.com</v>
      </c>
      <c r="D1751" s="4">
        <f>IFERROR(__xludf.DUMMYFUNCTION("""COMPUTED_VALUE"""),49.0)</f>
        <v>49</v>
      </c>
      <c r="E1751" s="4">
        <f>IFERROR(__xludf.DUMMYFUNCTION("""COMPUTED_VALUE"""),81.0)</f>
        <v>81</v>
      </c>
      <c r="F1751" s="4">
        <f>IFERROR(__xludf.DUMMYFUNCTION("""COMPUTED_VALUE"""),2.0)</f>
        <v>2</v>
      </c>
      <c r="G1751" s="4">
        <f>IFERROR(__xludf.DUMMYFUNCTION("""COMPUTED_VALUE"""),808.0)</f>
        <v>808</v>
      </c>
      <c r="H1751" s="5">
        <f>IFERROR(__xludf.DUMMYFUNCTION("""COMPUTED_VALUE"""),124.05)</f>
        <v>124.05</v>
      </c>
      <c r="I1751" s="5">
        <f>IFERROR(__xludf.DUMMYFUNCTION("""COMPUTED_VALUE"""),7923.29)</f>
        <v>7923.29</v>
      </c>
      <c r="J1751" s="5">
        <f>IFERROR(__xludf.DUMMYFUNCTION("""COMPUTED_VALUE"""),4592.51)</f>
        <v>4592.51</v>
      </c>
      <c r="K1751" s="5">
        <f>IFERROR(__xludf.DUMMYFUNCTION("""COMPUTED_VALUE"""),1207.37)</f>
        <v>1207.37</v>
      </c>
      <c r="L1751" s="4">
        <f>IFERROR(__xludf.DUMMYFUNCTION("""COMPUTED_VALUE"""),1.0)</f>
        <v>1</v>
      </c>
      <c r="M1751" s="4">
        <f>IFERROR(__xludf.DUMMYFUNCTION("""COMPUTED_VALUE"""),76.0)</f>
        <v>76</v>
      </c>
      <c r="N1751" s="2" t="str">
        <f>IFERROR(__xludf.DUMMYFUNCTION("""COMPUTED_VALUE"""),"FALSO")</f>
        <v>FALSO</v>
      </c>
    </row>
    <row r="1752">
      <c r="A1752" s="2">
        <f>IFERROR(__xludf.DUMMYFUNCTION("""COMPUTED_VALUE"""),1751.0)</f>
        <v>1751</v>
      </c>
      <c r="B1752" s="2" t="str">
        <f>IFERROR(__xludf.DUMMYFUNCTION("""COMPUTED_VALUE"""),"Sayer Worvell")</f>
        <v>Sayer Worvell</v>
      </c>
      <c r="C1752" s="2" t="str">
        <f>IFERROR(__xludf.DUMMYFUNCTION("""COMPUTED_VALUE"""),"sworvellkv@dot.gov")</f>
        <v>sworvellkv@dot.gov</v>
      </c>
      <c r="D1752" s="4">
        <f>IFERROR(__xludf.DUMMYFUNCTION("""COMPUTED_VALUE"""),115.0)</f>
        <v>115</v>
      </c>
      <c r="E1752" s="4">
        <f>IFERROR(__xludf.DUMMYFUNCTION("""COMPUTED_VALUE"""),64.0)</f>
        <v>64</v>
      </c>
      <c r="F1752" s="4">
        <f>IFERROR(__xludf.DUMMYFUNCTION("""COMPUTED_VALUE"""),4.0)</f>
        <v>4</v>
      </c>
      <c r="G1752" s="4">
        <f>IFERROR(__xludf.DUMMYFUNCTION("""COMPUTED_VALUE"""),82.0)</f>
        <v>82</v>
      </c>
      <c r="H1752" s="5">
        <f>IFERROR(__xludf.DUMMYFUNCTION("""COMPUTED_VALUE"""),5080.42)</f>
        <v>5080.42</v>
      </c>
      <c r="I1752" s="5">
        <f>IFERROR(__xludf.DUMMYFUNCTION("""COMPUTED_VALUE"""),5631.27)</f>
        <v>5631.27</v>
      </c>
      <c r="J1752" s="5">
        <f>IFERROR(__xludf.DUMMYFUNCTION("""COMPUTED_VALUE"""),1553.96)</f>
        <v>1553.96</v>
      </c>
      <c r="K1752" s="5">
        <f>IFERROR(__xludf.DUMMYFUNCTION("""COMPUTED_VALUE"""),8033.19)</f>
        <v>8033.19</v>
      </c>
      <c r="L1752" s="4">
        <f>IFERROR(__xludf.DUMMYFUNCTION("""COMPUTED_VALUE"""),7.0)</f>
        <v>7</v>
      </c>
      <c r="M1752" s="4">
        <f>IFERROR(__xludf.DUMMYFUNCTION("""COMPUTED_VALUE"""),84.0)</f>
        <v>84</v>
      </c>
      <c r="N1752" s="2" t="str">
        <f>IFERROR(__xludf.DUMMYFUNCTION("""COMPUTED_VALUE"""),"VERDADERO")</f>
        <v>VERDADERO</v>
      </c>
    </row>
    <row r="1753">
      <c r="A1753" s="2">
        <f>IFERROR(__xludf.DUMMYFUNCTION("""COMPUTED_VALUE"""),1752.0)</f>
        <v>1752</v>
      </c>
      <c r="B1753" s="2" t="str">
        <f>IFERROR(__xludf.DUMMYFUNCTION("""COMPUTED_VALUE"""),"Karim Seeger")</f>
        <v>Karim Seeger</v>
      </c>
      <c r="C1753" s="2" t="str">
        <f>IFERROR(__xludf.DUMMYFUNCTION("""COMPUTED_VALUE"""),"kseegerkw@woothemes.com")</f>
        <v>kseegerkw@woothemes.com</v>
      </c>
      <c r="D1753" s="4">
        <f>IFERROR(__xludf.DUMMYFUNCTION("""COMPUTED_VALUE"""),37.0)</f>
        <v>37</v>
      </c>
      <c r="E1753" s="4">
        <f>IFERROR(__xludf.DUMMYFUNCTION("""COMPUTED_VALUE"""),66.0)</f>
        <v>66</v>
      </c>
      <c r="F1753" s="4">
        <f>IFERROR(__xludf.DUMMYFUNCTION("""COMPUTED_VALUE"""),6.0)</f>
        <v>6</v>
      </c>
      <c r="G1753" s="4">
        <f>IFERROR(__xludf.DUMMYFUNCTION("""COMPUTED_VALUE"""),1469.0)</f>
        <v>1469</v>
      </c>
      <c r="H1753" s="5">
        <f>IFERROR(__xludf.DUMMYFUNCTION("""COMPUTED_VALUE"""),157.49)</f>
        <v>157.49</v>
      </c>
      <c r="I1753" s="5">
        <f>IFERROR(__xludf.DUMMYFUNCTION("""COMPUTED_VALUE"""),6770.78)</f>
        <v>6770.78</v>
      </c>
      <c r="J1753" s="5">
        <f>IFERROR(__xludf.DUMMYFUNCTION("""COMPUTED_VALUE"""),2321.15)</f>
        <v>2321.15</v>
      </c>
      <c r="K1753" s="5">
        <f>IFERROR(__xludf.DUMMYFUNCTION("""COMPUTED_VALUE"""),1363.5)</f>
        <v>1363.5</v>
      </c>
      <c r="L1753" s="4">
        <f>IFERROR(__xludf.DUMMYFUNCTION("""COMPUTED_VALUE"""),9.0)</f>
        <v>9</v>
      </c>
      <c r="M1753" s="4">
        <f>IFERROR(__xludf.DUMMYFUNCTION("""COMPUTED_VALUE"""),33.0)</f>
        <v>33</v>
      </c>
      <c r="N1753" s="2" t="str">
        <f>IFERROR(__xludf.DUMMYFUNCTION("""COMPUTED_VALUE"""),"VERDADERO")</f>
        <v>VERDADERO</v>
      </c>
    </row>
    <row r="1754">
      <c r="A1754" s="2">
        <f>IFERROR(__xludf.DUMMYFUNCTION("""COMPUTED_VALUE"""),1753.0)</f>
        <v>1753</v>
      </c>
      <c r="B1754" s="2" t="str">
        <f>IFERROR(__xludf.DUMMYFUNCTION("""COMPUTED_VALUE"""),"Gunilla Fullalove")</f>
        <v>Gunilla Fullalove</v>
      </c>
      <c r="C1754" s="2" t="str">
        <f>IFERROR(__xludf.DUMMYFUNCTION("""COMPUTED_VALUE"""),"gfullalovekx@oakley.com")</f>
        <v>gfullalovekx@oakley.com</v>
      </c>
      <c r="D1754" s="4">
        <f>IFERROR(__xludf.DUMMYFUNCTION("""COMPUTED_VALUE"""),87.0)</f>
        <v>87</v>
      </c>
      <c r="E1754" s="4">
        <f>IFERROR(__xludf.DUMMYFUNCTION("""COMPUTED_VALUE"""),66.0)</f>
        <v>66</v>
      </c>
      <c r="F1754" s="4">
        <f>IFERROR(__xludf.DUMMYFUNCTION("""COMPUTED_VALUE"""),6.0)</f>
        <v>6</v>
      </c>
      <c r="G1754" s="4">
        <f>IFERROR(__xludf.DUMMYFUNCTION("""COMPUTED_VALUE"""),1067.0)</f>
        <v>1067</v>
      </c>
      <c r="H1754" s="5">
        <f>IFERROR(__xludf.DUMMYFUNCTION("""COMPUTED_VALUE"""),9686.18)</f>
        <v>9686.18</v>
      </c>
      <c r="I1754" s="5">
        <f>IFERROR(__xludf.DUMMYFUNCTION("""COMPUTED_VALUE"""),7062.9)</f>
        <v>7062.9</v>
      </c>
      <c r="J1754" s="5">
        <f>IFERROR(__xludf.DUMMYFUNCTION("""COMPUTED_VALUE"""),7898.54)</f>
        <v>7898.54</v>
      </c>
      <c r="K1754" s="5">
        <f>IFERROR(__xludf.DUMMYFUNCTION("""COMPUTED_VALUE"""),815.46)</f>
        <v>815.46</v>
      </c>
      <c r="L1754" s="4">
        <f>IFERROR(__xludf.DUMMYFUNCTION("""COMPUTED_VALUE"""),15.0)</f>
        <v>15</v>
      </c>
      <c r="M1754" s="4">
        <f>IFERROR(__xludf.DUMMYFUNCTION("""COMPUTED_VALUE"""),74.0)</f>
        <v>74</v>
      </c>
      <c r="N1754" s="2" t="str">
        <f>IFERROR(__xludf.DUMMYFUNCTION("""COMPUTED_VALUE"""),"VERDADERO")</f>
        <v>VERDADERO</v>
      </c>
    </row>
    <row r="1755">
      <c r="A1755" s="2">
        <f>IFERROR(__xludf.DUMMYFUNCTION("""COMPUTED_VALUE"""),1754.0)</f>
        <v>1754</v>
      </c>
      <c r="B1755" s="2" t="str">
        <f>IFERROR(__xludf.DUMMYFUNCTION("""COMPUTED_VALUE"""),"Cinderella Dingsdale")</f>
        <v>Cinderella Dingsdale</v>
      </c>
      <c r="C1755" s="2" t="str">
        <f>IFERROR(__xludf.DUMMYFUNCTION("""COMPUTED_VALUE"""),"cdingsdaleky@oracle.com")</f>
        <v>cdingsdaleky@oracle.com</v>
      </c>
      <c r="D1755" s="4">
        <f>IFERROR(__xludf.DUMMYFUNCTION("""COMPUTED_VALUE"""),113.0)</f>
        <v>113</v>
      </c>
      <c r="E1755" s="4">
        <f>IFERROR(__xludf.DUMMYFUNCTION("""COMPUTED_VALUE"""),45.0)</f>
        <v>45</v>
      </c>
      <c r="F1755" s="4">
        <f>IFERROR(__xludf.DUMMYFUNCTION("""COMPUTED_VALUE"""),9.0)</f>
        <v>9</v>
      </c>
      <c r="G1755" s="4">
        <f>IFERROR(__xludf.DUMMYFUNCTION("""COMPUTED_VALUE"""),1325.0)</f>
        <v>1325</v>
      </c>
      <c r="H1755" s="5">
        <f>IFERROR(__xludf.DUMMYFUNCTION("""COMPUTED_VALUE"""),9161.84)</f>
        <v>9161.84</v>
      </c>
      <c r="I1755" s="5">
        <f>IFERROR(__xludf.DUMMYFUNCTION("""COMPUTED_VALUE"""),7358.94)</f>
        <v>7358.94</v>
      </c>
      <c r="J1755" s="5">
        <f>IFERROR(__xludf.DUMMYFUNCTION("""COMPUTED_VALUE"""),9294.38)</f>
        <v>9294.38</v>
      </c>
      <c r="K1755" s="5">
        <f>IFERROR(__xludf.DUMMYFUNCTION("""COMPUTED_VALUE"""),3315.52)</f>
        <v>3315.52</v>
      </c>
      <c r="L1755" s="4">
        <f>IFERROR(__xludf.DUMMYFUNCTION("""COMPUTED_VALUE"""),6.0)</f>
        <v>6</v>
      </c>
      <c r="M1755" s="4">
        <f>IFERROR(__xludf.DUMMYFUNCTION("""COMPUTED_VALUE"""),95.0)</f>
        <v>95</v>
      </c>
      <c r="N1755" s="2" t="str">
        <f>IFERROR(__xludf.DUMMYFUNCTION("""COMPUTED_VALUE"""),"VERDADERO")</f>
        <v>VERDADERO</v>
      </c>
    </row>
    <row r="1756">
      <c r="A1756" s="2">
        <f>IFERROR(__xludf.DUMMYFUNCTION("""COMPUTED_VALUE"""),1755.0)</f>
        <v>1755</v>
      </c>
      <c r="B1756" s="2" t="str">
        <f>IFERROR(__xludf.DUMMYFUNCTION("""COMPUTED_VALUE"""),"Caralie Ricciardiello")</f>
        <v>Caralie Ricciardiello</v>
      </c>
      <c r="C1756" s="2" t="str">
        <f>IFERROR(__xludf.DUMMYFUNCTION("""COMPUTED_VALUE"""),"cricciardiellokz@columbia.edu")</f>
        <v>cricciardiellokz@columbia.edu</v>
      </c>
      <c r="D1756" s="4">
        <f>IFERROR(__xludf.DUMMYFUNCTION("""COMPUTED_VALUE"""),17.0)</f>
        <v>17</v>
      </c>
      <c r="E1756" s="4">
        <f>IFERROR(__xludf.DUMMYFUNCTION("""COMPUTED_VALUE"""),81.0)</f>
        <v>81</v>
      </c>
      <c r="F1756" s="4">
        <f>IFERROR(__xludf.DUMMYFUNCTION("""COMPUTED_VALUE"""),2.0)</f>
        <v>2</v>
      </c>
      <c r="G1756" s="4">
        <f>IFERROR(__xludf.DUMMYFUNCTION("""COMPUTED_VALUE"""),587.0)</f>
        <v>587</v>
      </c>
      <c r="H1756" s="5">
        <f>IFERROR(__xludf.DUMMYFUNCTION("""COMPUTED_VALUE"""),6536.84)</f>
        <v>6536.84</v>
      </c>
      <c r="I1756" s="5">
        <f>IFERROR(__xludf.DUMMYFUNCTION("""COMPUTED_VALUE"""),490.58)</f>
        <v>490.58</v>
      </c>
      <c r="J1756" s="5">
        <f>IFERROR(__xludf.DUMMYFUNCTION("""COMPUTED_VALUE"""),2301.12)</f>
        <v>2301.12</v>
      </c>
      <c r="K1756" s="5">
        <f>IFERROR(__xludf.DUMMYFUNCTION("""COMPUTED_VALUE"""),3197.42)</f>
        <v>3197.42</v>
      </c>
      <c r="L1756" s="4">
        <f>IFERROR(__xludf.DUMMYFUNCTION("""COMPUTED_VALUE"""),4.0)</f>
        <v>4</v>
      </c>
      <c r="M1756" s="4">
        <f>IFERROR(__xludf.DUMMYFUNCTION("""COMPUTED_VALUE"""),36.0)</f>
        <v>36</v>
      </c>
      <c r="N1756" s="2" t="str">
        <f>IFERROR(__xludf.DUMMYFUNCTION("""COMPUTED_VALUE"""),"FALSO")</f>
        <v>FALSO</v>
      </c>
    </row>
    <row r="1757">
      <c r="A1757" s="2">
        <f>IFERROR(__xludf.DUMMYFUNCTION("""COMPUTED_VALUE"""),1756.0)</f>
        <v>1756</v>
      </c>
      <c r="B1757" s="2" t="str">
        <f>IFERROR(__xludf.DUMMYFUNCTION("""COMPUTED_VALUE"""),"Yetta Davoren")</f>
        <v>Yetta Davoren</v>
      </c>
      <c r="C1757" s="2" t="str">
        <f>IFERROR(__xludf.DUMMYFUNCTION("""COMPUTED_VALUE"""),"ydavorenl0@123-reg.co.uk")</f>
        <v>ydavorenl0@123-reg.co.uk</v>
      </c>
      <c r="D1757" s="4">
        <f>IFERROR(__xludf.DUMMYFUNCTION("""COMPUTED_VALUE"""),60.0)</f>
        <v>60</v>
      </c>
      <c r="E1757" s="4">
        <f>IFERROR(__xludf.DUMMYFUNCTION("""COMPUTED_VALUE"""),112.0)</f>
        <v>112</v>
      </c>
      <c r="F1757" s="4">
        <f>IFERROR(__xludf.DUMMYFUNCTION("""COMPUTED_VALUE"""),11.0)</f>
        <v>11</v>
      </c>
      <c r="G1757" s="4">
        <f>IFERROR(__xludf.DUMMYFUNCTION("""COMPUTED_VALUE"""),913.0)</f>
        <v>913</v>
      </c>
      <c r="H1757" s="5">
        <f>IFERROR(__xludf.DUMMYFUNCTION("""COMPUTED_VALUE"""),8941.3)</f>
        <v>8941.3</v>
      </c>
      <c r="I1757" s="5">
        <f>IFERROR(__xludf.DUMMYFUNCTION("""COMPUTED_VALUE"""),9703.47)</f>
        <v>9703.47</v>
      </c>
      <c r="J1757" s="5">
        <f>IFERROR(__xludf.DUMMYFUNCTION("""COMPUTED_VALUE"""),1892.67)</f>
        <v>1892.67</v>
      </c>
      <c r="K1757" s="5">
        <f>IFERROR(__xludf.DUMMYFUNCTION("""COMPUTED_VALUE"""),7185.59)</f>
        <v>7185.59</v>
      </c>
      <c r="L1757" s="4">
        <f>IFERROR(__xludf.DUMMYFUNCTION("""COMPUTED_VALUE"""),9.0)</f>
        <v>9</v>
      </c>
      <c r="M1757" s="4">
        <f>IFERROR(__xludf.DUMMYFUNCTION("""COMPUTED_VALUE"""),70.0)</f>
        <v>70</v>
      </c>
      <c r="N1757" s="2" t="str">
        <f>IFERROR(__xludf.DUMMYFUNCTION("""COMPUTED_VALUE"""),"FALSO")</f>
        <v>FALSO</v>
      </c>
    </row>
    <row r="1758">
      <c r="A1758" s="2">
        <f>IFERROR(__xludf.DUMMYFUNCTION("""COMPUTED_VALUE"""),1757.0)</f>
        <v>1757</v>
      </c>
      <c r="B1758" s="2" t="str">
        <f>IFERROR(__xludf.DUMMYFUNCTION("""COMPUTED_VALUE"""),"Kylila McGuinness")</f>
        <v>Kylila McGuinness</v>
      </c>
      <c r="C1758" s="2" t="str">
        <f>IFERROR(__xludf.DUMMYFUNCTION("""COMPUTED_VALUE"""),"kmcguinnessl1@hhs.gov")</f>
        <v>kmcguinnessl1@hhs.gov</v>
      </c>
      <c r="D1758" s="4">
        <f>IFERROR(__xludf.DUMMYFUNCTION("""COMPUTED_VALUE"""),120.0)</f>
        <v>120</v>
      </c>
      <c r="E1758" s="4">
        <f>IFERROR(__xludf.DUMMYFUNCTION("""COMPUTED_VALUE"""),62.0)</f>
        <v>62</v>
      </c>
      <c r="F1758" s="4">
        <f>IFERROR(__xludf.DUMMYFUNCTION("""COMPUTED_VALUE"""),4.0)</f>
        <v>4</v>
      </c>
      <c r="G1758" s="4">
        <f>IFERROR(__xludf.DUMMYFUNCTION("""COMPUTED_VALUE"""),476.0)</f>
        <v>476</v>
      </c>
      <c r="H1758" s="5">
        <f>IFERROR(__xludf.DUMMYFUNCTION("""COMPUTED_VALUE"""),5524.54)</f>
        <v>5524.54</v>
      </c>
      <c r="I1758" s="5">
        <f>IFERROR(__xludf.DUMMYFUNCTION("""COMPUTED_VALUE"""),302.62)</f>
        <v>302.62</v>
      </c>
      <c r="J1758" s="5">
        <f>IFERROR(__xludf.DUMMYFUNCTION("""COMPUTED_VALUE"""),6293.82)</f>
        <v>6293.82</v>
      </c>
      <c r="K1758" s="5">
        <f>IFERROR(__xludf.DUMMYFUNCTION("""COMPUTED_VALUE"""),4011.02)</f>
        <v>4011.02</v>
      </c>
      <c r="L1758" s="4">
        <f>IFERROR(__xludf.DUMMYFUNCTION("""COMPUTED_VALUE"""),10.0)</f>
        <v>10</v>
      </c>
      <c r="M1758" s="4">
        <f>IFERROR(__xludf.DUMMYFUNCTION("""COMPUTED_VALUE"""),77.0)</f>
        <v>77</v>
      </c>
      <c r="N1758" s="2" t="str">
        <f>IFERROR(__xludf.DUMMYFUNCTION("""COMPUTED_VALUE"""),"VERDADERO")</f>
        <v>VERDADERO</v>
      </c>
    </row>
    <row r="1759">
      <c r="A1759" s="2">
        <f>IFERROR(__xludf.DUMMYFUNCTION("""COMPUTED_VALUE"""),1758.0)</f>
        <v>1758</v>
      </c>
      <c r="B1759" s="2" t="str">
        <f>IFERROR(__xludf.DUMMYFUNCTION("""COMPUTED_VALUE"""),"Nerte Lanahan")</f>
        <v>Nerte Lanahan</v>
      </c>
      <c r="C1759" s="2" t="str">
        <f>IFERROR(__xludf.DUMMYFUNCTION("""COMPUTED_VALUE"""),"nlanahanl2@nydailynews.com")</f>
        <v>nlanahanl2@nydailynews.com</v>
      </c>
      <c r="D1759" s="4">
        <f>IFERROR(__xludf.DUMMYFUNCTION("""COMPUTED_VALUE"""),21.0)</f>
        <v>21</v>
      </c>
      <c r="E1759" s="4">
        <f>IFERROR(__xludf.DUMMYFUNCTION("""COMPUTED_VALUE"""),55.0)</f>
        <v>55</v>
      </c>
      <c r="F1759" s="4">
        <f>IFERROR(__xludf.DUMMYFUNCTION("""COMPUTED_VALUE"""),8.0)</f>
        <v>8</v>
      </c>
      <c r="G1759" s="4">
        <f>IFERROR(__xludf.DUMMYFUNCTION("""COMPUTED_VALUE"""),1414.0)</f>
        <v>1414</v>
      </c>
      <c r="H1759" s="5">
        <f>IFERROR(__xludf.DUMMYFUNCTION("""COMPUTED_VALUE"""),7570.74)</f>
        <v>7570.74</v>
      </c>
      <c r="I1759" s="5">
        <f>IFERROR(__xludf.DUMMYFUNCTION("""COMPUTED_VALUE"""),2140.8)</f>
        <v>2140.8</v>
      </c>
      <c r="J1759" s="5">
        <f>IFERROR(__xludf.DUMMYFUNCTION("""COMPUTED_VALUE"""),4461.87)</f>
        <v>4461.87</v>
      </c>
      <c r="K1759" s="5">
        <f>IFERROR(__xludf.DUMMYFUNCTION("""COMPUTED_VALUE"""),8900.37)</f>
        <v>8900.37</v>
      </c>
      <c r="L1759" s="4">
        <f>IFERROR(__xludf.DUMMYFUNCTION("""COMPUTED_VALUE"""),12.0)</f>
        <v>12</v>
      </c>
      <c r="M1759" s="4">
        <f>IFERROR(__xludf.DUMMYFUNCTION("""COMPUTED_VALUE"""),58.0)</f>
        <v>58</v>
      </c>
      <c r="N1759" s="2" t="str">
        <f>IFERROR(__xludf.DUMMYFUNCTION("""COMPUTED_VALUE"""),"VERDADERO")</f>
        <v>VERDADERO</v>
      </c>
    </row>
    <row r="1760">
      <c r="A1760" s="2">
        <f>IFERROR(__xludf.DUMMYFUNCTION("""COMPUTED_VALUE"""),1759.0)</f>
        <v>1759</v>
      </c>
      <c r="B1760" s="2" t="str">
        <f>IFERROR(__xludf.DUMMYFUNCTION("""COMPUTED_VALUE"""),"Shandy Roache")</f>
        <v>Shandy Roache</v>
      </c>
      <c r="C1760" s="2" t="str">
        <f>IFERROR(__xludf.DUMMYFUNCTION("""COMPUTED_VALUE"""),"sroachel3@archive.org")</f>
        <v>sroachel3@archive.org</v>
      </c>
      <c r="D1760" s="4">
        <f>IFERROR(__xludf.DUMMYFUNCTION("""COMPUTED_VALUE"""),153.0)</f>
        <v>153</v>
      </c>
      <c r="E1760" s="4">
        <f>IFERROR(__xludf.DUMMYFUNCTION("""COMPUTED_VALUE"""),115.0)</f>
        <v>115</v>
      </c>
      <c r="F1760" s="4">
        <f>IFERROR(__xludf.DUMMYFUNCTION("""COMPUTED_VALUE"""),10.0)</f>
        <v>10</v>
      </c>
      <c r="G1760" s="4">
        <f>IFERROR(__xludf.DUMMYFUNCTION("""COMPUTED_VALUE"""),597.0)</f>
        <v>597</v>
      </c>
      <c r="H1760" s="5">
        <f>IFERROR(__xludf.DUMMYFUNCTION("""COMPUTED_VALUE"""),8154.08)</f>
        <v>8154.08</v>
      </c>
      <c r="I1760" s="5">
        <f>IFERROR(__xludf.DUMMYFUNCTION("""COMPUTED_VALUE"""),5388.27)</f>
        <v>5388.27</v>
      </c>
      <c r="J1760" s="5">
        <f>IFERROR(__xludf.DUMMYFUNCTION("""COMPUTED_VALUE"""),5507.17)</f>
        <v>5507.17</v>
      </c>
      <c r="K1760" s="5">
        <f>IFERROR(__xludf.DUMMYFUNCTION("""COMPUTED_VALUE"""),9446.31)</f>
        <v>9446.31</v>
      </c>
      <c r="L1760" s="4">
        <f>IFERROR(__xludf.DUMMYFUNCTION("""COMPUTED_VALUE"""),7.0)</f>
        <v>7</v>
      </c>
      <c r="M1760" s="4">
        <f>IFERROR(__xludf.DUMMYFUNCTION("""COMPUTED_VALUE"""),25.0)</f>
        <v>25</v>
      </c>
      <c r="N1760" s="2" t="str">
        <f>IFERROR(__xludf.DUMMYFUNCTION("""COMPUTED_VALUE"""),"VERDADERO")</f>
        <v>VERDADERO</v>
      </c>
    </row>
    <row r="1761">
      <c r="A1761" s="2">
        <f>IFERROR(__xludf.DUMMYFUNCTION("""COMPUTED_VALUE"""),1760.0)</f>
        <v>1760</v>
      </c>
      <c r="B1761" s="2" t="str">
        <f>IFERROR(__xludf.DUMMYFUNCTION("""COMPUTED_VALUE"""),"Fancie Bonsale")</f>
        <v>Fancie Bonsale</v>
      </c>
      <c r="C1761" s="2" t="str">
        <f>IFERROR(__xludf.DUMMYFUNCTION("""COMPUTED_VALUE"""),"fbonsalel4@senate.gov")</f>
        <v>fbonsalel4@senate.gov</v>
      </c>
      <c r="D1761" s="4">
        <f>IFERROR(__xludf.DUMMYFUNCTION("""COMPUTED_VALUE"""),124.0)</f>
        <v>124</v>
      </c>
      <c r="E1761" s="4">
        <f>IFERROR(__xludf.DUMMYFUNCTION("""COMPUTED_VALUE"""),75.0)</f>
        <v>75</v>
      </c>
      <c r="F1761" s="4">
        <f>IFERROR(__xludf.DUMMYFUNCTION("""COMPUTED_VALUE"""),9.0)</f>
        <v>9</v>
      </c>
      <c r="G1761" s="4">
        <f>IFERROR(__xludf.DUMMYFUNCTION("""COMPUTED_VALUE"""),1471.0)</f>
        <v>1471</v>
      </c>
      <c r="H1761" s="5">
        <f>IFERROR(__xludf.DUMMYFUNCTION("""COMPUTED_VALUE"""),4000.76)</f>
        <v>4000.76</v>
      </c>
      <c r="I1761" s="5">
        <f>IFERROR(__xludf.DUMMYFUNCTION("""COMPUTED_VALUE"""),9402.47)</f>
        <v>9402.47</v>
      </c>
      <c r="J1761" s="5">
        <f>IFERROR(__xludf.DUMMYFUNCTION("""COMPUTED_VALUE"""),6019.26)</f>
        <v>6019.26</v>
      </c>
      <c r="K1761" s="5">
        <f>IFERROR(__xludf.DUMMYFUNCTION("""COMPUTED_VALUE"""),6102.92)</f>
        <v>6102.92</v>
      </c>
      <c r="L1761" s="4">
        <f>IFERROR(__xludf.DUMMYFUNCTION("""COMPUTED_VALUE"""),6.0)</f>
        <v>6</v>
      </c>
      <c r="M1761" s="4">
        <f>IFERROR(__xludf.DUMMYFUNCTION("""COMPUTED_VALUE"""),17.0)</f>
        <v>17</v>
      </c>
      <c r="N1761" s="2" t="str">
        <f>IFERROR(__xludf.DUMMYFUNCTION("""COMPUTED_VALUE"""),"VERDADERO")</f>
        <v>VERDADERO</v>
      </c>
    </row>
    <row r="1762">
      <c r="A1762" s="2">
        <f>IFERROR(__xludf.DUMMYFUNCTION("""COMPUTED_VALUE"""),1761.0)</f>
        <v>1761</v>
      </c>
      <c r="B1762" s="2" t="str">
        <f>IFERROR(__xludf.DUMMYFUNCTION("""COMPUTED_VALUE"""),"Patsy Sheilds")</f>
        <v>Patsy Sheilds</v>
      </c>
      <c r="C1762" s="2" t="str">
        <f>IFERROR(__xludf.DUMMYFUNCTION("""COMPUTED_VALUE"""),"psheildsl5@pagesperso-orange.fr")</f>
        <v>psheildsl5@pagesperso-orange.fr</v>
      </c>
      <c r="D1762" s="4">
        <f>IFERROR(__xludf.DUMMYFUNCTION("""COMPUTED_VALUE"""),130.0)</f>
        <v>130</v>
      </c>
      <c r="E1762" s="4">
        <f>IFERROR(__xludf.DUMMYFUNCTION("""COMPUTED_VALUE"""),81.0)</f>
        <v>81</v>
      </c>
      <c r="F1762" s="4">
        <f>IFERROR(__xludf.DUMMYFUNCTION("""COMPUTED_VALUE"""),2.0)</f>
        <v>2</v>
      </c>
      <c r="G1762" s="4">
        <f>IFERROR(__xludf.DUMMYFUNCTION("""COMPUTED_VALUE"""),170.0)</f>
        <v>170</v>
      </c>
      <c r="H1762" s="5">
        <f>IFERROR(__xludf.DUMMYFUNCTION("""COMPUTED_VALUE"""),6257.9)</f>
        <v>6257.9</v>
      </c>
      <c r="I1762" s="5">
        <f>IFERROR(__xludf.DUMMYFUNCTION("""COMPUTED_VALUE"""),5473.96)</f>
        <v>5473.96</v>
      </c>
      <c r="J1762" s="5">
        <f>IFERROR(__xludf.DUMMYFUNCTION("""COMPUTED_VALUE"""),6855.53)</f>
        <v>6855.53</v>
      </c>
      <c r="K1762" s="5">
        <f>IFERROR(__xludf.DUMMYFUNCTION("""COMPUTED_VALUE"""),6761.5)</f>
        <v>6761.5</v>
      </c>
      <c r="L1762" s="4">
        <f>IFERROR(__xludf.DUMMYFUNCTION("""COMPUTED_VALUE"""),19.0)</f>
        <v>19</v>
      </c>
      <c r="M1762" s="4">
        <f>IFERROR(__xludf.DUMMYFUNCTION("""COMPUTED_VALUE"""),42.0)</f>
        <v>42</v>
      </c>
      <c r="N1762" s="2" t="str">
        <f>IFERROR(__xludf.DUMMYFUNCTION("""COMPUTED_VALUE"""),"VERDADERO")</f>
        <v>VERDADERO</v>
      </c>
    </row>
    <row r="1763">
      <c r="A1763" s="2">
        <f>IFERROR(__xludf.DUMMYFUNCTION("""COMPUTED_VALUE"""),1762.0)</f>
        <v>1762</v>
      </c>
      <c r="B1763" s="2" t="str">
        <f>IFERROR(__xludf.DUMMYFUNCTION("""COMPUTED_VALUE"""),"Rikki Soles")</f>
        <v>Rikki Soles</v>
      </c>
      <c r="C1763" s="2" t="str">
        <f>IFERROR(__xludf.DUMMYFUNCTION("""COMPUTED_VALUE"""),"rsolesl6@bigcartel.com")</f>
        <v>rsolesl6@bigcartel.com</v>
      </c>
      <c r="D1763" s="4">
        <f>IFERROR(__xludf.DUMMYFUNCTION("""COMPUTED_VALUE"""),11.0)</f>
        <v>11</v>
      </c>
      <c r="E1763" s="4">
        <f>IFERROR(__xludf.DUMMYFUNCTION("""COMPUTED_VALUE"""),82.0)</f>
        <v>82</v>
      </c>
      <c r="F1763" s="4">
        <f>IFERROR(__xludf.DUMMYFUNCTION("""COMPUTED_VALUE"""),1.0)</f>
        <v>1</v>
      </c>
      <c r="G1763" s="4">
        <f>IFERROR(__xludf.DUMMYFUNCTION("""COMPUTED_VALUE"""),525.0)</f>
        <v>525</v>
      </c>
      <c r="H1763" s="5">
        <f>IFERROR(__xludf.DUMMYFUNCTION("""COMPUTED_VALUE"""),2857.73)</f>
        <v>2857.73</v>
      </c>
      <c r="I1763" s="5">
        <f>IFERROR(__xludf.DUMMYFUNCTION("""COMPUTED_VALUE"""),7173.07)</f>
        <v>7173.07</v>
      </c>
      <c r="J1763" s="5">
        <f>IFERROR(__xludf.DUMMYFUNCTION("""COMPUTED_VALUE"""),6340.13)</f>
        <v>6340.13</v>
      </c>
      <c r="K1763" s="5">
        <f>IFERROR(__xludf.DUMMYFUNCTION("""COMPUTED_VALUE"""),6393.13)</f>
        <v>6393.13</v>
      </c>
      <c r="L1763" s="4">
        <f>IFERROR(__xludf.DUMMYFUNCTION("""COMPUTED_VALUE"""),18.0)</f>
        <v>18</v>
      </c>
      <c r="M1763" s="4">
        <f>IFERROR(__xludf.DUMMYFUNCTION("""COMPUTED_VALUE"""),70.0)</f>
        <v>70</v>
      </c>
      <c r="N1763" s="2" t="str">
        <f>IFERROR(__xludf.DUMMYFUNCTION("""COMPUTED_VALUE"""),"VERDADERO")</f>
        <v>VERDADERO</v>
      </c>
    </row>
    <row r="1764">
      <c r="A1764" s="2">
        <f>IFERROR(__xludf.DUMMYFUNCTION("""COMPUTED_VALUE"""),1763.0)</f>
        <v>1763</v>
      </c>
      <c r="B1764" s="2" t="str">
        <f>IFERROR(__xludf.DUMMYFUNCTION("""COMPUTED_VALUE"""),"Fredek Giggs")</f>
        <v>Fredek Giggs</v>
      </c>
      <c r="C1764" s="2" t="str">
        <f>IFERROR(__xludf.DUMMYFUNCTION("""COMPUTED_VALUE"""),"fgiggsl7@mlb.com")</f>
        <v>fgiggsl7@mlb.com</v>
      </c>
      <c r="D1764" s="4">
        <f>IFERROR(__xludf.DUMMYFUNCTION("""COMPUTED_VALUE"""),133.0)</f>
        <v>133</v>
      </c>
      <c r="E1764" s="4">
        <f>IFERROR(__xludf.DUMMYFUNCTION("""COMPUTED_VALUE"""),61.0)</f>
        <v>61</v>
      </c>
      <c r="F1764" s="4">
        <f>IFERROR(__xludf.DUMMYFUNCTION("""COMPUTED_VALUE"""),4.0)</f>
        <v>4</v>
      </c>
      <c r="G1764" s="4">
        <f>IFERROR(__xludf.DUMMYFUNCTION("""COMPUTED_VALUE"""),1326.0)</f>
        <v>1326</v>
      </c>
      <c r="H1764" s="5">
        <f>IFERROR(__xludf.DUMMYFUNCTION("""COMPUTED_VALUE"""),7296.1)</f>
        <v>7296.1</v>
      </c>
      <c r="I1764" s="5">
        <f>IFERROR(__xludf.DUMMYFUNCTION("""COMPUTED_VALUE"""),8317.76)</f>
        <v>8317.76</v>
      </c>
      <c r="J1764" s="5">
        <f>IFERROR(__xludf.DUMMYFUNCTION("""COMPUTED_VALUE"""),1785.14)</f>
        <v>1785.14</v>
      </c>
      <c r="K1764" s="5">
        <f>IFERROR(__xludf.DUMMYFUNCTION("""COMPUTED_VALUE"""),4734.84)</f>
        <v>4734.84</v>
      </c>
      <c r="L1764" s="4">
        <f>IFERROR(__xludf.DUMMYFUNCTION("""COMPUTED_VALUE"""),9.0)</f>
        <v>9</v>
      </c>
      <c r="M1764" s="4">
        <f>IFERROR(__xludf.DUMMYFUNCTION("""COMPUTED_VALUE"""),31.0)</f>
        <v>31</v>
      </c>
      <c r="N1764" s="2" t="str">
        <f>IFERROR(__xludf.DUMMYFUNCTION("""COMPUTED_VALUE"""),"VERDADERO")</f>
        <v>VERDADERO</v>
      </c>
    </row>
    <row r="1765">
      <c r="A1765" s="2">
        <f>IFERROR(__xludf.DUMMYFUNCTION("""COMPUTED_VALUE"""),1764.0)</f>
        <v>1764</v>
      </c>
      <c r="B1765" s="2" t="str">
        <f>IFERROR(__xludf.DUMMYFUNCTION("""COMPUTED_VALUE"""),"Margret Dunlea")</f>
        <v>Margret Dunlea</v>
      </c>
      <c r="C1765" s="2" t="str">
        <f>IFERROR(__xludf.DUMMYFUNCTION("""COMPUTED_VALUE"""),"mdunleal8@cam.ac.uk")</f>
        <v>mdunleal8@cam.ac.uk</v>
      </c>
      <c r="D1765" s="4">
        <f>IFERROR(__xludf.DUMMYFUNCTION("""COMPUTED_VALUE"""),51.0)</f>
        <v>51</v>
      </c>
      <c r="E1765" s="4">
        <f>IFERROR(__xludf.DUMMYFUNCTION("""COMPUTED_VALUE"""),39.0)</f>
        <v>39</v>
      </c>
      <c r="F1765" s="4">
        <f>IFERROR(__xludf.DUMMYFUNCTION("""COMPUTED_VALUE"""),11.0)</f>
        <v>11</v>
      </c>
      <c r="G1765" s="4">
        <f>IFERROR(__xludf.DUMMYFUNCTION("""COMPUTED_VALUE"""),1398.0)</f>
        <v>1398</v>
      </c>
      <c r="H1765" s="5">
        <f>IFERROR(__xludf.DUMMYFUNCTION("""COMPUTED_VALUE"""),5536.01)</f>
        <v>5536.01</v>
      </c>
      <c r="I1765" s="5">
        <f>IFERROR(__xludf.DUMMYFUNCTION("""COMPUTED_VALUE"""),6182.69)</f>
        <v>6182.69</v>
      </c>
      <c r="J1765" s="5">
        <f>IFERROR(__xludf.DUMMYFUNCTION("""COMPUTED_VALUE"""),8786.66)</f>
        <v>8786.66</v>
      </c>
      <c r="K1765" s="5">
        <f>IFERROR(__xludf.DUMMYFUNCTION("""COMPUTED_VALUE"""),2746.35)</f>
        <v>2746.35</v>
      </c>
      <c r="L1765" s="4">
        <f>IFERROR(__xludf.DUMMYFUNCTION("""COMPUTED_VALUE"""),19.0)</f>
        <v>19</v>
      </c>
      <c r="M1765" s="4">
        <f>IFERROR(__xludf.DUMMYFUNCTION("""COMPUTED_VALUE"""),1.0)</f>
        <v>1</v>
      </c>
      <c r="N1765" s="2" t="str">
        <f>IFERROR(__xludf.DUMMYFUNCTION("""COMPUTED_VALUE"""),"FALSO")</f>
        <v>FALSO</v>
      </c>
    </row>
    <row r="1766">
      <c r="A1766" s="2">
        <f>IFERROR(__xludf.DUMMYFUNCTION("""COMPUTED_VALUE"""),1765.0)</f>
        <v>1765</v>
      </c>
      <c r="B1766" s="2" t="str">
        <f>IFERROR(__xludf.DUMMYFUNCTION("""COMPUTED_VALUE"""),"Penny Crosscombe")</f>
        <v>Penny Crosscombe</v>
      </c>
      <c r="C1766" s="2" t="str">
        <f>IFERROR(__xludf.DUMMYFUNCTION("""COMPUTED_VALUE"""),"pcrosscombel9@stanford.edu")</f>
        <v>pcrosscombel9@stanford.edu</v>
      </c>
      <c r="D1766" s="4">
        <f>IFERROR(__xludf.DUMMYFUNCTION("""COMPUTED_VALUE"""),29.0)</f>
        <v>29</v>
      </c>
      <c r="E1766" s="4">
        <f>IFERROR(__xludf.DUMMYFUNCTION("""COMPUTED_VALUE"""),65.0)</f>
        <v>65</v>
      </c>
      <c r="F1766" s="4">
        <f>IFERROR(__xludf.DUMMYFUNCTION("""COMPUTED_VALUE"""),9.0)</f>
        <v>9</v>
      </c>
      <c r="G1766" s="4">
        <f>IFERROR(__xludf.DUMMYFUNCTION("""COMPUTED_VALUE"""),1012.0)</f>
        <v>1012</v>
      </c>
      <c r="H1766" s="5">
        <f>IFERROR(__xludf.DUMMYFUNCTION("""COMPUTED_VALUE"""),545.68)</f>
        <v>545.68</v>
      </c>
      <c r="I1766" s="5">
        <f>IFERROR(__xludf.DUMMYFUNCTION("""COMPUTED_VALUE"""),9550.03)</f>
        <v>9550.03</v>
      </c>
      <c r="J1766" s="5">
        <f>IFERROR(__xludf.DUMMYFUNCTION("""COMPUTED_VALUE"""),6415.55)</f>
        <v>6415.55</v>
      </c>
      <c r="K1766" s="5">
        <f>IFERROR(__xludf.DUMMYFUNCTION("""COMPUTED_VALUE"""),7487.3)</f>
        <v>7487.3</v>
      </c>
      <c r="L1766" s="4">
        <f>IFERROR(__xludf.DUMMYFUNCTION("""COMPUTED_VALUE"""),14.0)</f>
        <v>14</v>
      </c>
      <c r="M1766" s="4">
        <f>IFERROR(__xludf.DUMMYFUNCTION("""COMPUTED_VALUE"""),70.0)</f>
        <v>70</v>
      </c>
      <c r="N1766" s="2" t="str">
        <f>IFERROR(__xludf.DUMMYFUNCTION("""COMPUTED_VALUE"""),"FALSO")</f>
        <v>FALSO</v>
      </c>
    </row>
    <row r="1767">
      <c r="A1767" s="2">
        <f>IFERROR(__xludf.DUMMYFUNCTION("""COMPUTED_VALUE"""),1766.0)</f>
        <v>1766</v>
      </c>
      <c r="B1767" s="2" t="str">
        <f>IFERROR(__xludf.DUMMYFUNCTION("""COMPUTED_VALUE"""),"Hetti Leipnik")</f>
        <v>Hetti Leipnik</v>
      </c>
      <c r="C1767" s="2" t="str">
        <f>IFERROR(__xludf.DUMMYFUNCTION("""COMPUTED_VALUE"""),"hleipnikla@samsung.com")</f>
        <v>hleipnikla@samsung.com</v>
      </c>
      <c r="D1767" s="4">
        <f>IFERROR(__xludf.DUMMYFUNCTION("""COMPUTED_VALUE"""),29.0)</f>
        <v>29</v>
      </c>
      <c r="E1767" s="4">
        <f>IFERROR(__xludf.DUMMYFUNCTION("""COMPUTED_VALUE"""),81.0)</f>
        <v>81</v>
      </c>
      <c r="F1767" s="4">
        <f>IFERROR(__xludf.DUMMYFUNCTION("""COMPUTED_VALUE"""),2.0)</f>
        <v>2</v>
      </c>
      <c r="G1767" s="4">
        <f>IFERROR(__xludf.DUMMYFUNCTION("""COMPUTED_VALUE"""),210.0)</f>
        <v>210</v>
      </c>
      <c r="H1767" s="5">
        <f>IFERROR(__xludf.DUMMYFUNCTION("""COMPUTED_VALUE"""),3008.0)</f>
        <v>3008</v>
      </c>
      <c r="I1767" s="5">
        <f>IFERROR(__xludf.DUMMYFUNCTION("""COMPUTED_VALUE"""),5647.11)</f>
        <v>5647.11</v>
      </c>
      <c r="J1767" s="5">
        <f>IFERROR(__xludf.DUMMYFUNCTION("""COMPUTED_VALUE"""),2047.39)</f>
        <v>2047.39</v>
      </c>
      <c r="K1767" s="5">
        <f>IFERROR(__xludf.DUMMYFUNCTION("""COMPUTED_VALUE"""),4580.39)</f>
        <v>4580.39</v>
      </c>
      <c r="L1767" s="4">
        <f>IFERROR(__xludf.DUMMYFUNCTION("""COMPUTED_VALUE"""),18.0)</f>
        <v>18</v>
      </c>
      <c r="M1767" s="4">
        <f>IFERROR(__xludf.DUMMYFUNCTION("""COMPUTED_VALUE"""),21.0)</f>
        <v>21</v>
      </c>
      <c r="N1767" s="2" t="str">
        <f>IFERROR(__xludf.DUMMYFUNCTION("""COMPUTED_VALUE"""),"VERDADERO")</f>
        <v>VERDADERO</v>
      </c>
    </row>
    <row r="1768">
      <c r="A1768" s="2">
        <f>IFERROR(__xludf.DUMMYFUNCTION("""COMPUTED_VALUE"""),1767.0)</f>
        <v>1767</v>
      </c>
      <c r="B1768" s="2" t="str">
        <f>IFERROR(__xludf.DUMMYFUNCTION("""COMPUTED_VALUE"""),"Rod Ghione")</f>
        <v>Rod Ghione</v>
      </c>
      <c r="C1768" s="2" t="str">
        <f>IFERROR(__xludf.DUMMYFUNCTION("""COMPUTED_VALUE"""),"rghionelb@yahoo.com")</f>
        <v>rghionelb@yahoo.com</v>
      </c>
      <c r="D1768" s="4">
        <f>IFERROR(__xludf.DUMMYFUNCTION("""COMPUTED_VALUE"""),153.0)</f>
        <v>153</v>
      </c>
      <c r="E1768" s="4">
        <f>IFERROR(__xludf.DUMMYFUNCTION("""COMPUTED_VALUE"""),64.0)</f>
        <v>64</v>
      </c>
      <c r="F1768" s="4">
        <f>IFERROR(__xludf.DUMMYFUNCTION("""COMPUTED_VALUE"""),4.0)</f>
        <v>4</v>
      </c>
      <c r="G1768" s="4">
        <f>IFERROR(__xludf.DUMMYFUNCTION("""COMPUTED_VALUE"""),1133.0)</f>
        <v>1133</v>
      </c>
      <c r="H1768" s="5">
        <f>IFERROR(__xludf.DUMMYFUNCTION("""COMPUTED_VALUE"""),4920.26)</f>
        <v>4920.26</v>
      </c>
      <c r="I1768" s="5">
        <f>IFERROR(__xludf.DUMMYFUNCTION("""COMPUTED_VALUE"""),9330.4)</f>
        <v>9330.4</v>
      </c>
      <c r="J1768" s="5">
        <f>IFERROR(__xludf.DUMMYFUNCTION("""COMPUTED_VALUE"""),8431.92)</f>
        <v>8431.92</v>
      </c>
      <c r="K1768" s="5">
        <f>IFERROR(__xludf.DUMMYFUNCTION("""COMPUTED_VALUE"""),626.53)</f>
        <v>626.53</v>
      </c>
      <c r="L1768" s="4">
        <f>IFERROR(__xludf.DUMMYFUNCTION("""COMPUTED_VALUE"""),16.0)</f>
        <v>16</v>
      </c>
      <c r="M1768" s="4">
        <f>IFERROR(__xludf.DUMMYFUNCTION("""COMPUTED_VALUE"""),1.0)</f>
        <v>1</v>
      </c>
      <c r="N1768" s="2" t="str">
        <f>IFERROR(__xludf.DUMMYFUNCTION("""COMPUTED_VALUE"""),"VERDADERO")</f>
        <v>VERDADERO</v>
      </c>
    </row>
    <row r="1769">
      <c r="A1769" s="2">
        <f>IFERROR(__xludf.DUMMYFUNCTION("""COMPUTED_VALUE"""),1768.0)</f>
        <v>1768</v>
      </c>
      <c r="B1769" s="2" t="str">
        <f>IFERROR(__xludf.DUMMYFUNCTION("""COMPUTED_VALUE"""),"Merna Lapidus")</f>
        <v>Merna Lapidus</v>
      </c>
      <c r="C1769" s="2" t="str">
        <f>IFERROR(__xludf.DUMMYFUNCTION("""COMPUTED_VALUE"""),"mlapiduslc@123-reg.co.uk")</f>
        <v>mlapiduslc@123-reg.co.uk</v>
      </c>
      <c r="D1769" s="4">
        <f>IFERROR(__xludf.DUMMYFUNCTION("""COMPUTED_VALUE"""),135.0)</f>
        <v>135</v>
      </c>
      <c r="E1769" s="4">
        <f>IFERROR(__xludf.DUMMYFUNCTION("""COMPUTED_VALUE"""),36.0)</f>
        <v>36</v>
      </c>
      <c r="F1769" s="4">
        <f>IFERROR(__xludf.DUMMYFUNCTION("""COMPUTED_VALUE"""),5.0)</f>
        <v>5</v>
      </c>
      <c r="G1769" s="4">
        <f>IFERROR(__xludf.DUMMYFUNCTION("""COMPUTED_VALUE"""),1452.0)</f>
        <v>1452</v>
      </c>
      <c r="H1769" s="5">
        <f>IFERROR(__xludf.DUMMYFUNCTION("""COMPUTED_VALUE"""),5228.77)</f>
        <v>5228.77</v>
      </c>
      <c r="I1769" s="5">
        <f>IFERROR(__xludf.DUMMYFUNCTION("""COMPUTED_VALUE"""),6606.2)</f>
        <v>6606.2</v>
      </c>
      <c r="J1769" s="5">
        <f>IFERROR(__xludf.DUMMYFUNCTION("""COMPUTED_VALUE"""),9612.26)</f>
        <v>9612.26</v>
      </c>
      <c r="K1769" s="5">
        <f>IFERROR(__xludf.DUMMYFUNCTION("""COMPUTED_VALUE"""),9491.76)</f>
        <v>9491.76</v>
      </c>
      <c r="L1769" s="4">
        <f>IFERROR(__xludf.DUMMYFUNCTION("""COMPUTED_VALUE"""),14.0)</f>
        <v>14</v>
      </c>
      <c r="M1769" s="4">
        <f>IFERROR(__xludf.DUMMYFUNCTION("""COMPUTED_VALUE"""),67.0)</f>
        <v>67</v>
      </c>
      <c r="N1769" s="2" t="str">
        <f>IFERROR(__xludf.DUMMYFUNCTION("""COMPUTED_VALUE"""),"FALSO")</f>
        <v>FALSO</v>
      </c>
    </row>
    <row r="1770">
      <c r="A1770" s="2">
        <f>IFERROR(__xludf.DUMMYFUNCTION("""COMPUTED_VALUE"""),1769.0)</f>
        <v>1769</v>
      </c>
      <c r="B1770" s="2" t="str">
        <f>IFERROR(__xludf.DUMMYFUNCTION("""COMPUTED_VALUE"""),"Marylee De Vries")</f>
        <v>Marylee De Vries</v>
      </c>
      <c r="C1770" s="2" t="str">
        <f>IFERROR(__xludf.DUMMYFUNCTION("""COMPUTED_VALUE"""),"mdeld@fema.gov")</f>
        <v>mdeld@fema.gov</v>
      </c>
      <c r="D1770" s="4">
        <f>IFERROR(__xludf.DUMMYFUNCTION("""COMPUTED_VALUE"""),69.0)</f>
        <v>69</v>
      </c>
      <c r="E1770" s="4">
        <f>IFERROR(__xludf.DUMMYFUNCTION("""COMPUTED_VALUE"""),81.0)</f>
        <v>81</v>
      </c>
      <c r="F1770" s="4">
        <f>IFERROR(__xludf.DUMMYFUNCTION("""COMPUTED_VALUE"""),2.0)</f>
        <v>2</v>
      </c>
      <c r="G1770" s="4">
        <f>IFERROR(__xludf.DUMMYFUNCTION("""COMPUTED_VALUE"""),86.0)</f>
        <v>86</v>
      </c>
      <c r="H1770" s="5">
        <f>IFERROR(__xludf.DUMMYFUNCTION("""COMPUTED_VALUE"""),1504.55)</f>
        <v>1504.55</v>
      </c>
      <c r="I1770" s="5">
        <f>IFERROR(__xludf.DUMMYFUNCTION("""COMPUTED_VALUE"""),1626.08)</f>
        <v>1626.08</v>
      </c>
      <c r="J1770" s="5">
        <f>IFERROR(__xludf.DUMMYFUNCTION("""COMPUTED_VALUE"""),2009.41)</f>
        <v>2009.41</v>
      </c>
      <c r="K1770" s="5">
        <f>IFERROR(__xludf.DUMMYFUNCTION("""COMPUTED_VALUE"""),7019.92)</f>
        <v>7019.92</v>
      </c>
      <c r="L1770" s="4">
        <f>IFERROR(__xludf.DUMMYFUNCTION("""COMPUTED_VALUE"""),11.0)</f>
        <v>11</v>
      </c>
      <c r="M1770" s="4">
        <f>IFERROR(__xludf.DUMMYFUNCTION("""COMPUTED_VALUE"""),96.0)</f>
        <v>96</v>
      </c>
      <c r="N1770" s="2" t="str">
        <f>IFERROR(__xludf.DUMMYFUNCTION("""COMPUTED_VALUE"""),"FALSO")</f>
        <v>FALSO</v>
      </c>
    </row>
    <row r="1771">
      <c r="A1771" s="2">
        <f>IFERROR(__xludf.DUMMYFUNCTION("""COMPUTED_VALUE"""),1770.0)</f>
        <v>1770</v>
      </c>
      <c r="B1771" s="2" t="str">
        <f>IFERROR(__xludf.DUMMYFUNCTION("""COMPUTED_VALUE"""),"Moselle Osban")</f>
        <v>Moselle Osban</v>
      </c>
      <c r="C1771" s="2" t="str">
        <f>IFERROR(__xludf.DUMMYFUNCTION("""COMPUTED_VALUE"""),"mosbanle@quantcast.com")</f>
        <v>mosbanle@quantcast.com</v>
      </c>
      <c r="D1771" s="4">
        <f>IFERROR(__xludf.DUMMYFUNCTION("""COMPUTED_VALUE"""),29.0)</f>
        <v>29</v>
      </c>
      <c r="E1771" s="4">
        <f>IFERROR(__xludf.DUMMYFUNCTION("""COMPUTED_VALUE"""),19.0)</f>
        <v>19</v>
      </c>
      <c r="F1771" s="4">
        <f>IFERROR(__xludf.DUMMYFUNCTION("""COMPUTED_VALUE"""),5.0)</f>
        <v>5</v>
      </c>
      <c r="G1771" s="4">
        <f>IFERROR(__xludf.DUMMYFUNCTION("""COMPUTED_VALUE"""),785.0)</f>
        <v>785</v>
      </c>
      <c r="H1771" s="5">
        <f>IFERROR(__xludf.DUMMYFUNCTION("""COMPUTED_VALUE"""),1943.95)</f>
        <v>1943.95</v>
      </c>
      <c r="I1771" s="5">
        <f>IFERROR(__xludf.DUMMYFUNCTION("""COMPUTED_VALUE"""),3131.21)</f>
        <v>3131.21</v>
      </c>
      <c r="J1771" s="5">
        <f>IFERROR(__xludf.DUMMYFUNCTION("""COMPUTED_VALUE"""),6753.18)</f>
        <v>6753.18</v>
      </c>
      <c r="K1771" s="5">
        <f>IFERROR(__xludf.DUMMYFUNCTION("""COMPUTED_VALUE"""),5868.16)</f>
        <v>5868.16</v>
      </c>
      <c r="L1771" s="4">
        <f>IFERROR(__xludf.DUMMYFUNCTION("""COMPUTED_VALUE"""),17.0)</f>
        <v>17</v>
      </c>
      <c r="M1771" s="4">
        <f>IFERROR(__xludf.DUMMYFUNCTION("""COMPUTED_VALUE"""),95.0)</f>
        <v>95</v>
      </c>
      <c r="N1771" s="2" t="str">
        <f>IFERROR(__xludf.DUMMYFUNCTION("""COMPUTED_VALUE"""),"FALSO")</f>
        <v>FALSO</v>
      </c>
    </row>
    <row r="1772">
      <c r="A1772" s="2">
        <f>IFERROR(__xludf.DUMMYFUNCTION("""COMPUTED_VALUE"""),1771.0)</f>
        <v>1771</v>
      </c>
      <c r="B1772" s="2" t="str">
        <f>IFERROR(__xludf.DUMMYFUNCTION("""COMPUTED_VALUE"""),"Adena Izard")</f>
        <v>Adena Izard</v>
      </c>
      <c r="C1772" s="2" t="str">
        <f>IFERROR(__xludf.DUMMYFUNCTION("""COMPUTED_VALUE"""),"aizardlf@toplist.cz")</f>
        <v>aizardlf@toplist.cz</v>
      </c>
      <c r="D1772" s="4">
        <f>IFERROR(__xludf.DUMMYFUNCTION("""COMPUTED_VALUE"""),115.0)</f>
        <v>115</v>
      </c>
      <c r="E1772" s="4">
        <f>IFERROR(__xludf.DUMMYFUNCTION("""COMPUTED_VALUE"""),81.0)</f>
        <v>81</v>
      </c>
      <c r="F1772" s="4">
        <f>IFERROR(__xludf.DUMMYFUNCTION("""COMPUTED_VALUE"""),2.0)</f>
        <v>2</v>
      </c>
      <c r="G1772" s="4">
        <f>IFERROR(__xludf.DUMMYFUNCTION("""COMPUTED_VALUE"""),1504.0)</f>
        <v>1504</v>
      </c>
      <c r="H1772" s="5">
        <f>IFERROR(__xludf.DUMMYFUNCTION("""COMPUTED_VALUE"""),8822.49)</f>
        <v>8822.49</v>
      </c>
      <c r="I1772" s="5">
        <f>IFERROR(__xludf.DUMMYFUNCTION("""COMPUTED_VALUE"""),6402.3)</f>
        <v>6402.3</v>
      </c>
      <c r="J1772" s="5">
        <f>IFERROR(__xludf.DUMMYFUNCTION("""COMPUTED_VALUE"""),9043.39)</f>
        <v>9043.39</v>
      </c>
      <c r="K1772" s="5">
        <f>IFERROR(__xludf.DUMMYFUNCTION("""COMPUTED_VALUE"""),4292.38)</f>
        <v>4292.38</v>
      </c>
      <c r="L1772" s="4">
        <f>IFERROR(__xludf.DUMMYFUNCTION("""COMPUTED_VALUE"""),7.0)</f>
        <v>7</v>
      </c>
      <c r="M1772" s="4">
        <f>IFERROR(__xludf.DUMMYFUNCTION("""COMPUTED_VALUE"""),68.0)</f>
        <v>68</v>
      </c>
      <c r="N1772" s="2" t="str">
        <f>IFERROR(__xludf.DUMMYFUNCTION("""COMPUTED_VALUE"""),"VERDADERO")</f>
        <v>VERDADERO</v>
      </c>
    </row>
    <row r="1773">
      <c r="A1773" s="2">
        <f>IFERROR(__xludf.DUMMYFUNCTION("""COMPUTED_VALUE"""),1772.0)</f>
        <v>1772</v>
      </c>
      <c r="B1773" s="2" t="str">
        <f>IFERROR(__xludf.DUMMYFUNCTION("""COMPUTED_VALUE"""),"Britte Shreenan")</f>
        <v>Britte Shreenan</v>
      </c>
      <c r="C1773" s="2" t="str">
        <f>IFERROR(__xludf.DUMMYFUNCTION("""COMPUTED_VALUE"""),"bshreenanlg@wikispaces.com")</f>
        <v>bshreenanlg@wikispaces.com</v>
      </c>
      <c r="D1773" s="4">
        <f>IFERROR(__xludf.DUMMYFUNCTION("""COMPUTED_VALUE"""),62.0)</f>
        <v>62</v>
      </c>
      <c r="E1773" s="4">
        <f>IFERROR(__xludf.DUMMYFUNCTION("""COMPUTED_VALUE"""),124.0)</f>
        <v>124</v>
      </c>
      <c r="F1773" s="4">
        <f>IFERROR(__xludf.DUMMYFUNCTION("""COMPUTED_VALUE"""),9.0)</f>
        <v>9</v>
      </c>
      <c r="G1773" s="4">
        <f>IFERROR(__xludf.DUMMYFUNCTION("""COMPUTED_VALUE"""),464.0)</f>
        <v>464</v>
      </c>
      <c r="H1773" s="5">
        <f>IFERROR(__xludf.DUMMYFUNCTION("""COMPUTED_VALUE"""),8715.17)</f>
        <v>8715.17</v>
      </c>
      <c r="I1773" s="5">
        <f>IFERROR(__xludf.DUMMYFUNCTION("""COMPUTED_VALUE"""),43.66)</f>
        <v>43.66</v>
      </c>
      <c r="J1773" s="5">
        <f>IFERROR(__xludf.DUMMYFUNCTION("""COMPUTED_VALUE"""),6314.73)</f>
        <v>6314.73</v>
      </c>
      <c r="K1773" s="5">
        <f>IFERROR(__xludf.DUMMYFUNCTION("""COMPUTED_VALUE"""),3646.32)</f>
        <v>3646.32</v>
      </c>
      <c r="L1773" s="4">
        <f>IFERROR(__xludf.DUMMYFUNCTION("""COMPUTED_VALUE"""),3.0)</f>
        <v>3</v>
      </c>
      <c r="M1773" s="4">
        <f>IFERROR(__xludf.DUMMYFUNCTION("""COMPUTED_VALUE"""),82.0)</f>
        <v>82</v>
      </c>
      <c r="N1773" s="2" t="str">
        <f>IFERROR(__xludf.DUMMYFUNCTION("""COMPUTED_VALUE"""),"FALSO")</f>
        <v>FALSO</v>
      </c>
    </row>
    <row r="1774">
      <c r="A1774" s="2">
        <f>IFERROR(__xludf.DUMMYFUNCTION("""COMPUTED_VALUE"""),1773.0)</f>
        <v>1773</v>
      </c>
      <c r="B1774" s="2" t="str">
        <f>IFERROR(__xludf.DUMMYFUNCTION("""COMPUTED_VALUE"""),"Melonie Seide")</f>
        <v>Melonie Seide</v>
      </c>
      <c r="C1774" s="2" t="str">
        <f>IFERROR(__xludf.DUMMYFUNCTION("""COMPUTED_VALUE"""),"mseidelh@a8.net")</f>
        <v>mseidelh@a8.net</v>
      </c>
      <c r="D1774" s="4">
        <f>IFERROR(__xludf.DUMMYFUNCTION("""COMPUTED_VALUE"""),124.0)</f>
        <v>124</v>
      </c>
      <c r="E1774" s="4">
        <f>IFERROR(__xludf.DUMMYFUNCTION("""COMPUTED_VALUE"""),81.0)</f>
        <v>81</v>
      </c>
      <c r="F1774" s="4">
        <f>IFERROR(__xludf.DUMMYFUNCTION("""COMPUTED_VALUE"""),2.0)</f>
        <v>2</v>
      </c>
      <c r="G1774" s="4">
        <f>IFERROR(__xludf.DUMMYFUNCTION("""COMPUTED_VALUE"""),459.0)</f>
        <v>459</v>
      </c>
      <c r="H1774" s="5">
        <f>IFERROR(__xludf.DUMMYFUNCTION("""COMPUTED_VALUE"""),8077.02)</f>
        <v>8077.02</v>
      </c>
      <c r="I1774" s="5">
        <f>IFERROR(__xludf.DUMMYFUNCTION("""COMPUTED_VALUE"""),1579.75)</f>
        <v>1579.75</v>
      </c>
      <c r="J1774" s="5">
        <f>IFERROR(__xludf.DUMMYFUNCTION("""COMPUTED_VALUE"""),3851.88)</f>
        <v>3851.88</v>
      </c>
      <c r="K1774" s="5">
        <f>IFERROR(__xludf.DUMMYFUNCTION("""COMPUTED_VALUE"""),5585.23)</f>
        <v>5585.23</v>
      </c>
      <c r="L1774" s="4">
        <f>IFERROR(__xludf.DUMMYFUNCTION("""COMPUTED_VALUE"""),15.0)</f>
        <v>15</v>
      </c>
      <c r="M1774" s="4">
        <f>IFERROR(__xludf.DUMMYFUNCTION("""COMPUTED_VALUE"""),72.0)</f>
        <v>72</v>
      </c>
      <c r="N1774" s="2" t="str">
        <f>IFERROR(__xludf.DUMMYFUNCTION("""COMPUTED_VALUE"""),"VERDADERO")</f>
        <v>VERDADERO</v>
      </c>
    </row>
    <row r="1775">
      <c r="A1775" s="2">
        <f>IFERROR(__xludf.DUMMYFUNCTION("""COMPUTED_VALUE"""),1774.0)</f>
        <v>1774</v>
      </c>
      <c r="B1775" s="2" t="str">
        <f>IFERROR(__xludf.DUMMYFUNCTION("""COMPUTED_VALUE"""),"Octavia Delos")</f>
        <v>Octavia Delos</v>
      </c>
      <c r="C1775" s="2" t="str">
        <f>IFERROR(__xludf.DUMMYFUNCTION("""COMPUTED_VALUE"""),"odelosli@fc2.com")</f>
        <v>odelosli@fc2.com</v>
      </c>
      <c r="D1775" s="4">
        <f>IFERROR(__xludf.DUMMYFUNCTION("""COMPUTED_VALUE"""),5.0)</f>
        <v>5</v>
      </c>
      <c r="E1775" s="4">
        <f>IFERROR(__xludf.DUMMYFUNCTION("""COMPUTED_VALUE"""),67.0)</f>
        <v>67</v>
      </c>
      <c r="F1775" s="4">
        <f>IFERROR(__xludf.DUMMYFUNCTION("""COMPUTED_VALUE"""),5.0)</f>
        <v>5</v>
      </c>
      <c r="G1775" s="4">
        <f>IFERROR(__xludf.DUMMYFUNCTION("""COMPUTED_VALUE"""),622.0)</f>
        <v>622</v>
      </c>
      <c r="H1775" s="5">
        <f>IFERROR(__xludf.DUMMYFUNCTION("""COMPUTED_VALUE"""),7841.16)</f>
        <v>7841.16</v>
      </c>
      <c r="I1775" s="5">
        <f>IFERROR(__xludf.DUMMYFUNCTION("""COMPUTED_VALUE"""),3857.02)</f>
        <v>3857.02</v>
      </c>
      <c r="J1775" s="5">
        <f>IFERROR(__xludf.DUMMYFUNCTION("""COMPUTED_VALUE"""),3995.68)</f>
        <v>3995.68</v>
      </c>
      <c r="K1775" s="5">
        <f>IFERROR(__xludf.DUMMYFUNCTION("""COMPUTED_VALUE"""),4620.8)</f>
        <v>4620.8</v>
      </c>
      <c r="L1775" s="4">
        <f>IFERROR(__xludf.DUMMYFUNCTION("""COMPUTED_VALUE"""),4.0)</f>
        <v>4</v>
      </c>
      <c r="M1775" s="4">
        <f>IFERROR(__xludf.DUMMYFUNCTION("""COMPUTED_VALUE"""),79.0)</f>
        <v>79</v>
      </c>
      <c r="N1775" s="2" t="str">
        <f>IFERROR(__xludf.DUMMYFUNCTION("""COMPUTED_VALUE"""),"FALSO")</f>
        <v>FALSO</v>
      </c>
    </row>
    <row r="1776">
      <c r="A1776" s="2">
        <f>IFERROR(__xludf.DUMMYFUNCTION("""COMPUTED_VALUE"""),1775.0)</f>
        <v>1775</v>
      </c>
      <c r="B1776" s="2" t="str">
        <f>IFERROR(__xludf.DUMMYFUNCTION("""COMPUTED_VALUE"""),"Marylee Feak")</f>
        <v>Marylee Feak</v>
      </c>
      <c r="C1776" s="2" t="str">
        <f>IFERROR(__xludf.DUMMYFUNCTION("""COMPUTED_VALUE"""),"mfeaklj@flickr.com")</f>
        <v>mfeaklj@flickr.com</v>
      </c>
      <c r="D1776" s="4">
        <f>IFERROR(__xludf.DUMMYFUNCTION("""COMPUTED_VALUE"""),120.0)</f>
        <v>120</v>
      </c>
      <c r="E1776" s="4">
        <f>IFERROR(__xludf.DUMMYFUNCTION("""COMPUTED_VALUE"""),81.0)</f>
        <v>81</v>
      </c>
      <c r="F1776" s="4">
        <f>IFERROR(__xludf.DUMMYFUNCTION("""COMPUTED_VALUE"""),2.0)</f>
        <v>2</v>
      </c>
      <c r="G1776" s="4">
        <f>IFERROR(__xludf.DUMMYFUNCTION("""COMPUTED_VALUE"""),1498.0)</f>
        <v>1498</v>
      </c>
      <c r="H1776" s="5">
        <f>IFERROR(__xludf.DUMMYFUNCTION("""COMPUTED_VALUE"""),6973.38)</f>
        <v>6973.38</v>
      </c>
      <c r="I1776" s="5">
        <f>IFERROR(__xludf.DUMMYFUNCTION("""COMPUTED_VALUE"""),7423.71)</f>
        <v>7423.71</v>
      </c>
      <c r="J1776" s="5">
        <f>IFERROR(__xludf.DUMMYFUNCTION("""COMPUTED_VALUE"""),8851.25)</f>
        <v>8851.25</v>
      </c>
      <c r="K1776" s="5">
        <f>IFERROR(__xludf.DUMMYFUNCTION("""COMPUTED_VALUE"""),9565.79)</f>
        <v>9565.79</v>
      </c>
      <c r="L1776" s="4">
        <f>IFERROR(__xludf.DUMMYFUNCTION("""COMPUTED_VALUE"""),2.0)</f>
        <v>2</v>
      </c>
      <c r="M1776" s="4">
        <f>IFERROR(__xludf.DUMMYFUNCTION("""COMPUTED_VALUE"""),24.0)</f>
        <v>24</v>
      </c>
      <c r="N1776" s="2" t="str">
        <f>IFERROR(__xludf.DUMMYFUNCTION("""COMPUTED_VALUE"""),"VERDADERO")</f>
        <v>VERDADERO</v>
      </c>
    </row>
    <row r="1777">
      <c r="A1777" s="2">
        <f>IFERROR(__xludf.DUMMYFUNCTION("""COMPUTED_VALUE"""),1776.0)</f>
        <v>1776</v>
      </c>
      <c r="B1777" s="2" t="str">
        <f>IFERROR(__xludf.DUMMYFUNCTION("""COMPUTED_VALUE"""),"Keven Arkill")</f>
        <v>Keven Arkill</v>
      </c>
      <c r="C1777" s="2" t="str">
        <f>IFERROR(__xludf.DUMMYFUNCTION("""COMPUTED_VALUE"""),"karkilllk@bigcartel.com")</f>
        <v>karkilllk@bigcartel.com</v>
      </c>
      <c r="D1777" s="4">
        <f>IFERROR(__xludf.DUMMYFUNCTION("""COMPUTED_VALUE"""),94.0)</f>
        <v>94</v>
      </c>
      <c r="E1777" s="4">
        <f>IFERROR(__xludf.DUMMYFUNCTION("""COMPUTED_VALUE"""),85.0)</f>
        <v>85</v>
      </c>
      <c r="F1777" s="4">
        <f>IFERROR(__xludf.DUMMYFUNCTION("""COMPUTED_VALUE"""),3.0)</f>
        <v>3</v>
      </c>
      <c r="G1777" s="4">
        <f>IFERROR(__xludf.DUMMYFUNCTION("""COMPUTED_VALUE"""),511.0)</f>
        <v>511</v>
      </c>
      <c r="H1777" s="5">
        <f>IFERROR(__xludf.DUMMYFUNCTION("""COMPUTED_VALUE"""),2327.25)</f>
        <v>2327.25</v>
      </c>
      <c r="I1777" s="5">
        <f>IFERROR(__xludf.DUMMYFUNCTION("""COMPUTED_VALUE"""),333.39)</f>
        <v>333.39</v>
      </c>
      <c r="J1777" s="5">
        <f>IFERROR(__xludf.DUMMYFUNCTION("""COMPUTED_VALUE"""),6123.32)</f>
        <v>6123.32</v>
      </c>
      <c r="K1777" s="5">
        <f>IFERROR(__xludf.DUMMYFUNCTION("""COMPUTED_VALUE"""),9829.66)</f>
        <v>9829.66</v>
      </c>
      <c r="L1777" s="4">
        <f>IFERROR(__xludf.DUMMYFUNCTION("""COMPUTED_VALUE"""),18.0)</f>
        <v>18</v>
      </c>
      <c r="M1777" s="4">
        <f>IFERROR(__xludf.DUMMYFUNCTION("""COMPUTED_VALUE"""),15.0)</f>
        <v>15</v>
      </c>
      <c r="N1777" s="2" t="str">
        <f>IFERROR(__xludf.DUMMYFUNCTION("""COMPUTED_VALUE"""),"FALSO")</f>
        <v>FALSO</v>
      </c>
    </row>
    <row r="1778">
      <c r="A1778" s="2">
        <f>IFERROR(__xludf.DUMMYFUNCTION("""COMPUTED_VALUE"""),1777.0)</f>
        <v>1777</v>
      </c>
      <c r="B1778" s="2" t="str">
        <f>IFERROR(__xludf.DUMMYFUNCTION("""COMPUTED_VALUE"""),"Dawna Geany")</f>
        <v>Dawna Geany</v>
      </c>
      <c r="C1778" s="2" t="str">
        <f>IFERROR(__xludf.DUMMYFUNCTION("""COMPUTED_VALUE"""),"dgeanyll@ed.gov")</f>
        <v>dgeanyll@ed.gov</v>
      </c>
      <c r="D1778" s="4">
        <f>IFERROR(__xludf.DUMMYFUNCTION("""COMPUTED_VALUE"""),29.0)</f>
        <v>29</v>
      </c>
      <c r="E1778" s="4">
        <f>IFERROR(__xludf.DUMMYFUNCTION("""COMPUTED_VALUE"""),111.0)</f>
        <v>111</v>
      </c>
      <c r="F1778" s="4">
        <f>IFERROR(__xludf.DUMMYFUNCTION("""COMPUTED_VALUE"""),4.0)</f>
        <v>4</v>
      </c>
      <c r="G1778" s="4">
        <f>IFERROR(__xludf.DUMMYFUNCTION("""COMPUTED_VALUE"""),1020.0)</f>
        <v>1020</v>
      </c>
      <c r="H1778" s="5">
        <f>IFERROR(__xludf.DUMMYFUNCTION("""COMPUTED_VALUE"""),8530.22)</f>
        <v>8530.22</v>
      </c>
      <c r="I1778" s="5">
        <f>IFERROR(__xludf.DUMMYFUNCTION("""COMPUTED_VALUE"""),7178.28)</f>
        <v>7178.28</v>
      </c>
      <c r="J1778" s="5">
        <f>IFERROR(__xludf.DUMMYFUNCTION("""COMPUTED_VALUE"""),5284.15)</f>
        <v>5284.15</v>
      </c>
      <c r="K1778" s="5">
        <f>IFERROR(__xludf.DUMMYFUNCTION("""COMPUTED_VALUE"""),8729.87)</f>
        <v>8729.87</v>
      </c>
      <c r="L1778" s="4">
        <f>IFERROR(__xludf.DUMMYFUNCTION("""COMPUTED_VALUE"""),7.0)</f>
        <v>7</v>
      </c>
      <c r="M1778" s="4">
        <f>IFERROR(__xludf.DUMMYFUNCTION("""COMPUTED_VALUE"""),62.0)</f>
        <v>62</v>
      </c>
      <c r="N1778" s="2" t="str">
        <f>IFERROR(__xludf.DUMMYFUNCTION("""COMPUTED_VALUE"""),"FALSO")</f>
        <v>FALSO</v>
      </c>
    </row>
    <row r="1779">
      <c r="A1779" s="2">
        <f>IFERROR(__xludf.DUMMYFUNCTION("""COMPUTED_VALUE"""),1778.0)</f>
        <v>1778</v>
      </c>
      <c r="B1779" s="2" t="str">
        <f>IFERROR(__xludf.DUMMYFUNCTION("""COMPUTED_VALUE"""),"Ludovico Teresse")</f>
        <v>Ludovico Teresse</v>
      </c>
      <c r="C1779" s="2" t="str">
        <f>IFERROR(__xludf.DUMMYFUNCTION("""COMPUTED_VALUE"""),"lteresselm@patch.com")</f>
        <v>lteresselm@patch.com</v>
      </c>
      <c r="D1779" s="4">
        <f>IFERROR(__xludf.DUMMYFUNCTION("""COMPUTED_VALUE"""),29.0)</f>
        <v>29</v>
      </c>
      <c r="E1779" s="4">
        <f>IFERROR(__xludf.DUMMYFUNCTION("""COMPUTED_VALUE"""),81.0)</f>
        <v>81</v>
      </c>
      <c r="F1779" s="4">
        <f>IFERROR(__xludf.DUMMYFUNCTION("""COMPUTED_VALUE"""),2.0)</f>
        <v>2</v>
      </c>
      <c r="G1779" s="4">
        <f>IFERROR(__xludf.DUMMYFUNCTION("""COMPUTED_VALUE"""),169.0)</f>
        <v>169</v>
      </c>
      <c r="H1779" s="5">
        <f>IFERROR(__xludf.DUMMYFUNCTION("""COMPUTED_VALUE"""),819.62)</f>
        <v>819.62</v>
      </c>
      <c r="I1779" s="5">
        <f>IFERROR(__xludf.DUMMYFUNCTION("""COMPUTED_VALUE"""),7383.89)</f>
        <v>7383.89</v>
      </c>
      <c r="J1779" s="5">
        <f>IFERROR(__xludf.DUMMYFUNCTION("""COMPUTED_VALUE"""),1257.12)</f>
        <v>1257.12</v>
      </c>
      <c r="K1779" s="5">
        <f>IFERROR(__xludf.DUMMYFUNCTION("""COMPUTED_VALUE"""),8032.09)</f>
        <v>8032.09</v>
      </c>
      <c r="L1779" s="4">
        <f>IFERROR(__xludf.DUMMYFUNCTION("""COMPUTED_VALUE"""),5.0)</f>
        <v>5</v>
      </c>
      <c r="M1779" s="4">
        <f>IFERROR(__xludf.DUMMYFUNCTION("""COMPUTED_VALUE"""),77.0)</f>
        <v>77</v>
      </c>
      <c r="N1779" s="2" t="str">
        <f>IFERROR(__xludf.DUMMYFUNCTION("""COMPUTED_VALUE"""),"VERDADERO")</f>
        <v>VERDADERO</v>
      </c>
    </row>
    <row r="1780">
      <c r="A1780" s="2">
        <f>IFERROR(__xludf.DUMMYFUNCTION("""COMPUTED_VALUE"""),1779.0)</f>
        <v>1779</v>
      </c>
      <c r="B1780" s="2" t="str">
        <f>IFERROR(__xludf.DUMMYFUNCTION("""COMPUTED_VALUE"""),"Kerr Poundford")</f>
        <v>Kerr Poundford</v>
      </c>
      <c r="C1780" s="2" t="str">
        <f>IFERROR(__xludf.DUMMYFUNCTION("""COMPUTED_VALUE"""),"kpoundfordln@salon.com")</f>
        <v>kpoundfordln@salon.com</v>
      </c>
      <c r="D1780" s="4">
        <f>IFERROR(__xludf.DUMMYFUNCTION("""COMPUTED_VALUE"""),65.0)</f>
        <v>65</v>
      </c>
      <c r="E1780" s="4">
        <f>IFERROR(__xludf.DUMMYFUNCTION("""COMPUTED_VALUE"""),85.0)</f>
        <v>85</v>
      </c>
      <c r="F1780" s="4">
        <f>IFERROR(__xludf.DUMMYFUNCTION("""COMPUTED_VALUE"""),3.0)</f>
        <v>3</v>
      </c>
      <c r="G1780" s="4">
        <f>IFERROR(__xludf.DUMMYFUNCTION("""COMPUTED_VALUE"""),511.0)</f>
        <v>511</v>
      </c>
      <c r="H1780" s="5">
        <f>IFERROR(__xludf.DUMMYFUNCTION("""COMPUTED_VALUE"""),7960.45)</f>
        <v>7960.45</v>
      </c>
      <c r="I1780" s="5">
        <f>IFERROR(__xludf.DUMMYFUNCTION("""COMPUTED_VALUE"""),620.05)</f>
        <v>620.05</v>
      </c>
      <c r="J1780" s="5">
        <f>IFERROR(__xludf.DUMMYFUNCTION("""COMPUTED_VALUE"""),2107.95)</f>
        <v>2107.95</v>
      </c>
      <c r="K1780" s="5">
        <f>IFERROR(__xludf.DUMMYFUNCTION("""COMPUTED_VALUE"""),9090.22)</f>
        <v>9090.22</v>
      </c>
      <c r="L1780" s="4">
        <f>IFERROR(__xludf.DUMMYFUNCTION("""COMPUTED_VALUE"""),20.0)</f>
        <v>20</v>
      </c>
      <c r="M1780" s="4">
        <f>IFERROR(__xludf.DUMMYFUNCTION("""COMPUTED_VALUE"""),20.0)</f>
        <v>20</v>
      </c>
      <c r="N1780" s="2" t="str">
        <f>IFERROR(__xludf.DUMMYFUNCTION("""COMPUTED_VALUE"""),"FALSO")</f>
        <v>FALSO</v>
      </c>
    </row>
    <row r="1781">
      <c r="A1781" s="2">
        <f>IFERROR(__xludf.DUMMYFUNCTION("""COMPUTED_VALUE"""),1780.0)</f>
        <v>1780</v>
      </c>
      <c r="B1781" s="2" t="str">
        <f>IFERROR(__xludf.DUMMYFUNCTION("""COMPUTED_VALUE"""),"Gualterio Kondratenya")</f>
        <v>Gualterio Kondratenya</v>
      </c>
      <c r="C1781" s="2" t="str">
        <f>IFERROR(__xludf.DUMMYFUNCTION("""COMPUTED_VALUE"""),"gkondratenyalo@senate.gov")</f>
        <v>gkondratenyalo@senate.gov</v>
      </c>
      <c r="D1781" s="4">
        <f>IFERROR(__xludf.DUMMYFUNCTION("""COMPUTED_VALUE"""),3.0)</f>
        <v>3</v>
      </c>
      <c r="E1781" s="4">
        <f>IFERROR(__xludf.DUMMYFUNCTION("""COMPUTED_VALUE"""),64.0)</f>
        <v>64</v>
      </c>
      <c r="F1781" s="4">
        <f>IFERROR(__xludf.DUMMYFUNCTION("""COMPUTED_VALUE"""),4.0)</f>
        <v>4</v>
      </c>
      <c r="G1781" s="4">
        <f>IFERROR(__xludf.DUMMYFUNCTION("""COMPUTED_VALUE"""),914.0)</f>
        <v>914</v>
      </c>
      <c r="H1781" s="5">
        <f>IFERROR(__xludf.DUMMYFUNCTION("""COMPUTED_VALUE"""),677.5)</f>
        <v>677.5</v>
      </c>
      <c r="I1781" s="5">
        <f>IFERROR(__xludf.DUMMYFUNCTION("""COMPUTED_VALUE"""),7665.5)</f>
        <v>7665.5</v>
      </c>
      <c r="J1781" s="5">
        <f>IFERROR(__xludf.DUMMYFUNCTION("""COMPUTED_VALUE"""),89.06)</f>
        <v>89.06</v>
      </c>
      <c r="K1781" s="5">
        <f>IFERROR(__xludf.DUMMYFUNCTION("""COMPUTED_VALUE"""),241.72)</f>
        <v>241.72</v>
      </c>
      <c r="L1781" s="4">
        <f>IFERROR(__xludf.DUMMYFUNCTION("""COMPUTED_VALUE"""),14.0)</f>
        <v>14</v>
      </c>
      <c r="M1781" s="4">
        <f>IFERROR(__xludf.DUMMYFUNCTION("""COMPUTED_VALUE"""),79.0)</f>
        <v>79</v>
      </c>
      <c r="N1781" s="2" t="str">
        <f>IFERROR(__xludf.DUMMYFUNCTION("""COMPUTED_VALUE"""),"VERDADERO")</f>
        <v>VERDADERO</v>
      </c>
    </row>
    <row r="1782">
      <c r="A1782" s="2">
        <f>IFERROR(__xludf.DUMMYFUNCTION("""COMPUTED_VALUE"""),1781.0)</f>
        <v>1781</v>
      </c>
      <c r="B1782" s="2" t="str">
        <f>IFERROR(__xludf.DUMMYFUNCTION("""COMPUTED_VALUE"""),"Donnamarie Yglesia")</f>
        <v>Donnamarie Yglesia</v>
      </c>
      <c r="C1782" s="2" t="str">
        <f>IFERROR(__xludf.DUMMYFUNCTION("""COMPUTED_VALUE"""),"dyglesialp@goo.gl")</f>
        <v>dyglesialp@goo.gl</v>
      </c>
      <c r="D1782" s="4">
        <f>IFERROR(__xludf.DUMMYFUNCTION("""COMPUTED_VALUE"""),15.0)</f>
        <v>15</v>
      </c>
      <c r="E1782" s="4">
        <f>IFERROR(__xludf.DUMMYFUNCTION("""COMPUTED_VALUE"""),104.0)</f>
        <v>104</v>
      </c>
      <c r="F1782" s="4">
        <f>IFERROR(__xludf.DUMMYFUNCTION("""COMPUTED_VALUE"""),11.0)</f>
        <v>11</v>
      </c>
      <c r="G1782" s="4">
        <f>IFERROR(__xludf.DUMMYFUNCTION("""COMPUTED_VALUE"""),1131.0)</f>
        <v>1131</v>
      </c>
      <c r="H1782" s="5">
        <f>IFERROR(__xludf.DUMMYFUNCTION("""COMPUTED_VALUE"""),7373.05)</f>
        <v>7373.05</v>
      </c>
      <c r="I1782" s="5">
        <f>IFERROR(__xludf.DUMMYFUNCTION("""COMPUTED_VALUE"""),8156.79)</f>
        <v>8156.79</v>
      </c>
      <c r="J1782" s="5">
        <f>IFERROR(__xludf.DUMMYFUNCTION("""COMPUTED_VALUE"""),6729.96)</f>
        <v>6729.96</v>
      </c>
      <c r="K1782" s="5">
        <f>IFERROR(__xludf.DUMMYFUNCTION("""COMPUTED_VALUE"""),3311.52)</f>
        <v>3311.52</v>
      </c>
      <c r="L1782" s="4">
        <f>IFERROR(__xludf.DUMMYFUNCTION("""COMPUTED_VALUE"""),16.0)</f>
        <v>16</v>
      </c>
      <c r="M1782" s="4">
        <f>IFERROR(__xludf.DUMMYFUNCTION("""COMPUTED_VALUE"""),73.0)</f>
        <v>73</v>
      </c>
      <c r="N1782" s="2" t="str">
        <f>IFERROR(__xludf.DUMMYFUNCTION("""COMPUTED_VALUE"""),"FALSO")</f>
        <v>FALSO</v>
      </c>
    </row>
    <row r="1783">
      <c r="A1783" s="2">
        <f>IFERROR(__xludf.DUMMYFUNCTION("""COMPUTED_VALUE"""),1782.0)</f>
        <v>1782</v>
      </c>
      <c r="B1783" s="2" t="str">
        <f>IFERROR(__xludf.DUMMYFUNCTION("""COMPUTED_VALUE"""),"Aurore Philson")</f>
        <v>Aurore Philson</v>
      </c>
      <c r="C1783" s="2" t="str">
        <f>IFERROR(__xludf.DUMMYFUNCTION("""COMPUTED_VALUE"""),"aphilsonlq@hhs.gov")</f>
        <v>aphilsonlq@hhs.gov</v>
      </c>
      <c r="D1783" s="4">
        <f>IFERROR(__xludf.DUMMYFUNCTION("""COMPUTED_VALUE"""),29.0)</f>
        <v>29</v>
      </c>
      <c r="E1783" s="4">
        <f>IFERROR(__xludf.DUMMYFUNCTION("""COMPUTED_VALUE"""),21.0)</f>
        <v>21</v>
      </c>
      <c r="F1783" s="4">
        <f>IFERROR(__xludf.DUMMYFUNCTION("""COMPUTED_VALUE"""),4.0)</f>
        <v>4</v>
      </c>
      <c r="G1783" s="4">
        <f>IFERROR(__xludf.DUMMYFUNCTION("""COMPUTED_VALUE"""),676.0)</f>
        <v>676</v>
      </c>
      <c r="H1783" s="5">
        <f>IFERROR(__xludf.DUMMYFUNCTION("""COMPUTED_VALUE"""),1124.12)</f>
        <v>1124.12</v>
      </c>
      <c r="I1783" s="5">
        <f>IFERROR(__xludf.DUMMYFUNCTION("""COMPUTED_VALUE"""),8757.69)</f>
        <v>8757.69</v>
      </c>
      <c r="J1783" s="5">
        <f>IFERROR(__xludf.DUMMYFUNCTION("""COMPUTED_VALUE"""),7449.85)</f>
        <v>7449.85</v>
      </c>
      <c r="K1783" s="5">
        <f>IFERROR(__xludf.DUMMYFUNCTION("""COMPUTED_VALUE"""),6718.38)</f>
        <v>6718.38</v>
      </c>
      <c r="L1783" s="4">
        <f>IFERROR(__xludf.DUMMYFUNCTION("""COMPUTED_VALUE"""),11.0)</f>
        <v>11</v>
      </c>
      <c r="M1783" s="4">
        <f>IFERROR(__xludf.DUMMYFUNCTION("""COMPUTED_VALUE"""),46.0)</f>
        <v>46</v>
      </c>
      <c r="N1783" s="2" t="str">
        <f>IFERROR(__xludf.DUMMYFUNCTION("""COMPUTED_VALUE"""),"VERDADERO")</f>
        <v>VERDADERO</v>
      </c>
    </row>
    <row r="1784">
      <c r="A1784" s="2">
        <f>IFERROR(__xludf.DUMMYFUNCTION("""COMPUTED_VALUE"""),1783.0)</f>
        <v>1783</v>
      </c>
      <c r="B1784" s="2" t="str">
        <f>IFERROR(__xludf.DUMMYFUNCTION("""COMPUTED_VALUE"""),"Townie Cavet")</f>
        <v>Townie Cavet</v>
      </c>
      <c r="C1784" s="2" t="str">
        <f>IFERROR(__xludf.DUMMYFUNCTION("""COMPUTED_VALUE"""),"tcavetlr@washington.edu")</f>
        <v>tcavetlr@washington.edu</v>
      </c>
      <c r="D1784" s="4">
        <f>IFERROR(__xludf.DUMMYFUNCTION("""COMPUTED_VALUE"""),65.0)</f>
        <v>65</v>
      </c>
      <c r="E1784" s="4">
        <f>IFERROR(__xludf.DUMMYFUNCTION("""COMPUTED_VALUE"""),112.0)</f>
        <v>112</v>
      </c>
      <c r="F1784" s="4">
        <f>IFERROR(__xludf.DUMMYFUNCTION("""COMPUTED_VALUE"""),11.0)</f>
        <v>11</v>
      </c>
      <c r="G1784" s="4">
        <f>IFERROR(__xludf.DUMMYFUNCTION("""COMPUTED_VALUE"""),20.0)</f>
        <v>20</v>
      </c>
      <c r="H1784" s="5">
        <f>IFERROR(__xludf.DUMMYFUNCTION("""COMPUTED_VALUE"""),4845.11)</f>
        <v>4845.11</v>
      </c>
      <c r="I1784" s="5">
        <f>IFERROR(__xludf.DUMMYFUNCTION("""COMPUTED_VALUE"""),1587.6)</f>
        <v>1587.6</v>
      </c>
      <c r="J1784" s="5">
        <f>IFERROR(__xludf.DUMMYFUNCTION("""COMPUTED_VALUE"""),9317.35)</f>
        <v>9317.35</v>
      </c>
      <c r="K1784" s="5">
        <f>IFERROR(__xludf.DUMMYFUNCTION("""COMPUTED_VALUE"""),4355.91)</f>
        <v>4355.91</v>
      </c>
      <c r="L1784" s="4">
        <f>IFERROR(__xludf.DUMMYFUNCTION("""COMPUTED_VALUE"""),10.0)</f>
        <v>10</v>
      </c>
      <c r="M1784" s="4">
        <f>IFERROR(__xludf.DUMMYFUNCTION("""COMPUTED_VALUE"""),91.0)</f>
        <v>91</v>
      </c>
      <c r="N1784" s="2" t="str">
        <f>IFERROR(__xludf.DUMMYFUNCTION("""COMPUTED_VALUE"""),"FALSO")</f>
        <v>FALSO</v>
      </c>
    </row>
    <row r="1785">
      <c r="A1785" s="2">
        <f>IFERROR(__xludf.DUMMYFUNCTION("""COMPUTED_VALUE"""),1784.0)</f>
        <v>1784</v>
      </c>
      <c r="B1785" s="2" t="str">
        <f>IFERROR(__xludf.DUMMYFUNCTION("""COMPUTED_VALUE"""),"Barbabra Jarvis")</f>
        <v>Barbabra Jarvis</v>
      </c>
      <c r="C1785" s="2" t="str">
        <f>IFERROR(__xludf.DUMMYFUNCTION("""COMPUTED_VALUE"""),"bjarvisls@hc360.com")</f>
        <v>bjarvisls@hc360.com</v>
      </c>
      <c r="D1785" s="4">
        <f>IFERROR(__xludf.DUMMYFUNCTION("""COMPUTED_VALUE"""),150.0)</f>
        <v>150</v>
      </c>
      <c r="E1785" s="4">
        <f>IFERROR(__xludf.DUMMYFUNCTION("""COMPUTED_VALUE"""),107.0)</f>
        <v>107</v>
      </c>
      <c r="F1785" s="4">
        <f>IFERROR(__xludf.DUMMYFUNCTION("""COMPUTED_VALUE"""),5.0)</f>
        <v>5</v>
      </c>
      <c r="G1785" s="4">
        <f>IFERROR(__xludf.DUMMYFUNCTION("""COMPUTED_VALUE"""),1426.0)</f>
        <v>1426</v>
      </c>
      <c r="H1785" s="5">
        <f>IFERROR(__xludf.DUMMYFUNCTION("""COMPUTED_VALUE"""),1721.41)</f>
        <v>1721.41</v>
      </c>
      <c r="I1785" s="5">
        <f>IFERROR(__xludf.DUMMYFUNCTION("""COMPUTED_VALUE"""),9161.48)</f>
        <v>9161.48</v>
      </c>
      <c r="J1785" s="5">
        <f>IFERROR(__xludf.DUMMYFUNCTION("""COMPUTED_VALUE"""),3123.29)</f>
        <v>3123.29</v>
      </c>
      <c r="K1785" s="5">
        <f>IFERROR(__xludf.DUMMYFUNCTION("""COMPUTED_VALUE"""),8312.01)</f>
        <v>8312.01</v>
      </c>
      <c r="L1785" s="4">
        <f>IFERROR(__xludf.DUMMYFUNCTION("""COMPUTED_VALUE"""),5.0)</f>
        <v>5</v>
      </c>
      <c r="M1785" s="4">
        <f>IFERROR(__xludf.DUMMYFUNCTION("""COMPUTED_VALUE"""),25.0)</f>
        <v>25</v>
      </c>
      <c r="N1785" s="2" t="str">
        <f>IFERROR(__xludf.DUMMYFUNCTION("""COMPUTED_VALUE"""),"FALSO")</f>
        <v>FALSO</v>
      </c>
    </row>
    <row r="1786">
      <c r="A1786" s="2">
        <f>IFERROR(__xludf.DUMMYFUNCTION("""COMPUTED_VALUE"""),1785.0)</f>
        <v>1785</v>
      </c>
      <c r="B1786" s="2" t="str">
        <f>IFERROR(__xludf.DUMMYFUNCTION("""COMPUTED_VALUE"""),"Julee Aldie")</f>
        <v>Julee Aldie</v>
      </c>
      <c r="C1786" s="2" t="str">
        <f>IFERROR(__xludf.DUMMYFUNCTION("""COMPUTED_VALUE"""),"jaldielt@blogs.com")</f>
        <v>jaldielt@blogs.com</v>
      </c>
      <c r="D1786" s="4">
        <f>IFERROR(__xludf.DUMMYFUNCTION("""COMPUTED_VALUE"""),55.0)</f>
        <v>55</v>
      </c>
      <c r="E1786" s="4">
        <f>IFERROR(__xludf.DUMMYFUNCTION("""COMPUTED_VALUE"""),112.0)</f>
        <v>112</v>
      </c>
      <c r="F1786" s="4">
        <f>IFERROR(__xludf.DUMMYFUNCTION("""COMPUTED_VALUE"""),11.0)</f>
        <v>11</v>
      </c>
      <c r="G1786" s="4">
        <f>IFERROR(__xludf.DUMMYFUNCTION("""COMPUTED_VALUE"""),951.0)</f>
        <v>951</v>
      </c>
      <c r="H1786" s="5">
        <f>IFERROR(__xludf.DUMMYFUNCTION("""COMPUTED_VALUE"""),8338.24)</f>
        <v>8338.24</v>
      </c>
      <c r="I1786" s="5">
        <f>IFERROR(__xludf.DUMMYFUNCTION("""COMPUTED_VALUE"""),6944.56)</f>
        <v>6944.56</v>
      </c>
      <c r="J1786" s="5">
        <f>IFERROR(__xludf.DUMMYFUNCTION("""COMPUTED_VALUE"""),5111.89)</f>
        <v>5111.89</v>
      </c>
      <c r="K1786" s="5">
        <f>IFERROR(__xludf.DUMMYFUNCTION("""COMPUTED_VALUE"""),9473.97)</f>
        <v>9473.97</v>
      </c>
      <c r="L1786" s="4">
        <f>IFERROR(__xludf.DUMMYFUNCTION("""COMPUTED_VALUE"""),6.0)</f>
        <v>6</v>
      </c>
      <c r="M1786" s="4">
        <f>IFERROR(__xludf.DUMMYFUNCTION("""COMPUTED_VALUE"""),28.0)</f>
        <v>28</v>
      </c>
      <c r="N1786" s="2" t="str">
        <f>IFERROR(__xludf.DUMMYFUNCTION("""COMPUTED_VALUE"""),"FALSO")</f>
        <v>FALSO</v>
      </c>
    </row>
    <row r="1787">
      <c r="A1787" s="2">
        <f>IFERROR(__xludf.DUMMYFUNCTION("""COMPUTED_VALUE"""),1786.0)</f>
        <v>1786</v>
      </c>
      <c r="B1787" s="2" t="str">
        <f>IFERROR(__xludf.DUMMYFUNCTION("""COMPUTED_VALUE"""),"King Cockren")</f>
        <v>King Cockren</v>
      </c>
      <c r="C1787" s="2" t="str">
        <f>IFERROR(__xludf.DUMMYFUNCTION("""COMPUTED_VALUE"""),"kcockrenlu@unc.edu")</f>
        <v>kcockrenlu@unc.edu</v>
      </c>
      <c r="D1787" s="4">
        <f>IFERROR(__xludf.DUMMYFUNCTION("""COMPUTED_VALUE"""),119.0)</f>
        <v>119</v>
      </c>
      <c r="E1787" s="4">
        <f>IFERROR(__xludf.DUMMYFUNCTION("""COMPUTED_VALUE"""),112.0)</f>
        <v>112</v>
      </c>
      <c r="F1787" s="4">
        <f>IFERROR(__xludf.DUMMYFUNCTION("""COMPUTED_VALUE"""),11.0)</f>
        <v>11</v>
      </c>
      <c r="G1787" s="4">
        <f>IFERROR(__xludf.DUMMYFUNCTION("""COMPUTED_VALUE"""),416.0)</f>
        <v>416</v>
      </c>
      <c r="H1787" s="5">
        <f>IFERROR(__xludf.DUMMYFUNCTION("""COMPUTED_VALUE"""),1776.85)</f>
        <v>1776.85</v>
      </c>
      <c r="I1787" s="5">
        <f>IFERROR(__xludf.DUMMYFUNCTION("""COMPUTED_VALUE"""),3282.32)</f>
        <v>3282.32</v>
      </c>
      <c r="J1787" s="5">
        <f>IFERROR(__xludf.DUMMYFUNCTION("""COMPUTED_VALUE"""),5702.12)</f>
        <v>5702.12</v>
      </c>
      <c r="K1787" s="5">
        <f>IFERROR(__xludf.DUMMYFUNCTION("""COMPUTED_VALUE"""),964.69)</f>
        <v>964.69</v>
      </c>
      <c r="L1787" s="4">
        <f>IFERROR(__xludf.DUMMYFUNCTION("""COMPUTED_VALUE"""),7.0)</f>
        <v>7</v>
      </c>
      <c r="M1787" s="4">
        <f>IFERROR(__xludf.DUMMYFUNCTION("""COMPUTED_VALUE"""),34.0)</f>
        <v>34</v>
      </c>
      <c r="N1787" s="2" t="str">
        <f>IFERROR(__xludf.DUMMYFUNCTION("""COMPUTED_VALUE"""),"FALSO")</f>
        <v>FALSO</v>
      </c>
    </row>
    <row r="1788">
      <c r="A1788" s="2">
        <f>IFERROR(__xludf.DUMMYFUNCTION("""COMPUTED_VALUE"""),1787.0)</f>
        <v>1787</v>
      </c>
      <c r="B1788" s="2" t="str">
        <f>IFERROR(__xludf.DUMMYFUNCTION("""COMPUTED_VALUE"""),"Cyrillus Helstrip")</f>
        <v>Cyrillus Helstrip</v>
      </c>
      <c r="C1788" s="2" t="str">
        <f>IFERROR(__xludf.DUMMYFUNCTION("""COMPUTED_VALUE"""),"chelstriplv@reddit.com")</f>
        <v>chelstriplv@reddit.com</v>
      </c>
      <c r="D1788" s="4">
        <f>IFERROR(__xludf.DUMMYFUNCTION("""COMPUTED_VALUE"""),2.0)</f>
        <v>2</v>
      </c>
      <c r="E1788" s="4">
        <f>IFERROR(__xludf.DUMMYFUNCTION("""COMPUTED_VALUE"""),119.0)</f>
        <v>119</v>
      </c>
      <c r="F1788" s="4">
        <f>IFERROR(__xludf.DUMMYFUNCTION("""COMPUTED_VALUE"""),1.0)</f>
        <v>1</v>
      </c>
      <c r="G1788" s="4">
        <f>IFERROR(__xludf.DUMMYFUNCTION("""COMPUTED_VALUE"""),38.0)</f>
        <v>38</v>
      </c>
      <c r="H1788" s="5">
        <f>IFERROR(__xludf.DUMMYFUNCTION("""COMPUTED_VALUE"""),8651.02)</f>
        <v>8651.02</v>
      </c>
      <c r="I1788" s="5">
        <f>IFERROR(__xludf.DUMMYFUNCTION("""COMPUTED_VALUE"""),882.54)</f>
        <v>882.54</v>
      </c>
      <c r="J1788" s="5">
        <f>IFERROR(__xludf.DUMMYFUNCTION("""COMPUTED_VALUE"""),4244.02)</f>
        <v>4244.02</v>
      </c>
      <c r="K1788" s="5">
        <f>IFERROR(__xludf.DUMMYFUNCTION("""COMPUTED_VALUE"""),6930.85)</f>
        <v>6930.85</v>
      </c>
      <c r="L1788" s="4">
        <f>IFERROR(__xludf.DUMMYFUNCTION("""COMPUTED_VALUE"""),8.0)</f>
        <v>8</v>
      </c>
      <c r="M1788" s="4">
        <f>IFERROR(__xludf.DUMMYFUNCTION("""COMPUTED_VALUE"""),12.0)</f>
        <v>12</v>
      </c>
      <c r="N1788" s="2" t="str">
        <f>IFERROR(__xludf.DUMMYFUNCTION("""COMPUTED_VALUE"""),"VERDADERO")</f>
        <v>VERDADERO</v>
      </c>
    </row>
    <row r="1789">
      <c r="A1789" s="2">
        <f>IFERROR(__xludf.DUMMYFUNCTION("""COMPUTED_VALUE"""),1788.0)</f>
        <v>1788</v>
      </c>
      <c r="B1789" s="2" t="str">
        <f>IFERROR(__xludf.DUMMYFUNCTION("""COMPUTED_VALUE"""),"Zoe Geri")</f>
        <v>Zoe Geri</v>
      </c>
      <c r="C1789" s="2" t="str">
        <f>IFERROR(__xludf.DUMMYFUNCTION("""COMPUTED_VALUE"""),"zgerilw@kickstarter.com")</f>
        <v>zgerilw@kickstarter.com</v>
      </c>
      <c r="D1789" s="4">
        <f>IFERROR(__xludf.DUMMYFUNCTION("""COMPUTED_VALUE"""),49.0)</f>
        <v>49</v>
      </c>
      <c r="E1789" s="4">
        <f>IFERROR(__xludf.DUMMYFUNCTION("""COMPUTED_VALUE"""),81.0)</f>
        <v>81</v>
      </c>
      <c r="F1789" s="4">
        <f>IFERROR(__xludf.DUMMYFUNCTION("""COMPUTED_VALUE"""),2.0)</f>
        <v>2</v>
      </c>
      <c r="G1789" s="4">
        <f>IFERROR(__xludf.DUMMYFUNCTION("""COMPUTED_VALUE"""),546.0)</f>
        <v>546</v>
      </c>
      <c r="H1789" s="5">
        <f>IFERROR(__xludf.DUMMYFUNCTION("""COMPUTED_VALUE"""),3780.25)</f>
        <v>3780.25</v>
      </c>
      <c r="I1789" s="5">
        <f>IFERROR(__xludf.DUMMYFUNCTION("""COMPUTED_VALUE"""),1237.92)</f>
        <v>1237.92</v>
      </c>
      <c r="J1789" s="5">
        <f>IFERROR(__xludf.DUMMYFUNCTION("""COMPUTED_VALUE"""),9942.2)</f>
        <v>9942.2</v>
      </c>
      <c r="K1789" s="5">
        <f>IFERROR(__xludf.DUMMYFUNCTION("""COMPUTED_VALUE"""),3230.44)</f>
        <v>3230.44</v>
      </c>
      <c r="L1789" s="4">
        <f>IFERROR(__xludf.DUMMYFUNCTION("""COMPUTED_VALUE"""),18.0)</f>
        <v>18</v>
      </c>
      <c r="M1789" s="4">
        <f>IFERROR(__xludf.DUMMYFUNCTION("""COMPUTED_VALUE"""),40.0)</f>
        <v>40</v>
      </c>
      <c r="N1789" s="2" t="str">
        <f>IFERROR(__xludf.DUMMYFUNCTION("""COMPUTED_VALUE"""),"FALSO")</f>
        <v>FALSO</v>
      </c>
    </row>
    <row r="1790">
      <c r="A1790" s="2">
        <f>IFERROR(__xludf.DUMMYFUNCTION("""COMPUTED_VALUE"""),1789.0)</f>
        <v>1789</v>
      </c>
      <c r="B1790" s="2" t="str">
        <f>IFERROR(__xludf.DUMMYFUNCTION("""COMPUTED_VALUE"""),"Madelin Kenward")</f>
        <v>Madelin Kenward</v>
      </c>
      <c r="C1790" s="2" t="str">
        <f>IFERROR(__xludf.DUMMYFUNCTION("""COMPUTED_VALUE"""),"mkenwardlx@about.com")</f>
        <v>mkenwardlx@about.com</v>
      </c>
      <c r="D1790" s="4">
        <f>IFERROR(__xludf.DUMMYFUNCTION("""COMPUTED_VALUE"""),39.0)</f>
        <v>39</v>
      </c>
      <c r="E1790" s="4">
        <f>IFERROR(__xludf.DUMMYFUNCTION("""COMPUTED_VALUE"""),81.0)</f>
        <v>81</v>
      </c>
      <c r="F1790" s="4">
        <f>IFERROR(__xludf.DUMMYFUNCTION("""COMPUTED_VALUE"""),2.0)</f>
        <v>2</v>
      </c>
      <c r="G1790" s="4">
        <f>IFERROR(__xludf.DUMMYFUNCTION("""COMPUTED_VALUE"""),1551.0)</f>
        <v>1551</v>
      </c>
      <c r="H1790" s="5">
        <f>IFERROR(__xludf.DUMMYFUNCTION("""COMPUTED_VALUE"""),5341.33)</f>
        <v>5341.33</v>
      </c>
      <c r="I1790" s="5">
        <f>IFERROR(__xludf.DUMMYFUNCTION("""COMPUTED_VALUE"""),6251.52)</f>
        <v>6251.52</v>
      </c>
      <c r="J1790" s="5">
        <f>IFERROR(__xludf.DUMMYFUNCTION("""COMPUTED_VALUE"""),7235.64)</f>
        <v>7235.64</v>
      </c>
      <c r="K1790" s="5">
        <f>IFERROR(__xludf.DUMMYFUNCTION("""COMPUTED_VALUE"""),9149.07)</f>
        <v>9149.07</v>
      </c>
      <c r="L1790" s="4">
        <f>IFERROR(__xludf.DUMMYFUNCTION("""COMPUTED_VALUE"""),11.0)</f>
        <v>11</v>
      </c>
      <c r="M1790" s="4">
        <f>IFERROR(__xludf.DUMMYFUNCTION("""COMPUTED_VALUE"""),28.0)</f>
        <v>28</v>
      </c>
      <c r="N1790" s="2" t="str">
        <f>IFERROR(__xludf.DUMMYFUNCTION("""COMPUTED_VALUE"""),"VERDADERO")</f>
        <v>VERDADERO</v>
      </c>
    </row>
    <row r="1791">
      <c r="A1791" s="2">
        <f>IFERROR(__xludf.DUMMYFUNCTION("""COMPUTED_VALUE"""),1790.0)</f>
        <v>1790</v>
      </c>
      <c r="B1791" s="2" t="str">
        <f>IFERROR(__xludf.DUMMYFUNCTION("""COMPUTED_VALUE"""),"Faina Hornig")</f>
        <v>Faina Hornig</v>
      </c>
      <c r="C1791" s="2" t="str">
        <f>IFERROR(__xludf.DUMMYFUNCTION("""COMPUTED_VALUE"""),"fhornigly@soup.io")</f>
        <v>fhornigly@soup.io</v>
      </c>
      <c r="D1791" s="4">
        <f>IFERROR(__xludf.DUMMYFUNCTION("""COMPUTED_VALUE"""),89.0)</f>
        <v>89</v>
      </c>
      <c r="E1791" s="4">
        <f>IFERROR(__xludf.DUMMYFUNCTION("""COMPUTED_VALUE"""),119.0)</f>
        <v>119</v>
      </c>
      <c r="F1791" s="4">
        <f>IFERROR(__xludf.DUMMYFUNCTION("""COMPUTED_VALUE"""),5.0)</f>
        <v>5</v>
      </c>
      <c r="G1791" s="4">
        <f>IFERROR(__xludf.DUMMYFUNCTION("""COMPUTED_VALUE"""),159.0)</f>
        <v>159</v>
      </c>
      <c r="H1791" s="5">
        <f>IFERROR(__xludf.DUMMYFUNCTION("""COMPUTED_VALUE"""),606.24)</f>
        <v>606.24</v>
      </c>
      <c r="I1791" s="5">
        <f>IFERROR(__xludf.DUMMYFUNCTION("""COMPUTED_VALUE"""),7212.44)</f>
        <v>7212.44</v>
      </c>
      <c r="J1791" s="5">
        <f>IFERROR(__xludf.DUMMYFUNCTION("""COMPUTED_VALUE"""),2759.35)</f>
        <v>2759.35</v>
      </c>
      <c r="K1791" s="5">
        <f>IFERROR(__xludf.DUMMYFUNCTION("""COMPUTED_VALUE"""),6102.81)</f>
        <v>6102.81</v>
      </c>
      <c r="L1791" s="4">
        <f>IFERROR(__xludf.DUMMYFUNCTION("""COMPUTED_VALUE"""),14.0)</f>
        <v>14</v>
      </c>
      <c r="M1791" s="4">
        <f>IFERROR(__xludf.DUMMYFUNCTION("""COMPUTED_VALUE"""),46.0)</f>
        <v>46</v>
      </c>
      <c r="N1791" s="2" t="str">
        <f>IFERROR(__xludf.DUMMYFUNCTION("""COMPUTED_VALUE"""),"FALSO")</f>
        <v>FALSO</v>
      </c>
    </row>
    <row r="1792">
      <c r="A1792" s="2">
        <f>IFERROR(__xludf.DUMMYFUNCTION("""COMPUTED_VALUE"""),1791.0)</f>
        <v>1791</v>
      </c>
      <c r="B1792" s="2" t="str">
        <f>IFERROR(__xludf.DUMMYFUNCTION("""COMPUTED_VALUE"""),"Alyssa Renals")</f>
        <v>Alyssa Renals</v>
      </c>
      <c r="C1792" s="2" t="str">
        <f>IFERROR(__xludf.DUMMYFUNCTION("""COMPUTED_VALUE"""),"arenalslz@cmu.edu")</f>
        <v>arenalslz@cmu.edu</v>
      </c>
      <c r="D1792" s="4">
        <f>IFERROR(__xludf.DUMMYFUNCTION("""COMPUTED_VALUE"""),29.0)</f>
        <v>29</v>
      </c>
      <c r="E1792" s="4">
        <f>IFERROR(__xludf.DUMMYFUNCTION("""COMPUTED_VALUE"""),90.0)</f>
        <v>90</v>
      </c>
      <c r="F1792" s="4">
        <f>IFERROR(__xludf.DUMMYFUNCTION("""COMPUTED_VALUE"""),5.0)</f>
        <v>5</v>
      </c>
      <c r="G1792" s="4">
        <f>IFERROR(__xludf.DUMMYFUNCTION("""COMPUTED_VALUE"""),279.0)</f>
        <v>279</v>
      </c>
      <c r="H1792" s="5">
        <f>IFERROR(__xludf.DUMMYFUNCTION("""COMPUTED_VALUE"""),3996.84)</f>
        <v>3996.84</v>
      </c>
      <c r="I1792" s="5">
        <f>IFERROR(__xludf.DUMMYFUNCTION("""COMPUTED_VALUE"""),4425.65)</f>
        <v>4425.65</v>
      </c>
      <c r="J1792" s="5">
        <f>IFERROR(__xludf.DUMMYFUNCTION("""COMPUTED_VALUE"""),5420.56)</f>
        <v>5420.56</v>
      </c>
      <c r="K1792" s="5">
        <f>IFERROR(__xludf.DUMMYFUNCTION("""COMPUTED_VALUE"""),9657.68)</f>
        <v>9657.68</v>
      </c>
      <c r="L1792" s="4">
        <f>IFERROR(__xludf.DUMMYFUNCTION("""COMPUTED_VALUE"""),2.0)</f>
        <v>2</v>
      </c>
      <c r="M1792" s="4">
        <f>IFERROR(__xludf.DUMMYFUNCTION("""COMPUTED_VALUE"""),80.0)</f>
        <v>80</v>
      </c>
      <c r="N1792" s="2" t="str">
        <f>IFERROR(__xludf.DUMMYFUNCTION("""COMPUTED_VALUE"""),"VERDADERO")</f>
        <v>VERDADERO</v>
      </c>
    </row>
    <row r="1793">
      <c r="A1793" s="2">
        <f>IFERROR(__xludf.DUMMYFUNCTION("""COMPUTED_VALUE"""),1792.0)</f>
        <v>1792</v>
      </c>
      <c r="B1793" s="2" t="str">
        <f>IFERROR(__xludf.DUMMYFUNCTION("""COMPUTED_VALUE"""),"Carlie Daines")</f>
        <v>Carlie Daines</v>
      </c>
      <c r="C1793" s="2" t="str">
        <f>IFERROR(__xludf.DUMMYFUNCTION("""COMPUTED_VALUE"""),"cdainesm0@bbc.co.uk")</f>
        <v>cdainesm0@bbc.co.uk</v>
      </c>
      <c r="D1793" s="4">
        <f>IFERROR(__xludf.DUMMYFUNCTION("""COMPUTED_VALUE"""),29.0)</f>
        <v>29</v>
      </c>
      <c r="E1793" s="4">
        <f>IFERROR(__xludf.DUMMYFUNCTION("""COMPUTED_VALUE"""),123.0)</f>
        <v>123</v>
      </c>
      <c r="F1793" s="4">
        <f>IFERROR(__xludf.DUMMYFUNCTION("""COMPUTED_VALUE"""),7.0)</f>
        <v>7</v>
      </c>
      <c r="G1793" s="4">
        <f>IFERROR(__xludf.DUMMYFUNCTION("""COMPUTED_VALUE"""),699.0)</f>
        <v>699</v>
      </c>
      <c r="H1793" s="5">
        <f>IFERROR(__xludf.DUMMYFUNCTION("""COMPUTED_VALUE"""),1841.29)</f>
        <v>1841.29</v>
      </c>
      <c r="I1793" s="5">
        <f>IFERROR(__xludf.DUMMYFUNCTION("""COMPUTED_VALUE"""),9706.79)</f>
        <v>9706.79</v>
      </c>
      <c r="J1793" s="5">
        <f>IFERROR(__xludf.DUMMYFUNCTION("""COMPUTED_VALUE"""),1388.81)</f>
        <v>1388.81</v>
      </c>
      <c r="K1793" s="5">
        <f>IFERROR(__xludf.DUMMYFUNCTION("""COMPUTED_VALUE"""),196.19)</f>
        <v>196.19</v>
      </c>
      <c r="L1793" s="4">
        <f>IFERROR(__xludf.DUMMYFUNCTION("""COMPUTED_VALUE"""),13.0)</f>
        <v>13</v>
      </c>
      <c r="M1793" s="4">
        <f>IFERROR(__xludf.DUMMYFUNCTION("""COMPUTED_VALUE"""),10.0)</f>
        <v>10</v>
      </c>
      <c r="N1793" s="2" t="str">
        <f>IFERROR(__xludf.DUMMYFUNCTION("""COMPUTED_VALUE"""),"FALSO")</f>
        <v>FALSO</v>
      </c>
    </row>
    <row r="1794">
      <c r="A1794" s="2">
        <f>IFERROR(__xludf.DUMMYFUNCTION("""COMPUTED_VALUE"""),1793.0)</f>
        <v>1793</v>
      </c>
      <c r="B1794" s="2" t="str">
        <f>IFERROR(__xludf.DUMMYFUNCTION("""COMPUTED_VALUE"""),"Gillie Philliskirk")</f>
        <v>Gillie Philliskirk</v>
      </c>
      <c r="C1794" s="2" t="str">
        <f>IFERROR(__xludf.DUMMYFUNCTION("""COMPUTED_VALUE"""),"gphilliskirkm1@sourceforge.net")</f>
        <v>gphilliskirkm1@sourceforge.net</v>
      </c>
      <c r="D1794" s="4">
        <f>IFERROR(__xludf.DUMMYFUNCTION("""COMPUTED_VALUE"""),9.0)</f>
        <v>9</v>
      </c>
      <c r="E1794" s="4">
        <f>IFERROR(__xludf.DUMMYFUNCTION("""COMPUTED_VALUE"""),102.0)</f>
        <v>102</v>
      </c>
      <c r="F1794" s="4">
        <f>IFERROR(__xludf.DUMMYFUNCTION("""COMPUTED_VALUE"""),4.0)</f>
        <v>4</v>
      </c>
      <c r="G1794" s="4">
        <f>IFERROR(__xludf.DUMMYFUNCTION("""COMPUTED_VALUE"""),62.0)</f>
        <v>62</v>
      </c>
      <c r="H1794" s="5">
        <f>IFERROR(__xludf.DUMMYFUNCTION("""COMPUTED_VALUE"""),7389.44)</f>
        <v>7389.44</v>
      </c>
      <c r="I1794" s="5">
        <f>IFERROR(__xludf.DUMMYFUNCTION("""COMPUTED_VALUE"""),8947.46)</f>
        <v>8947.46</v>
      </c>
      <c r="J1794" s="5">
        <f>IFERROR(__xludf.DUMMYFUNCTION("""COMPUTED_VALUE"""),3844.22)</f>
        <v>3844.22</v>
      </c>
      <c r="K1794" s="5">
        <f>IFERROR(__xludf.DUMMYFUNCTION("""COMPUTED_VALUE"""),4570.24)</f>
        <v>4570.24</v>
      </c>
      <c r="L1794" s="4">
        <f>IFERROR(__xludf.DUMMYFUNCTION("""COMPUTED_VALUE"""),7.0)</f>
        <v>7</v>
      </c>
      <c r="M1794" s="4">
        <f>IFERROR(__xludf.DUMMYFUNCTION("""COMPUTED_VALUE"""),54.0)</f>
        <v>54</v>
      </c>
      <c r="N1794" s="2" t="str">
        <f>IFERROR(__xludf.DUMMYFUNCTION("""COMPUTED_VALUE"""),"FALSO")</f>
        <v>FALSO</v>
      </c>
    </row>
    <row r="1795">
      <c r="A1795" s="2">
        <f>IFERROR(__xludf.DUMMYFUNCTION("""COMPUTED_VALUE"""),1794.0)</f>
        <v>1794</v>
      </c>
      <c r="B1795" s="2" t="str">
        <f>IFERROR(__xludf.DUMMYFUNCTION("""COMPUTED_VALUE"""),"Layla D'Onisi")</f>
        <v>Layla D'Onisi</v>
      </c>
      <c r="C1795" s="2" t="str">
        <f>IFERROR(__xludf.DUMMYFUNCTION("""COMPUTED_VALUE"""),"ldonisim2@taobao.com")</f>
        <v>ldonisim2@taobao.com</v>
      </c>
      <c r="D1795" s="4">
        <f>IFERROR(__xludf.DUMMYFUNCTION("""COMPUTED_VALUE"""),159.0)</f>
        <v>159</v>
      </c>
      <c r="E1795" s="4">
        <f>IFERROR(__xludf.DUMMYFUNCTION("""COMPUTED_VALUE"""),81.0)</f>
        <v>81</v>
      </c>
      <c r="F1795" s="4">
        <f>IFERROR(__xludf.DUMMYFUNCTION("""COMPUTED_VALUE"""),2.0)</f>
        <v>2</v>
      </c>
      <c r="G1795" s="4">
        <f>IFERROR(__xludf.DUMMYFUNCTION("""COMPUTED_VALUE"""),1183.0)</f>
        <v>1183</v>
      </c>
      <c r="H1795" s="5">
        <f>IFERROR(__xludf.DUMMYFUNCTION("""COMPUTED_VALUE"""),9955.16)</f>
        <v>9955.16</v>
      </c>
      <c r="I1795" s="5">
        <f>IFERROR(__xludf.DUMMYFUNCTION("""COMPUTED_VALUE"""),2722.76)</f>
        <v>2722.76</v>
      </c>
      <c r="J1795" s="5">
        <f>IFERROR(__xludf.DUMMYFUNCTION("""COMPUTED_VALUE"""),5809.61)</f>
        <v>5809.61</v>
      </c>
      <c r="K1795" s="5">
        <f>IFERROR(__xludf.DUMMYFUNCTION("""COMPUTED_VALUE"""),6058.26)</f>
        <v>6058.26</v>
      </c>
      <c r="L1795" s="4">
        <f>IFERROR(__xludf.DUMMYFUNCTION("""COMPUTED_VALUE"""),1.0)</f>
        <v>1</v>
      </c>
      <c r="M1795" s="4">
        <f>IFERROR(__xludf.DUMMYFUNCTION("""COMPUTED_VALUE"""),36.0)</f>
        <v>36</v>
      </c>
      <c r="N1795" s="2" t="str">
        <f>IFERROR(__xludf.DUMMYFUNCTION("""COMPUTED_VALUE"""),"VERDADERO")</f>
        <v>VERDADERO</v>
      </c>
    </row>
    <row r="1796">
      <c r="A1796" s="2">
        <f>IFERROR(__xludf.DUMMYFUNCTION("""COMPUTED_VALUE"""),1795.0)</f>
        <v>1795</v>
      </c>
      <c r="B1796" s="2" t="str">
        <f>IFERROR(__xludf.DUMMYFUNCTION("""COMPUTED_VALUE"""),"Odie Viegas")</f>
        <v>Odie Viegas</v>
      </c>
      <c r="C1796" s="2" t="str">
        <f>IFERROR(__xludf.DUMMYFUNCTION("""COMPUTED_VALUE"""),"oviegasm3@columbia.edu")</f>
        <v>oviegasm3@columbia.edu</v>
      </c>
      <c r="D1796" s="4">
        <f>IFERROR(__xludf.DUMMYFUNCTION("""COMPUTED_VALUE"""),37.0)</f>
        <v>37</v>
      </c>
      <c r="E1796" s="4">
        <f>IFERROR(__xludf.DUMMYFUNCTION("""COMPUTED_VALUE"""),81.0)</f>
        <v>81</v>
      </c>
      <c r="F1796" s="4">
        <f>IFERROR(__xludf.DUMMYFUNCTION("""COMPUTED_VALUE"""),2.0)</f>
        <v>2</v>
      </c>
      <c r="G1796" s="4">
        <f>IFERROR(__xludf.DUMMYFUNCTION("""COMPUTED_VALUE"""),480.0)</f>
        <v>480</v>
      </c>
      <c r="H1796" s="5">
        <f>IFERROR(__xludf.DUMMYFUNCTION("""COMPUTED_VALUE"""),210.17)</f>
        <v>210.17</v>
      </c>
      <c r="I1796" s="5">
        <f>IFERROR(__xludf.DUMMYFUNCTION("""COMPUTED_VALUE"""),2449.63)</f>
        <v>2449.63</v>
      </c>
      <c r="J1796" s="5">
        <f>IFERROR(__xludf.DUMMYFUNCTION("""COMPUTED_VALUE"""),1111.67)</f>
        <v>1111.67</v>
      </c>
      <c r="K1796" s="5">
        <f>IFERROR(__xludf.DUMMYFUNCTION("""COMPUTED_VALUE"""),1219.66)</f>
        <v>1219.66</v>
      </c>
      <c r="L1796" s="4">
        <f>IFERROR(__xludf.DUMMYFUNCTION("""COMPUTED_VALUE"""),11.0)</f>
        <v>11</v>
      </c>
      <c r="M1796" s="4">
        <f>IFERROR(__xludf.DUMMYFUNCTION("""COMPUTED_VALUE"""),26.0)</f>
        <v>26</v>
      </c>
      <c r="N1796" s="2" t="str">
        <f>IFERROR(__xludf.DUMMYFUNCTION("""COMPUTED_VALUE"""),"FALSO")</f>
        <v>FALSO</v>
      </c>
    </row>
    <row r="1797">
      <c r="A1797" s="2">
        <f>IFERROR(__xludf.DUMMYFUNCTION("""COMPUTED_VALUE"""),1796.0)</f>
        <v>1796</v>
      </c>
      <c r="B1797" s="2" t="str">
        <f>IFERROR(__xludf.DUMMYFUNCTION("""COMPUTED_VALUE"""),"Wendell Foulcher")</f>
        <v>Wendell Foulcher</v>
      </c>
      <c r="C1797" s="2" t="str">
        <f>IFERROR(__xludf.DUMMYFUNCTION("""COMPUTED_VALUE"""),"wfoulcherm4@tiny.cc")</f>
        <v>wfoulcherm4@tiny.cc</v>
      </c>
      <c r="D1797" s="4">
        <f>IFERROR(__xludf.DUMMYFUNCTION("""COMPUTED_VALUE"""),29.0)</f>
        <v>29</v>
      </c>
      <c r="E1797" s="4">
        <f>IFERROR(__xludf.DUMMYFUNCTION("""COMPUTED_VALUE"""),81.0)</f>
        <v>81</v>
      </c>
      <c r="F1797" s="4">
        <f>IFERROR(__xludf.DUMMYFUNCTION("""COMPUTED_VALUE"""),2.0)</f>
        <v>2</v>
      </c>
      <c r="G1797" s="4">
        <f>IFERROR(__xludf.DUMMYFUNCTION("""COMPUTED_VALUE"""),1046.0)</f>
        <v>1046</v>
      </c>
      <c r="H1797" s="5">
        <f>IFERROR(__xludf.DUMMYFUNCTION("""COMPUTED_VALUE"""),8076.68)</f>
        <v>8076.68</v>
      </c>
      <c r="I1797" s="5">
        <f>IFERROR(__xludf.DUMMYFUNCTION("""COMPUTED_VALUE"""),1062.41)</f>
        <v>1062.41</v>
      </c>
      <c r="J1797" s="5">
        <f>IFERROR(__xludf.DUMMYFUNCTION("""COMPUTED_VALUE"""),1368.94)</f>
        <v>1368.94</v>
      </c>
      <c r="K1797" s="5">
        <f>IFERROR(__xludf.DUMMYFUNCTION("""COMPUTED_VALUE"""),3246.19)</f>
        <v>3246.19</v>
      </c>
      <c r="L1797" s="4">
        <f>IFERROR(__xludf.DUMMYFUNCTION("""COMPUTED_VALUE"""),8.0)</f>
        <v>8</v>
      </c>
      <c r="M1797" s="4">
        <f>IFERROR(__xludf.DUMMYFUNCTION("""COMPUTED_VALUE"""),33.0)</f>
        <v>33</v>
      </c>
      <c r="N1797" s="2" t="str">
        <f>IFERROR(__xludf.DUMMYFUNCTION("""COMPUTED_VALUE"""),"VERDADERO")</f>
        <v>VERDADERO</v>
      </c>
    </row>
    <row r="1798">
      <c r="A1798" s="2">
        <f>IFERROR(__xludf.DUMMYFUNCTION("""COMPUTED_VALUE"""),1797.0)</f>
        <v>1797</v>
      </c>
      <c r="B1798" s="2" t="str">
        <f>IFERROR(__xludf.DUMMYFUNCTION("""COMPUTED_VALUE"""),"Gilburt Kinzel")</f>
        <v>Gilburt Kinzel</v>
      </c>
      <c r="C1798" s="2" t="str">
        <f>IFERROR(__xludf.DUMMYFUNCTION("""COMPUTED_VALUE"""),"gkinzelm5@so-net.ne.jp")</f>
        <v>gkinzelm5@so-net.ne.jp</v>
      </c>
      <c r="D1798" s="4">
        <f>IFERROR(__xludf.DUMMYFUNCTION("""COMPUTED_VALUE"""),137.0)</f>
        <v>137</v>
      </c>
      <c r="E1798" s="4">
        <f>IFERROR(__xludf.DUMMYFUNCTION("""COMPUTED_VALUE"""),81.0)</f>
        <v>81</v>
      </c>
      <c r="F1798" s="4">
        <f>IFERROR(__xludf.DUMMYFUNCTION("""COMPUTED_VALUE"""),2.0)</f>
        <v>2</v>
      </c>
      <c r="G1798" s="4">
        <f>IFERROR(__xludf.DUMMYFUNCTION("""COMPUTED_VALUE"""),1397.0)</f>
        <v>1397</v>
      </c>
      <c r="H1798" s="5">
        <f>IFERROR(__xludf.DUMMYFUNCTION("""COMPUTED_VALUE"""),3596.43)</f>
        <v>3596.43</v>
      </c>
      <c r="I1798" s="5">
        <f>IFERROR(__xludf.DUMMYFUNCTION("""COMPUTED_VALUE"""),3172.77)</f>
        <v>3172.77</v>
      </c>
      <c r="J1798" s="5">
        <f>IFERROR(__xludf.DUMMYFUNCTION("""COMPUTED_VALUE"""),7205.61)</f>
        <v>7205.61</v>
      </c>
      <c r="K1798" s="5">
        <f>IFERROR(__xludf.DUMMYFUNCTION("""COMPUTED_VALUE"""),3882.03)</f>
        <v>3882.03</v>
      </c>
      <c r="L1798" s="4">
        <f>IFERROR(__xludf.DUMMYFUNCTION("""COMPUTED_VALUE"""),2.0)</f>
        <v>2</v>
      </c>
      <c r="M1798" s="4">
        <f>IFERROR(__xludf.DUMMYFUNCTION("""COMPUTED_VALUE"""),26.0)</f>
        <v>26</v>
      </c>
      <c r="N1798" s="2" t="str">
        <f>IFERROR(__xludf.DUMMYFUNCTION("""COMPUTED_VALUE"""),"VERDADERO")</f>
        <v>VERDADERO</v>
      </c>
    </row>
    <row r="1799">
      <c r="A1799" s="2">
        <f>IFERROR(__xludf.DUMMYFUNCTION("""COMPUTED_VALUE"""),1798.0)</f>
        <v>1798</v>
      </c>
      <c r="B1799" s="2" t="str">
        <f>IFERROR(__xludf.DUMMYFUNCTION("""COMPUTED_VALUE"""),"Adena Aronson")</f>
        <v>Adena Aronson</v>
      </c>
      <c r="C1799" s="2" t="str">
        <f>IFERROR(__xludf.DUMMYFUNCTION("""COMPUTED_VALUE"""),"aaronsonm6@trellian.com")</f>
        <v>aaronsonm6@trellian.com</v>
      </c>
      <c r="D1799" s="4">
        <f>IFERROR(__xludf.DUMMYFUNCTION("""COMPUTED_VALUE"""),143.0)</f>
        <v>143</v>
      </c>
      <c r="E1799" s="4">
        <f>IFERROR(__xludf.DUMMYFUNCTION("""COMPUTED_VALUE"""),81.0)</f>
        <v>81</v>
      </c>
      <c r="F1799" s="4">
        <f>IFERROR(__xludf.DUMMYFUNCTION("""COMPUTED_VALUE"""),2.0)</f>
        <v>2</v>
      </c>
      <c r="G1799" s="4">
        <f>IFERROR(__xludf.DUMMYFUNCTION("""COMPUTED_VALUE"""),219.0)</f>
        <v>219</v>
      </c>
      <c r="H1799" s="5">
        <f>IFERROR(__xludf.DUMMYFUNCTION("""COMPUTED_VALUE"""),7116.08)</f>
        <v>7116.08</v>
      </c>
      <c r="I1799" s="5">
        <f>IFERROR(__xludf.DUMMYFUNCTION("""COMPUTED_VALUE"""),212.04)</f>
        <v>212.04</v>
      </c>
      <c r="J1799" s="5">
        <f>IFERROR(__xludf.DUMMYFUNCTION("""COMPUTED_VALUE"""),5515.02)</f>
        <v>5515.02</v>
      </c>
      <c r="K1799" s="5">
        <f>IFERROR(__xludf.DUMMYFUNCTION("""COMPUTED_VALUE"""),7167.77)</f>
        <v>7167.77</v>
      </c>
      <c r="L1799" s="4">
        <f>IFERROR(__xludf.DUMMYFUNCTION("""COMPUTED_VALUE"""),10.0)</f>
        <v>10</v>
      </c>
      <c r="M1799" s="4">
        <f>IFERROR(__xludf.DUMMYFUNCTION("""COMPUTED_VALUE"""),90.0)</f>
        <v>90</v>
      </c>
      <c r="N1799" s="2" t="str">
        <f>IFERROR(__xludf.DUMMYFUNCTION("""COMPUTED_VALUE"""),"VERDADERO")</f>
        <v>VERDADERO</v>
      </c>
    </row>
    <row r="1800">
      <c r="A1800" s="2">
        <f>IFERROR(__xludf.DUMMYFUNCTION("""COMPUTED_VALUE"""),1799.0)</f>
        <v>1799</v>
      </c>
      <c r="B1800" s="2" t="str">
        <f>IFERROR(__xludf.DUMMYFUNCTION("""COMPUTED_VALUE"""),"Skipper Varns")</f>
        <v>Skipper Varns</v>
      </c>
      <c r="C1800" s="2" t="str">
        <f>IFERROR(__xludf.DUMMYFUNCTION("""COMPUTED_VALUE"""),"svarnsm7@si.edu")</f>
        <v>svarnsm7@si.edu</v>
      </c>
      <c r="D1800" s="4">
        <f>IFERROR(__xludf.DUMMYFUNCTION("""COMPUTED_VALUE"""),29.0)</f>
        <v>29</v>
      </c>
      <c r="E1800" s="4">
        <f>IFERROR(__xludf.DUMMYFUNCTION("""COMPUTED_VALUE"""),23.0)</f>
        <v>23</v>
      </c>
      <c r="F1800" s="4">
        <f>IFERROR(__xludf.DUMMYFUNCTION("""COMPUTED_VALUE"""),5.0)</f>
        <v>5</v>
      </c>
      <c r="G1800" s="4">
        <f>IFERROR(__xludf.DUMMYFUNCTION("""COMPUTED_VALUE"""),687.0)</f>
        <v>687</v>
      </c>
      <c r="H1800" s="5">
        <f>IFERROR(__xludf.DUMMYFUNCTION("""COMPUTED_VALUE"""),288.0)</f>
        <v>288</v>
      </c>
      <c r="I1800" s="5">
        <f>IFERROR(__xludf.DUMMYFUNCTION("""COMPUTED_VALUE"""),6404.76)</f>
        <v>6404.76</v>
      </c>
      <c r="J1800" s="5">
        <f>IFERROR(__xludf.DUMMYFUNCTION("""COMPUTED_VALUE"""),9153.88)</f>
        <v>9153.88</v>
      </c>
      <c r="K1800" s="5">
        <f>IFERROR(__xludf.DUMMYFUNCTION("""COMPUTED_VALUE"""),177.08)</f>
        <v>177.08</v>
      </c>
      <c r="L1800" s="4">
        <f>IFERROR(__xludf.DUMMYFUNCTION("""COMPUTED_VALUE"""),16.0)</f>
        <v>16</v>
      </c>
      <c r="M1800" s="4">
        <f>IFERROR(__xludf.DUMMYFUNCTION("""COMPUTED_VALUE"""),78.0)</f>
        <v>78</v>
      </c>
      <c r="N1800" s="2" t="str">
        <f>IFERROR(__xludf.DUMMYFUNCTION("""COMPUTED_VALUE"""),"VERDADERO")</f>
        <v>VERDADERO</v>
      </c>
    </row>
    <row r="1801">
      <c r="A1801" s="2">
        <f>IFERROR(__xludf.DUMMYFUNCTION("""COMPUTED_VALUE"""),1800.0)</f>
        <v>1800</v>
      </c>
      <c r="B1801" s="2" t="str">
        <f>IFERROR(__xludf.DUMMYFUNCTION("""COMPUTED_VALUE"""),"Daryl Stubs")</f>
        <v>Daryl Stubs</v>
      </c>
      <c r="C1801" s="2" t="str">
        <f>IFERROR(__xludf.DUMMYFUNCTION("""COMPUTED_VALUE"""),"dstubsm8@google.ru")</f>
        <v>dstubsm8@google.ru</v>
      </c>
      <c r="D1801" s="4">
        <f>IFERROR(__xludf.DUMMYFUNCTION("""COMPUTED_VALUE"""),121.0)</f>
        <v>121</v>
      </c>
      <c r="E1801" s="4">
        <f>IFERROR(__xludf.DUMMYFUNCTION("""COMPUTED_VALUE"""),71.0)</f>
        <v>71</v>
      </c>
      <c r="F1801" s="4">
        <f>IFERROR(__xludf.DUMMYFUNCTION("""COMPUTED_VALUE"""),6.0)</f>
        <v>6</v>
      </c>
      <c r="G1801" s="4">
        <f>IFERROR(__xludf.DUMMYFUNCTION("""COMPUTED_VALUE"""),990.0)</f>
        <v>990</v>
      </c>
      <c r="H1801" s="5">
        <f>IFERROR(__xludf.DUMMYFUNCTION("""COMPUTED_VALUE"""),3899.39)</f>
        <v>3899.39</v>
      </c>
      <c r="I1801" s="5">
        <f>IFERROR(__xludf.DUMMYFUNCTION("""COMPUTED_VALUE"""),8388.92)</f>
        <v>8388.92</v>
      </c>
      <c r="J1801" s="5">
        <f>IFERROR(__xludf.DUMMYFUNCTION("""COMPUTED_VALUE"""),3095.69)</f>
        <v>3095.69</v>
      </c>
      <c r="K1801" s="5">
        <f>IFERROR(__xludf.DUMMYFUNCTION("""COMPUTED_VALUE"""),3650.67)</f>
        <v>3650.67</v>
      </c>
      <c r="L1801" s="4">
        <f>IFERROR(__xludf.DUMMYFUNCTION("""COMPUTED_VALUE"""),19.0)</f>
        <v>19</v>
      </c>
      <c r="M1801" s="4">
        <f>IFERROR(__xludf.DUMMYFUNCTION("""COMPUTED_VALUE"""),28.0)</f>
        <v>28</v>
      </c>
      <c r="N1801" s="2" t="str">
        <f>IFERROR(__xludf.DUMMYFUNCTION("""COMPUTED_VALUE"""),"VERDADERO")</f>
        <v>VERDADERO</v>
      </c>
    </row>
    <row r="1802">
      <c r="A1802" s="2">
        <f>IFERROR(__xludf.DUMMYFUNCTION("""COMPUTED_VALUE"""),1801.0)</f>
        <v>1801</v>
      </c>
      <c r="B1802" s="2" t="str">
        <f>IFERROR(__xludf.DUMMYFUNCTION("""COMPUTED_VALUE"""),"Simon Maryman")</f>
        <v>Simon Maryman</v>
      </c>
      <c r="C1802" s="2" t="str">
        <f>IFERROR(__xludf.DUMMYFUNCTION("""COMPUTED_VALUE"""),"smarymanm9@sourceforge.net")</f>
        <v>smarymanm9@sourceforge.net</v>
      </c>
      <c r="D1802" s="4">
        <f>IFERROR(__xludf.DUMMYFUNCTION("""COMPUTED_VALUE"""),120.0)</f>
        <v>120</v>
      </c>
      <c r="E1802" s="4">
        <f>IFERROR(__xludf.DUMMYFUNCTION("""COMPUTED_VALUE"""),36.0)</f>
        <v>36</v>
      </c>
      <c r="F1802" s="4">
        <f>IFERROR(__xludf.DUMMYFUNCTION("""COMPUTED_VALUE"""),5.0)</f>
        <v>5</v>
      </c>
      <c r="G1802" s="4">
        <f>IFERROR(__xludf.DUMMYFUNCTION("""COMPUTED_VALUE"""),1386.0)</f>
        <v>1386</v>
      </c>
      <c r="H1802" s="5">
        <f>IFERROR(__xludf.DUMMYFUNCTION("""COMPUTED_VALUE"""),2753.21)</f>
        <v>2753.21</v>
      </c>
      <c r="I1802" s="5">
        <f>IFERROR(__xludf.DUMMYFUNCTION("""COMPUTED_VALUE"""),2444.4)</f>
        <v>2444.4</v>
      </c>
      <c r="J1802" s="5">
        <f>IFERROR(__xludf.DUMMYFUNCTION("""COMPUTED_VALUE"""),8463.54)</f>
        <v>8463.54</v>
      </c>
      <c r="K1802" s="5">
        <f>IFERROR(__xludf.DUMMYFUNCTION("""COMPUTED_VALUE"""),1488.22)</f>
        <v>1488.22</v>
      </c>
      <c r="L1802" s="4">
        <f>IFERROR(__xludf.DUMMYFUNCTION("""COMPUTED_VALUE"""),16.0)</f>
        <v>16</v>
      </c>
      <c r="M1802" s="4">
        <f>IFERROR(__xludf.DUMMYFUNCTION("""COMPUTED_VALUE"""),92.0)</f>
        <v>92</v>
      </c>
      <c r="N1802" s="2" t="str">
        <f>IFERROR(__xludf.DUMMYFUNCTION("""COMPUTED_VALUE"""),"FALSO")</f>
        <v>FALSO</v>
      </c>
    </row>
    <row r="1803">
      <c r="A1803" s="2">
        <f>IFERROR(__xludf.DUMMYFUNCTION("""COMPUTED_VALUE"""),1802.0)</f>
        <v>1802</v>
      </c>
      <c r="B1803" s="2" t="str">
        <f>IFERROR(__xludf.DUMMYFUNCTION("""COMPUTED_VALUE"""),"Fergus Klewi")</f>
        <v>Fergus Klewi</v>
      </c>
      <c r="C1803" s="2" t="str">
        <f>IFERROR(__xludf.DUMMYFUNCTION("""COMPUTED_VALUE"""),"fklewima@ed.gov")</f>
        <v>fklewima@ed.gov</v>
      </c>
      <c r="D1803" s="4">
        <f>IFERROR(__xludf.DUMMYFUNCTION("""COMPUTED_VALUE"""),29.0)</f>
        <v>29</v>
      </c>
      <c r="E1803" s="4">
        <f>IFERROR(__xludf.DUMMYFUNCTION("""COMPUTED_VALUE"""),81.0)</f>
        <v>81</v>
      </c>
      <c r="F1803" s="4">
        <f>IFERROR(__xludf.DUMMYFUNCTION("""COMPUTED_VALUE"""),2.0)</f>
        <v>2</v>
      </c>
      <c r="G1803" s="4">
        <f>IFERROR(__xludf.DUMMYFUNCTION("""COMPUTED_VALUE"""),1560.0)</f>
        <v>1560</v>
      </c>
      <c r="H1803" s="5">
        <f>IFERROR(__xludf.DUMMYFUNCTION("""COMPUTED_VALUE"""),7112.37)</f>
        <v>7112.37</v>
      </c>
      <c r="I1803" s="5">
        <f>IFERROR(__xludf.DUMMYFUNCTION("""COMPUTED_VALUE"""),2663.99)</f>
        <v>2663.99</v>
      </c>
      <c r="J1803" s="5">
        <f>IFERROR(__xludf.DUMMYFUNCTION("""COMPUTED_VALUE"""),6256.69)</f>
        <v>6256.69</v>
      </c>
      <c r="K1803" s="5">
        <f>IFERROR(__xludf.DUMMYFUNCTION("""COMPUTED_VALUE"""),6034.59)</f>
        <v>6034.59</v>
      </c>
      <c r="L1803" s="4">
        <f>IFERROR(__xludf.DUMMYFUNCTION("""COMPUTED_VALUE"""),18.0)</f>
        <v>18</v>
      </c>
      <c r="M1803" s="4">
        <f>IFERROR(__xludf.DUMMYFUNCTION("""COMPUTED_VALUE"""),23.0)</f>
        <v>23</v>
      </c>
      <c r="N1803" s="2" t="str">
        <f>IFERROR(__xludf.DUMMYFUNCTION("""COMPUTED_VALUE"""),"FALSO")</f>
        <v>FALSO</v>
      </c>
    </row>
    <row r="1804">
      <c r="A1804" s="2">
        <f>IFERROR(__xludf.DUMMYFUNCTION("""COMPUTED_VALUE"""),1803.0)</f>
        <v>1803</v>
      </c>
      <c r="B1804" s="2" t="str">
        <f>IFERROR(__xludf.DUMMYFUNCTION("""COMPUTED_VALUE"""),"Gardiner Miere")</f>
        <v>Gardiner Miere</v>
      </c>
      <c r="C1804" s="2" t="str">
        <f>IFERROR(__xludf.DUMMYFUNCTION("""COMPUTED_VALUE"""),"gmieremb@blogspot.com")</f>
        <v>gmieremb@blogspot.com</v>
      </c>
      <c r="D1804" s="4">
        <f>IFERROR(__xludf.DUMMYFUNCTION("""COMPUTED_VALUE"""),126.0)</f>
        <v>126</v>
      </c>
      <c r="E1804" s="4">
        <f>IFERROR(__xludf.DUMMYFUNCTION("""COMPUTED_VALUE"""),81.0)</f>
        <v>81</v>
      </c>
      <c r="F1804" s="4">
        <f>IFERROR(__xludf.DUMMYFUNCTION("""COMPUTED_VALUE"""),2.0)</f>
        <v>2</v>
      </c>
      <c r="G1804" s="4">
        <f>IFERROR(__xludf.DUMMYFUNCTION("""COMPUTED_VALUE"""),465.0)</f>
        <v>465</v>
      </c>
      <c r="H1804" s="5">
        <f>IFERROR(__xludf.DUMMYFUNCTION("""COMPUTED_VALUE"""),5378.87)</f>
        <v>5378.87</v>
      </c>
      <c r="I1804" s="5">
        <f>IFERROR(__xludf.DUMMYFUNCTION("""COMPUTED_VALUE"""),7015.84)</f>
        <v>7015.84</v>
      </c>
      <c r="J1804" s="5">
        <f>IFERROR(__xludf.DUMMYFUNCTION("""COMPUTED_VALUE"""),251.92)</f>
        <v>251.92</v>
      </c>
      <c r="K1804" s="5">
        <f>IFERROR(__xludf.DUMMYFUNCTION("""COMPUTED_VALUE"""),7174.25)</f>
        <v>7174.25</v>
      </c>
      <c r="L1804" s="4">
        <f>IFERROR(__xludf.DUMMYFUNCTION("""COMPUTED_VALUE"""),7.0)</f>
        <v>7</v>
      </c>
      <c r="M1804" s="4">
        <f>IFERROR(__xludf.DUMMYFUNCTION("""COMPUTED_VALUE"""),24.0)</f>
        <v>24</v>
      </c>
      <c r="N1804" s="2" t="str">
        <f>IFERROR(__xludf.DUMMYFUNCTION("""COMPUTED_VALUE"""),"FALSO")</f>
        <v>FALSO</v>
      </c>
    </row>
    <row r="1805">
      <c r="A1805" s="2">
        <f>IFERROR(__xludf.DUMMYFUNCTION("""COMPUTED_VALUE"""),1804.0)</f>
        <v>1804</v>
      </c>
      <c r="B1805" s="2" t="str">
        <f>IFERROR(__xludf.DUMMYFUNCTION("""COMPUTED_VALUE"""),"Drake Jiroutek")</f>
        <v>Drake Jiroutek</v>
      </c>
      <c r="C1805" s="2" t="str">
        <f>IFERROR(__xludf.DUMMYFUNCTION("""COMPUTED_VALUE"""),"djiroutekmc@uol.com.br")</f>
        <v>djiroutekmc@uol.com.br</v>
      </c>
      <c r="D1805" s="4">
        <f>IFERROR(__xludf.DUMMYFUNCTION("""COMPUTED_VALUE"""),24.0)</f>
        <v>24</v>
      </c>
      <c r="E1805" s="4">
        <f>IFERROR(__xludf.DUMMYFUNCTION("""COMPUTED_VALUE"""),119.0)</f>
        <v>119</v>
      </c>
      <c r="F1805" s="4">
        <f>IFERROR(__xludf.DUMMYFUNCTION("""COMPUTED_VALUE"""),1.0)</f>
        <v>1</v>
      </c>
      <c r="G1805" s="4">
        <f>IFERROR(__xludf.DUMMYFUNCTION("""COMPUTED_VALUE"""),628.0)</f>
        <v>628</v>
      </c>
      <c r="H1805" s="5">
        <f>IFERROR(__xludf.DUMMYFUNCTION("""COMPUTED_VALUE"""),4580.86)</f>
        <v>4580.86</v>
      </c>
      <c r="I1805" s="5">
        <f>IFERROR(__xludf.DUMMYFUNCTION("""COMPUTED_VALUE"""),4710.04)</f>
        <v>4710.04</v>
      </c>
      <c r="J1805" s="5">
        <f>IFERROR(__xludf.DUMMYFUNCTION("""COMPUTED_VALUE"""),4712.04)</f>
        <v>4712.04</v>
      </c>
      <c r="K1805" s="5">
        <f>IFERROR(__xludf.DUMMYFUNCTION("""COMPUTED_VALUE"""),6240.43)</f>
        <v>6240.43</v>
      </c>
      <c r="L1805" s="4">
        <f>IFERROR(__xludf.DUMMYFUNCTION("""COMPUTED_VALUE"""),5.0)</f>
        <v>5</v>
      </c>
      <c r="M1805" s="4">
        <f>IFERROR(__xludf.DUMMYFUNCTION("""COMPUTED_VALUE"""),52.0)</f>
        <v>52</v>
      </c>
      <c r="N1805" s="2" t="str">
        <f>IFERROR(__xludf.DUMMYFUNCTION("""COMPUTED_VALUE"""),"VERDADERO")</f>
        <v>VERDADERO</v>
      </c>
    </row>
    <row r="1806">
      <c r="A1806" s="2">
        <f>IFERROR(__xludf.DUMMYFUNCTION("""COMPUTED_VALUE"""),1805.0)</f>
        <v>1805</v>
      </c>
      <c r="B1806" s="2" t="str">
        <f>IFERROR(__xludf.DUMMYFUNCTION("""COMPUTED_VALUE"""),"Di Orford")</f>
        <v>Di Orford</v>
      </c>
      <c r="C1806" s="2" t="str">
        <f>IFERROR(__xludf.DUMMYFUNCTION("""COMPUTED_VALUE"""),"dorfordmd@bluehost.com")</f>
        <v>dorfordmd@bluehost.com</v>
      </c>
      <c r="D1806" s="4">
        <f>IFERROR(__xludf.DUMMYFUNCTION("""COMPUTED_VALUE"""),55.0)</f>
        <v>55</v>
      </c>
      <c r="E1806" s="4">
        <f>IFERROR(__xludf.DUMMYFUNCTION("""COMPUTED_VALUE"""),40.0)</f>
        <v>40</v>
      </c>
      <c r="F1806" s="4">
        <f>IFERROR(__xludf.DUMMYFUNCTION("""COMPUTED_VALUE"""),1.0)</f>
        <v>1</v>
      </c>
      <c r="G1806" s="4">
        <f>IFERROR(__xludf.DUMMYFUNCTION("""COMPUTED_VALUE"""),1153.0)</f>
        <v>1153</v>
      </c>
      <c r="H1806" s="5">
        <f>IFERROR(__xludf.DUMMYFUNCTION("""COMPUTED_VALUE"""),5788.54)</f>
        <v>5788.54</v>
      </c>
      <c r="I1806" s="5">
        <f>IFERROR(__xludf.DUMMYFUNCTION("""COMPUTED_VALUE"""),2886.92)</f>
        <v>2886.92</v>
      </c>
      <c r="J1806" s="5">
        <f>IFERROR(__xludf.DUMMYFUNCTION("""COMPUTED_VALUE"""),6291.02)</f>
        <v>6291.02</v>
      </c>
      <c r="K1806" s="5">
        <f>IFERROR(__xludf.DUMMYFUNCTION("""COMPUTED_VALUE"""),7256.86)</f>
        <v>7256.86</v>
      </c>
      <c r="L1806" s="4">
        <f>IFERROR(__xludf.DUMMYFUNCTION("""COMPUTED_VALUE"""),20.0)</f>
        <v>20</v>
      </c>
      <c r="M1806" s="4">
        <f>IFERROR(__xludf.DUMMYFUNCTION("""COMPUTED_VALUE"""),63.0)</f>
        <v>63</v>
      </c>
      <c r="N1806" s="2" t="str">
        <f>IFERROR(__xludf.DUMMYFUNCTION("""COMPUTED_VALUE"""),"FALSO")</f>
        <v>FALSO</v>
      </c>
    </row>
    <row r="1807">
      <c r="A1807" s="2">
        <f>IFERROR(__xludf.DUMMYFUNCTION("""COMPUTED_VALUE"""),1806.0)</f>
        <v>1806</v>
      </c>
      <c r="B1807" s="2" t="str">
        <f>IFERROR(__xludf.DUMMYFUNCTION("""COMPUTED_VALUE"""),"Josephine Renackowna")</f>
        <v>Josephine Renackowna</v>
      </c>
      <c r="C1807" s="2" t="str">
        <f>IFERROR(__xludf.DUMMYFUNCTION("""COMPUTED_VALUE"""),"jrenackowname@scribd.com")</f>
        <v>jrenackowname@scribd.com</v>
      </c>
      <c r="D1807" s="4">
        <f>IFERROR(__xludf.DUMMYFUNCTION("""COMPUTED_VALUE"""),65.0)</f>
        <v>65</v>
      </c>
      <c r="E1807" s="4">
        <f>IFERROR(__xludf.DUMMYFUNCTION("""COMPUTED_VALUE"""),81.0)</f>
        <v>81</v>
      </c>
      <c r="F1807" s="4">
        <f>IFERROR(__xludf.DUMMYFUNCTION("""COMPUTED_VALUE"""),2.0)</f>
        <v>2</v>
      </c>
      <c r="G1807" s="4">
        <f>IFERROR(__xludf.DUMMYFUNCTION("""COMPUTED_VALUE"""),1358.0)</f>
        <v>1358</v>
      </c>
      <c r="H1807" s="5">
        <f>IFERROR(__xludf.DUMMYFUNCTION("""COMPUTED_VALUE"""),6281.47)</f>
        <v>6281.47</v>
      </c>
      <c r="I1807" s="5">
        <f>IFERROR(__xludf.DUMMYFUNCTION("""COMPUTED_VALUE"""),395.22)</f>
        <v>395.22</v>
      </c>
      <c r="J1807" s="5">
        <f>IFERROR(__xludf.DUMMYFUNCTION("""COMPUTED_VALUE"""),3039.86)</f>
        <v>3039.86</v>
      </c>
      <c r="K1807" s="5">
        <f>IFERROR(__xludf.DUMMYFUNCTION("""COMPUTED_VALUE"""),9555.82)</f>
        <v>9555.82</v>
      </c>
      <c r="L1807" s="4">
        <f>IFERROR(__xludf.DUMMYFUNCTION("""COMPUTED_VALUE"""),19.0)</f>
        <v>19</v>
      </c>
      <c r="M1807" s="4">
        <f>IFERROR(__xludf.DUMMYFUNCTION("""COMPUTED_VALUE"""),41.0)</f>
        <v>41</v>
      </c>
      <c r="N1807" s="2" t="str">
        <f>IFERROR(__xludf.DUMMYFUNCTION("""COMPUTED_VALUE"""),"FALSO")</f>
        <v>FALSO</v>
      </c>
    </row>
    <row r="1808">
      <c r="A1808" s="2">
        <f>IFERROR(__xludf.DUMMYFUNCTION("""COMPUTED_VALUE"""),1807.0)</f>
        <v>1807</v>
      </c>
      <c r="B1808" s="2" t="str">
        <f>IFERROR(__xludf.DUMMYFUNCTION("""COMPUTED_VALUE"""),"Diahann Paffot")</f>
        <v>Diahann Paffot</v>
      </c>
      <c r="C1808" s="2" t="str">
        <f>IFERROR(__xludf.DUMMYFUNCTION("""COMPUTED_VALUE"""),"dpaffotmf@opensource.org")</f>
        <v>dpaffotmf@opensource.org</v>
      </c>
      <c r="D1808" s="4">
        <f>IFERROR(__xludf.DUMMYFUNCTION("""COMPUTED_VALUE"""),122.0)</f>
        <v>122</v>
      </c>
      <c r="E1808" s="4">
        <f>IFERROR(__xludf.DUMMYFUNCTION("""COMPUTED_VALUE"""),81.0)</f>
        <v>81</v>
      </c>
      <c r="F1808" s="4">
        <f>IFERROR(__xludf.DUMMYFUNCTION("""COMPUTED_VALUE"""),2.0)</f>
        <v>2</v>
      </c>
      <c r="G1808" s="4">
        <f>IFERROR(__xludf.DUMMYFUNCTION("""COMPUTED_VALUE"""),787.0)</f>
        <v>787</v>
      </c>
      <c r="H1808" s="5">
        <f>IFERROR(__xludf.DUMMYFUNCTION("""COMPUTED_VALUE"""),6397.46)</f>
        <v>6397.46</v>
      </c>
      <c r="I1808" s="5">
        <f>IFERROR(__xludf.DUMMYFUNCTION("""COMPUTED_VALUE"""),6131.98)</f>
        <v>6131.98</v>
      </c>
      <c r="J1808" s="5">
        <f>IFERROR(__xludf.DUMMYFUNCTION("""COMPUTED_VALUE"""),6674.37)</f>
        <v>6674.37</v>
      </c>
      <c r="K1808" s="5">
        <f>IFERROR(__xludf.DUMMYFUNCTION("""COMPUTED_VALUE"""),5293.35)</f>
        <v>5293.35</v>
      </c>
      <c r="L1808" s="4">
        <f>IFERROR(__xludf.DUMMYFUNCTION("""COMPUTED_VALUE"""),19.0)</f>
        <v>19</v>
      </c>
      <c r="M1808" s="4">
        <f>IFERROR(__xludf.DUMMYFUNCTION("""COMPUTED_VALUE"""),67.0)</f>
        <v>67</v>
      </c>
      <c r="N1808" s="2" t="str">
        <f>IFERROR(__xludf.DUMMYFUNCTION("""COMPUTED_VALUE"""),"FALSO")</f>
        <v>FALSO</v>
      </c>
    </row>
    <row r="1809">
      <c r="A1809" s="2">
        <f>IFERROR(__xludf.DUMMYFUNCTION("""COMPUTED_VALUE"""),1808.0)</f>
        <v>1808</v>
      </c>
      <c r="B1809" s="2" t="str">
        <f>IFERROR(__xludf.DUMMYFUNCTION("""COMPUTED_VALUE"""),"Darrel McGeoch")</f>
        <v>Darrel McGeoch</v>
      </c>
      <c r="C1809" s="2" t="str">
        <f>IFERROR(__xludf.DUMMYFUNCTION("""COMPUTED_VALUE"""),"dmcgeochmg@drupal.org")</f>
        <v>dmcgeochmg@drupal.org</v>
      </c>
      <c r="D1809" s="4">
        <f>IFERROR(__xludf.DUMMYFUNCTION("""COMPUTED_VALUE"""),120.0)</f>
        <v>120</v>
      </c>
      <c r="E1809" s="4">
        <f>IFERROR(__xludf.DUMMYFUNCTION("""COMPUTED_VALUE"""),71.0)</f>
        <v>71</v>
      </c>
      <c r="F1809" s="4">
        <f>IFERROR(__xludf.DUMMYFUNCTION("""COMPUTED_VALUE"""),6.0)</f>
        <v>6</v>
      </c>
      <c r="G1809" s="4">
        <f>IFERROR(__xludf.DUMMYFUNCTION("""COMPUTED_VALUE"""),937.0)</f>
        <v>937</v>
      </c>
      <c r="H1809" s="5">
        <f>IFERROR(__xludf.DUMMYFUNCTION("""COMPUTED_VALUE"""),4059.53)</f>
        <v>4059.53</v>
      </c>
      <c r="I1809" s="5">
        <f>IFERROR(__xludf.DUMMYFUNCTION("""COMPUTED_VALUE"""),4774.59)</f>
        <v>4774.59</v>
      </c>
      <c r="J1809" s="5">
        <f>IFERROR(__xludf.DUMMYFUNCTION("""COMPUTED_VALUE"""),6189.67)</f>
        <v>6189.67</v>
      </c>
      <c r="K1809" s="5">
        <f>IFERROR(__xludf.DUMMYFUNCTION("""COMPUTED_VALUE"""),5605.65)</f>
        <v>5605.65</v>
      </c>
      <c r="L1809" s="4">
        <f>IFERROR(__xludf.DUMMYFUNCTION("""COMPUTED_VALUE"""),18.0)</f>
        <v>18</v>
      </c>
      <c r="M1809" s="4">
        <f>IFERROR(__xludf.DUMMYFUNCTION("""COMPUTED_VALUE"""),26.0)</f>
        <v>26</v>
      </c>
      <c r="N1809" s="2" t="str">
        <f>IFERROR(__xludf.DUMMYFUNCTION("""COMPUTED_VALUE"""),"VERDADERO")</f>
        <v>VERDADERO</v>
      </c>
    </row>
    <row r="1810">
      <c r="A1810" s="2">
        <f>IFERROR(__xludf.DUMMYFUNCTION("""COMPUTED_VALUE"""),1809.0)</f>
        <v>1809</v>
      </c>
      <c r="B1810" s="2" t="str">
        <f>IFERROR(__xludf.DUMMYFUNCTION("""COMPUTED_VALUE"""),"Billye Bordman")</f>
        <v>Billye Bordman</v>
      </c>
      <c r="C1810" s="2" t="str">
        <f>IFERROR(__xludf.DUMMYFUNCTION("""COMPUTED_VALUE"""),"bbordmanmh@about.com")</f>
        <v>bbordmanmh@about.com</v>
      </c>
      <c r="D1810" s="4">
        <f>IFERROR(__xludf.DUMMYFUNCTION("""COMPUTED_VALUE"""),132.0)</f>
        <v>132</v>
      </c>
      <c r="E1810" s="4">
        <f>IFERROR(__xludf.DUMMYFUNCTION("""COMPUTED_VALUE"""),119.0)</f>
        <v>119</v>
      </c>
      <c r="F1810" s="4">
        <f>IFERROR(__xludf.DUMMYFUNCTION("""COMPUTED_VALUE"""),1.0)</f>
        <v>1</v>
      </c>
      <c r="G1810" s="4">
        <f>IFERROR(__xludf.DUMMYFUNCTION("""COMPUTED_VALUE"""),628.0)</f>
        <v>628</v>
      </c>
      <c r="H1810" s="5">
        <f>IFERROR(__xludf.DUMMYFUNCTION("""COMPUTED_VALUE"""),497.4)</f>
        <v>497.4</v>
      </c>
      <c r="I1810" s="5">
        <f>IFERROR(__xludf.DUMMYFUNCTION("""COMPUTED_VALUE"""),940.97)</f>
        <v>940.97</v>
      </c>
      <c r="J1810" s="5">
        <f>IFERROR(__xludf.DUMMYFUNCTION("""COMPUTED_VALUE"""),2099.13)</f>
        <v>2099.13</v>
      </c>
      <c r="K1810" s="5">
        <f>IFERROR(__xludf.DUMMYFUNCTION("""COMPUTED_VALUE"""),3266.35)</f>
        <v>3266.35</v>
      </c>
      <c r="L1810" s="4">
        <f>IFERROR(__xludf.DUMMYFUNCTION("""COMPUTED_VALUE"""),6.0)</f>
        <v>6</v>
      </c>
      <c r="M1810" s="4">
        <f>IFERROR(__xludf.DUMMYFUNCTION("""COMPUTED_VALUE"""),76.0)</f>
        <v>76</v>
      </c>
      <c r="N1810" s="2" t="str">
        <f>IFERROR(__xludf.DUMMYFUNCTION("""COMPUTED_VALUE"""),"VERDADERO")</f>
        <v>VERDADERO</v>
      </c>
    </row>
    <row r="1811">
      <c r="A1811" s="2">
        <f>IFERROR(__xludf.DUMMYFUNCTION("""COMPUTED_VALUE"""),1810.0)</f>
        <v>1810</v>
      </c>
      <c r="B1811" s="2" t="str">
        <f>IFERROR(__xludf.DUMMYFUNCTION("""COMPUTED_VALUE"""),"Andrei Krolik")</f>
        <v>Andrei Krolik</v>
      </c>
      <c r="C1811" s="2" t="str">
        <f>IFERROR(__xludf.DUMMYFUNCTION("""COMPUTED_VALUE"""),"akrolikmi@drupal.org")</f>
        <v>akrolikmi@drupal.org</v>
      </c>
      <c r="D1811" s="4">
        <f>IFERROR(__xludf.DUMMYFUNCTION("""COMPUTED_VALUE"""),88.0)</f>
        <v>88</v>
      </c>
      <c r="E1811" s="4">
        <f>IFERROR(__xludf.DUMMYFUNCTION("""COMPUTED_VALUE"""),107.0)</f>
        <v>107</v>
      </c>
      <c r="F1811" s="4">
        <f>IFERROR(__xludf.DUMMYFUNCTION("""COMPUTED_VALUE"""),5.0)</f>
        <v>5</v>
      </c>
      <c r="G1811" s="4">
        <f>IFERROR(__xludf.DUMMYFUNCTION("""COMPUTED_VALUE"""),106.0)</f>
        <v>106</v>
      </c>
      <c r="H1811" s="5">
        <f>IFERROR(__xludf.DUMMYFUNCTION("""COMPUTED_VALUE"""),7743.69)</f>
        <v>7743.69</v>
      </c>
      <c r="I1811" s="5">
        <f>IFERROR(__xludf.DUMMYFUNCTION("""COMPUTED_VALUE"""),1713.92)</f>
        <v>1713.92</v>
      </c>
      <c r="J1811" s="5">
        <f>IFERROR(__xludf.DUMMYFUNCTION("""COMPUTED_VALUE"""),3518.75)</f>
        <v>3518.75</v>
      </c>
      <c r="K1811" s="5">
        <f>IFERROR(__xludf.DUMMYFUNCTION("""COMPUTED_VALUE"""),4770.95)</f>
        <v>4770.95</v>
      </c>
      <c r="L1811" s="4">
        <f>IFERROR(__xludf.DUMMYFUNCTION("""COMPUTED_VALUE"""),6.0)</f>
        <v>6</v>
      </c>
      <c r="M1811" s="4">
        <f>IFERROR(__xludf.DUMMYFUNCTION("""COMPUTED_VALUE"""),70.0)</f>
        <v>70</v>
      </c>
      <c r="N1811" s="2" t="str">
        <f>IFERROR(__xludf.DUMMYFUNCTION("""COMPUTED_VALUE"""),"VERDADERO")</f>
        <v>VERDADERO</v>
      </c>
    </row>
    <row r="1812">
      <c r="A1812" s="2">
        <f>IFERROR(__xludf.DUMMYFUNCTION("""COMPUTED_VALUE"""),1811.0)</f>
        <v>1811</v>
      </c>
      <c r="B1812" s="2" t="str">
        <f>IFERROR(__xludf.DUMMYFUNCTION("""COMPUTED_VALUE"""),"Rorke Brellin")</f>
        <v>Rorke Brellin</v>
      </c>
      <c r="C1812" s="2" t="str">
        <f>IFERROR(__xludf.DUMMYFUNCTION("""COMPUTED_VALUE"""),"rbrellinmj@java.com")</f>
        <v>rbrellinmj@java.com</v>
      </c>
      <c r="D1812" s="4">
        <f>IFERROR(__xludf.DUMMYFUNCTION("""COMPUTED_VALUE"""),65.0)</f>
        <v>65</v>
      </c>
      <c r="E1812" s="4">
        <f>IFERROR(__xludf.DUMMYFUNCTION("""COMPUTED_VALUE"""),92.0)</f>
        <v>92</v>
      </c>
      <c r="F1812" s="4">
        <f>IFERROR(__xludf.DUMMYFUNCTION("""COMPUTED_VALUE"""),5.0)</f>
        <v>5</v>
      </c>
      <c r="G1812" s="4">
        <f>IFERROR(__xludf.DUMMYFUNCTION("""COMPUTED_VALUE"""),259.0)</f>
        <v>259</v>
      </c>
      <c r="H1812" s="5">
        <f>IFERROR(__xludf.DUMMYFUNCTION("""COMPUTED_VALUE"""),901.77)</f>
        <v>901.77</v>
      </c>
      <c r="I1812" s="5">
        <f>IFERROR(__xludf.DUMMYFUNCTION("""COMPUTED_VALUE"""),3328.38)</f>
        <v>3328.38</v>
      </c>
      <c r="J1812" s="5">
        <f>IFERROR(__xludf.DUMMYFUNCTION("""COMPUTED_VALUE"""),2634.39)</f>
        <v>2634.39</v>
      </c>
      <c r="K1812" s="5">
        <f>IFERROR(__xludf.DUMMYFUNCTION("""COMPUTED_VALUE"""),4823.24)</f>
        <v>4823.24</v>
      </c>
      <c r="L1812" s="4">
        <f>IFERROR(__xludf.DUMMYFUNCTION("""COMPUTED_VALUE"""),20.0)</f>
        <v>20</v>
      </c>
      <c r="M1812" s="4">
        <f>IFERROR(__xludf.DUMMYFUNCTION("""COMPUTED_VALUE"""),52.0)</f>
        <v>52</v>
      </c>
      <c r="N1812" s="2" t="str">
        <f>IFERROR(__xludf.DUMMYFUNCTION("""COMPUTED_VALUE"""),"VERDADERO")</f>
        <v>VERDADERO</v>
      </c>
    </row>
    <row r="1813">
      <c r="A1813" s="2">
        <f>IFERROR(__xludf.DUMMYFUNCTION("""COMPUTED_VALUE"""),1812.0)</f>
        <v>1812</v>
      </c>
      <c r="B1813" s="2" t="str">
        <f>IFERROR(__xludf.DUMMYFUNCTION("""COMPUTED_VALUE"""),"Claudia Hanhard")</f>
        <v>Claudia Hanhard</v>
      </c>
      <c r="C1813" s="2" t="str">
        <f>IFERROR(__xludf.DUMMYFUNCTION("""COMPUTED_VALUE"""),"chanhardmk@pinterest.com")</f>
        <v>chanhardmk@pinterest.com</v>
      </c>
      <c r="D1813" s="4">
        <f>IFERROR(__xludf.DUMMYFUNCTION("""COMPUTED_VALUE"""),89.0)</f>
        <v>89</v>
      </c>
      <c r="E1813" s="4">
        <f>IFERROR(__xludf.DUMMYFUNCTION("""COMPUTED_VALUE"""),112.0)</f>
        <v>112</v>
      </c>
      <c r="F1813" s="4">
        <f>IFERROR(__xludf.DUMMYFUNCTION("""COMPUTED_VALUE"""),11.0)</f>
        <v>11</v>
      </c>
      <c r="G1813" s="4">
        <f>IFERROR(__xludf.DUMMYFUNCTION("""COMPUTED_VALUE"""),675.0)</f>
        <v>675</v>
      </c>
      <c r="H1813" s="5">
        <f>IFERROR(__xludf.DUMMYFUNCTION("""COMPUTED_VALUE"""),9634.02)</f>
        <v>9634.02</v>
      </c>
      <c r="I1813" s="5">
        <f>IFERROR(__xludf.DUMMYFUNCTION("""COMPUTED_VALUE"""),8185.25)</f>
        <v>8185.25</v>
      </c>
      <c r="J1813" s="5">
        <f>IFERROR(__xludf.DUMMYFUNCTION("""COMPUTED_VALUE"""),7532.82)</f>
        <v>7532.82</v>
      </c>
      <c r="K1813" s="5">
        <f>IFERROR(__xludf.DUMMYFUNCTION("""COMPUTED_VALUE"""),8087.42)</f>
        <v>8087.42</v>
      </c>
      <c r="L1813" s="4">
        <f>IFERROR(__xludf.DUMMYFUNCTION("""COMPUTED_VALUE"""),17.0)</f>
        <v>17</v>
      </c>
      <c r="M1813" s="4">
        <f>IFERROR(__xludf.DUMMYFUNCTION("""COMPUTED_VALUE"""),78.0)</f>
        <v>78</v>
      </c>
      <c r="N1813" s="2" t="str">
        <f>IFERROR(__xludf.DUMMYFUNCTION("""COMPUTED_VALUE"""),"FALSO")</f>
        <v>FALSO</v>
      </c>
    </row>
    <row r="1814">
      <c r="A1814" s="2">
        <f>IFERROR(__xludf.DUMMYFUNCTION("""COMPUTED_VALUE"""),1813.0)</f>
        <v>1813</v>
      </c>
      <c r="B1814" s="2" t="str">
        <f>IFERROR(__xludf.DUMMYFUNCTION("""COMPUTED_VALUE"""),"Cheslie Addicote")</f>
        <v>Cheslie Addicote</v>
      </c>
      <c r="C1814" s="2" t="str">
        <f>IFERROR(__xludf.DUMMYFUNCTION("""COMPUTED_VALUE"""),"caddicoteml@prnewswire.com")</f>
        <v>caddicoteml@prnewswire.com</v>
      </c>
      <c r="D1814" s="4">
        <f>IFERROR(__xludf.DUMMYFUNCTION("""COMPUTED_VALUE"""),73.0)</f>
        <v>73</v>
      </c>
      <c r="E1814" s="4">
        <f>IFERROR(__xludf.DUMMYFUNCTION("""COMPUTED_VALUE"""),82.0)</f>
        <v>82</v>
      </c>
      <c r="F1814" s="4">
        <f>IFERROR(__xludf.DUMMYFUNCTION("""COMPUTED_VALUE"""),1.0)</f>
        <v>1</v>
      </c>
      <c r="G1814" s="4">
        <f>IFERROR(__xludf.DUMMYFUNCTION("""COMPUTED_VALUE"""),453.0)</f>
        <v>453</v>
      </c>
      <c r="H1814" s="5">
        <f>IFERROR(__xludf.DUMMYFUNCTION("""COMPUTED_VALUE"""),8255.07)</f>
        <v>8255.07</v>
      </c>
      <c r="I1814" s="5">
        <f>IFERROR(__xludf.DUMMYFUNCTION("""COMPUTED_VALUE"""),5438.02)</f>
        <v>5438.02</v>
      </c>
      <c r="J1814" s="5">
        <f>IFERROR(__xludf.DUMMYFUNCTION("""COMPUTED_VALUE"""),3420.08)</f>
        <v>3420.08</v>
      </c>
      <c r="K1814" s="5">
        <f>IFERROR(__xludf.DUMMYFUNCTION("""COMPUTED_VALUE"""),3959.12)</f>
        <v>3959.12</v>
      </c>
      <c r="L1814" s="4">
        <f>IFERROR(__xludf.DUMMYFUNCTION("""COMPUTED_VALUE"""),15.0)</f>
        <v>15</v>
      </c>
      <c r="M1814" s="4">
        <f>IFERROR(__xludf.DUMMYFUNCTION("""COMPUTED_VALUE"""),82.0)</f>
        <v>82</v>
      </c>
      <c r="N1814" s="2" t="str">
        <f>IFERROR(__xludf.DUMMYFUNCTION("""COMPUTED_VALUE"""),"FALSO")</f>
        <v>FALSO</v>
      </c>
    </row>
    <row r="1815">
      <c r="A1815" s="2">
        <f>IFERROR(__xludf.DUMMYFUNCTION("""COMPUTED_VALUE"""),1814.0)</f>
        <v>1814</v>
      </c>
      <c r="B1815" s="2" t="str">
        <f>IFERROR(__xludf.DUMMYFUNCTION("""COMPUTED_VALUE"""),"Harman Wrotham")</f>
        <v>Harman Wrotham</v>
      </c>
      <c r="C1815" s="2" t="str">
        <f>IFERROR(__xludf.DUMMYFUNCTION("""COMPUTED_VALUE"""),"hwrothammm@thetimes.co.uk")</f>
        <v>hwrothammm@thetimes.co.uk</v>
      </c>
      <c r="D1815" s="4">
        <f>IFERROR(__xludf.DUMMYFUNCTION("""COMPUTED_VALUE"""),30.0)</f>
        <v>30</v>
      </c>
      <c r="E1815" s="4">
        <f>IFERROR(__xludf.DUMMYFUNCTION("""COMPUTED_VALUE"""),112.0)</f>
        <v>112</v>
      </c>
      <c r="F1815" s="4">
        <f>IFERROR(__xludf.DUMMYFUNCTION("""COMPUTED_VALUE"""),11.0)</f>
        <v>11</v>
      </c>
      <c r="G1815" s="4">
        <f>IFERROR(__xludf.DUMMYFUNCTION("""COMPUTED_VALUE"""),242.0)</f>
        <v>242</v>
      </c>
      <c r="H1815" s="5">
        <f>IFERROR(__xludf.DUMMYFUNCTION("""COMPUTED_VALUE"""),6726.63)</f>
        <v>6726.63</v>
      </c>
      <c r="I1815" s="5">
        <f>IFERROR(__xludf.DUMMYFUNCTION("""COMPUTED_VALUE"""),1914.22)</f>
        <v>1914.22</v>
      </c>
      <c r="J1815" s="5">
        <f>IFERROR(__xludf.DUMMYFUNCTION("""COMPUTED_VALUE"""),3092.19)</f>
        <v>3092.19</v>
      </c>
      <c r="K1815" s="5">
        <f>IFERROR(__xludf.DUMMYFUNCTION("""COMPUTED_VALUE"""),8318.97)</f>
        <v>8318.97</v>
      </c>
      <c r="L1815" s="4">
        <f>IFERROR(__xludf.DUMMYFUNCTION("""COMPUTED_VALUE"""),4.0)</f>
        <v>4</v>
      </c>
      <c r="M1815" s="4">
        <f>IFERROR(__xludf.DUMMYFUNCTION("""COMPUTED_VALUE"""),41.0)</f>
        <v>41</v>
      </c>
      <c r="N1815" s="2" t="str">
        <f>IFERROR(__xludf.DUMMYFUNCTION("""COMPUTED_VALUE"""),"FALSO")</f>
        <v>FALSO</v>
      </c>
    </row>
    <row r="1816">
      <c r="A1816" s="2">
        <f>IFERROR(__xludf.DUMMYFUNCTION("""COMPUTED_VALUE"""),1815.0)</f>
        <v>1815</v>
      </c>
      <c r="B1816" s="2" t="str">
        <f>IFERROR(__xludf.DUMMYFUNCTION("""COMPUTED_VALUE"""),"Sterling Sandercroft")</f>
        <v>Sterling Sandercroft</v>
      </c>
      <c r="C1816" s="2" t="str">
        <f>IFERROR(__xludf.DUMMYFUNCTION("""COMPUTED_VALUE"""),"ssandercroftmn@domainmarket.com")</f>
        <v>ssandercroftmn@domainmarket.com</v>
      </c>
      <c r="D1816" s="4">
        <f>IFERROR(__xludf.DUMMYFUNCTION("""COMPUTED_VALUE"""),73.0)</f>
        <v>73</v>
      </c>
      <c r="E1816" s="4">
        <f>IFERROR(__xludf.DUMMYFUNCTION("""COMPUTED_VALUE"""),73.0)</f>
        <v>73</v>
      </c>
      <c r="F1816" s="4">
        <f>IFERROR(__xludf.DUMMYFUNCTION("""COMPUTED_VALUE"""),8.0)</f>
        <v>8</v>
      </c>
      <c r="G1816" s="4">
        <f>IFERROR(__xludf.DUMMYFUNCTION("""COMPUTED_VALUE"""),114.0)</f>
        <v>114</v>
      </c>
      <c r="H1816" s="5">
        <f>IFERROR(__xludf.DUMMYFUNCTION("""COMPUTED_VALUE"""),942.64)</f>
        <v>942.64</v>
      </c>
      <c r="I1816" s="5">
        <f>IFERROR(__xludf.DUMMYFUNCTION("""COMPUTED_VALUE"""),1079.62)</f>
        <v>1079.62</v>
      </c>
      <c r="J1816" s="5">
        <f>IFERROR(__xludf.DUMMYFUNCTION("""COMPUTED_VALUE"""),4113.48)</f>
        <v>4113.48</v>
      </c>
      <c r="K1816" s="5">
        <f>IFERROR(__xludf.DUMMYFUNCTION("""COMPUTED_VALUE"""),4532.43)</f>
        <v>4532.43</v>
      </c>
      <c r="L1816" s="4">
        <f>IFERROR(__xludf.DUMMYFUNCTION("""COMPUTED_VALUE"""),16.0)</f>
        <v>16</v>
      </c>
      <c r="M1816" s="4">
        <f>IFERROR(__xludf.DUMMYFUNCTION("""COMPUTED_VALUE"""),78.0)</f>
        <v>78</v>
      </c>
      <c r="N1816" s="2" t="str">
        <f>IFERROR(__xludf.DUMMYFUNCTION("""COMPUTED_VALUE"""),"FALSO")</f>
        <v>FALSO</v>
      </c>
    </row>
    <row r="1817">
      <c r="A1817" s="2">
        <f>IFERROR(__xludf.DUMMYFUNCTION("""COMPUTED_VALUE"""),1816.0)</f>
        <v>1816</v>
      </c>
      <c r="B1817" s="2" t="str">
        <f>IFERROR(__xludf.DUMMYFUNCTION("""COMPUTED_VALUE"""),"Galven Baggalley")</f>
        <v>Galven Baggalley</v>
      </c>
      <c r="C1817" s="2" t="str">
        <f>IFERROR(__xludf.DUMMYFUNCTION("""COMPUTED_VALUE"""),"gbaggalleymo@photobucket.com")</f>
        <v>gbaggalleymo@photobucket.com</v>
      </c>
      <c r="D1817" s="4">
        <f>IFERROR(__xludf.DUMMYFUNCTION("""COMPUTED_VALUE"""),29.0)</f>
        <v>29</v>
      </c>
      <c r="E1817" s="4">
        <f>IFERROR(__xludf.DUMMYFUNCTION("""COMPUTED_VALUE"""),81.0)</f>
        <v>81</v>
      </c>
      <c r="F1817" s="4">
        <f>IFERROR(__xludf.DUMMYFUNCTION("""COMPUTED_VALUE"""),2.0)</f>
        <v>2</v>
      </c>
      <c r="G1817" s="4">
        <f>IFERROR(__xludf.DUMMYFUNCTION("""COMPUTED_VALUE"""),1267.0)</f>
        <v>1267</v>
      </c>
      <c r="H1817" s="5">
        <f>IFERROR(__xludf.DUMMYFUNCTION("""COMPUTED_VALUE"""),4914.2)</f>
        <v>4914.2</v>
      </c>
      <c r="I1817" s="5">
        <f>IFERROR(__xludf.DUMMYFUNCTION("""COMPUTED_VALUE"""),3129.75)</f>
        <v>3129.75</v>
      </c>
      <c r="J1817" s="5">
        <f>IFERROR(__xludf.DUMMYFUNCTION("""COMPUTED_VALUE"""),5164.48)</f>
        <v>5164.48</v>
      </c>
      <c r="K1817" s="5">
        <f>IFERROR(__xludf.DUMMYFUNCTION("""COMPUTED_VALUE"""),4138.33)</f>
        <v>4138.33</v>
      </c>
      <c r="L1817" s="4">
        <f>IFERROR(__xludf.DUMMYFUNCTION("""COMPUTED_VALUE"""),11.0)</f>
        <v>11</v>
      </c>
      <c r="M1817" s="4">
        <f>IFERROR(__xludf.DUMMYFUNCTION("""COMPUTED_VALUE"""),87.0)</f>
        <v>87</v>
      </c>
      <c r="N1817" s="2" t="str">
        <f>IFERROR(__xludf.DUMMYFUNCTION("""COMPUTED_VALUE"""),"FALSO")</f>
        <v>FALSO</v>
      </c>
    </row>
    <row r="1818">
      <c r="A1818" s="2">
        <f>IFERROR(__xludf.DUMMYFUNCTION("""COMPUTED_VALUE"""),1817.0)</f>
        <v>1817</v>
      </c>
      <c r="B1818" s="2" t="str">
        <f>IFERROR(__xludf.DUMMYFUNCTION("""COMPUTED_VALUE"""),"Robby Bras")</f>
        <v>Robby Bras</v>
      </c>
      <c r="C1818" s="2" t="str">
        <f>IFERROR(__xludf.DUMMYFUNCTION("""COMPUTED_VALUE"""),"rbrasmp@domainmarket.com")</f>
        <v>rbrasmp@domainmarket.com</v>
      </c>
      <c r="D1818" s="4">
        <f>IFERROR(__xludf.DUMMYFUNCTION("""COMPUTED_VALUE"""),24.0)</f>
        <v>24</v>
      </c>
      <c r="E1818" s="4">
        <f>IFERROR(__xludf.DUMMYFUNCTION("""COMPUTED_VALUE"""),33.0)</f>
        <v>33</v>
      </c>
      <c r="F1818" s="4">
        <f>IFERROR(__xludf.DUMMYFUNCTION("""COMPUTED_VALUE"""),5.0)</f>
        <v>5</v>
      </c>
      <c r="G1818" s="4">
        <f>IFERROR(__xludf.DUMMYFUNCTION("""COMPUTED_VALUE"""),329.0)</f>
        <v>329</v>
      </c>
      <c r="H1818" s="5">
        <f>IFERROR(__xludf.DUMMYFUNCTION("""COMPUTED_VALUE"""),9976.35)</f>
        <v>9976.35</v>
      </c>
      <c r="I1818" s="5">
        <f>IFERROR(__xludf.DUMMYFUNCTION("""COMPUTED_VALUE"""),69.76)</f>
        <v>69.76</v>
      </c>
      <c r="J1818" s="5">
        <f>IFERROR(__xludf.DUMMYFUNCTION("""COMPUTED_VALUE"""),9056.43)</f>
        <v>9056.43</v>
      </c>
      <c r="K1818" s="5">
        <f>IFERROR(__xludf.DUMMYFUNCTION("""COMPUTED_VALUE"""),976.94)</f>
        <v>976.94</v>
      </c>
      <c r="L1818" s="4">
        <f>IFERROR(__xludf.DUMMYFUNCTION("""COMPUTED_VALUE"""),10.0)</f>
        <v>10</v>
      </c>
      <c r="M1818" s="4">
        <f>IFERROR(__xludf.DUMMYFUNCTION("""COMPUTED_VALUE"""),78.0)</f>
        <v>78</v>
      </c>
      <c r="N1818" s="2" t="str">
        <f>IFERROR(__xludf.DUMMYFUNCTION("""COMPUTED_VALUE"""),"FALSO")</f>
        <v>FALSO</v>
      </c>
    </row>
    <row r="1819">
      <c r="A1819" s="2">
        <f>IFERROR(__xludf.DUMMYFUNCTION("""COMPUTED_VALUE"""),1818.0)</f>
        <v>1818</v>
      </c>
      <c r="B1819" s="2" t="str">
        <f>IFERROR(__xludf.DUMMYFUNCTION("""COMPUTED_VALUE"""),"Boycie Crickett")</f>
        <v>Boycie Crickett</v>
      </c>
      <c r="C1819" s="2" t="str">
        <f>IFERROR(__xludf.DUMMYFUNCTION("""COMPUTED_VALUE"""),"bcrickettmq@dion.ne.jp")</f>
        <v>bcrickettmq@dion.ne.jp</v>
      </c>
      <c r="D1819" s="4">
        <f>IFERROR(__xludf.DUMMYFUNCTION("""COMPUTED_VALUE"""),29.0)</f>
        <v>29</v>
      </c>
      <c r="E1819" s="4">
        <f>IFERROR(__xludf.DUMMYFUNCTION("""COMPUTED_VALUE"""),62.0)</f>
        <v>62</v>
      </c>
      <c r="F1819" s="4">
        <f>IFERROR(__xludf.DUMMYFUNCTION("""COMPUTED_VALUE"""),4.0)</f>
        <v>4</v>
      </c>
      <c r="G1819" s="4">
        <f>IFERROR(__xludf.DUMMYFUNCTION("""COMPUTED_VALUE"""),799.0)</f>
        <v>799</v>
      </c>
      <c r="H1819" s="5">
        <f>IFERROR(__xludf.DUMMYFUNCTION("""COMPUTED_VALUE"""),3185.79)</f>
        <v>3185.79</v>
      </c>
      <c r="I1819" s="5">
        <f>IFERROR(__xludf.DUMMYFUNCTION("""COMPUTED_VALUE"""),3621.52)</f>
        <v>3621.52</v>
      </c>
      <c r="J1819" s="5">
        <f>IFERROR(__xludf.DUMMYFUNCTION("""COMPUTED_VALUE"""),6633.78)</f>
        <v>6633.78</v>
      </c>
      <c r="K1819" s="5">
        <f>IFERROR(__xludf.DUMMYFUNCTION("""COMPUTED_VALUE"""),9765.27)</f>
        <v>9765.27</v>
      </c>
      <c r="L1819" s="4">
        <f>IFERROR(__xludf.DUMMYFUNCTION("""COMPUTED_VALUE"""),5.0)</f>
        <v>5</v>
      </c>
      <c r="M1819" s="4">
        <f>IFERROR(__xludf.DUMMYFUNCTION("""COMPUTED_VALUE"""),53.0)</f>
        <v>53</v>
      </c>
      <c r="N1819" s="2" t="str">
        <f>IFERROR(__xludf.DUMMYFUNCTION("""COMPUTED_VALUE"""),"VERDADERO")</f>
        <v>VERDADERO</v>
      </c>
    </row>
    <row r="1820">
      <c r="A1820" s="2">
        <f>IFERROR(__xludf.DUMMYFUNCTION("""COMPUTED_VALUE"""),1819.0)</f>
        <v>1819</v>
      </c>
      <c r="B1820" s="2" t="str">
        <f>IFERROR(__xludf.DUMMYFUNCTION("""COMPUTED_VALUE"""),"Gwenni Alessandone")</f>
        <v>Gwenni Alessandone</v>
      </c>
      <c r="C1820" s="2" t="str">
        <f>IFERROR(__xludf.DUMMYFUNCTION("""COMPUTED_VALUE"""),"galessandonemr@miitbeian.gov.cn")</f>
        <v>galessandonemr@miitbeian.gov.cn</v>
      </c>
      <c r="D1820" s="4">
        <f>IFERROR(__xludf.DUMMYFUNCTION("""COMPUTED_VALUE"""),137.0)</f>
        <v>137</v>
      </c>
      <c r="E1820" s="4">
        <f>IFERROR(__xludf.DUMMYFUNCTION("""COMPUTED_VALUE"""),81.0)</f>
        <v>81</v>
      </c>
      <c r="F1820" s="4">
        <f>IFERROR(__xludf.DUMMYFUNCTION("""COMPUTED_VALUE"""),2.0)</f>
        <v>2</v>
      </c>
      <c r="G1820" s="4">
        <f>IFERROR(__xludf.DUMMYFUNCTION("""COMPUTED_VALUE"""),658.0)</f>
        <v>658</v>
      </c>
      <c r="H1820" s="5">
        <f>IFERROR(__xludf.DUMMYFUNCTION("""COMPUTED_VALUE"""),1709.75)</f>
        <v>1709.75</v>
      </c>
      <c r="I1820" s="5">
        <f>IFERROR(__xludf.DUMMYFUNCTION("""COMPUTED_VALUE"""),8355.38)</f>
        <v>8355.38</v>
      </c>
      <c r="J1820" s="5">
        <f>IFERROR(__xludf.DUMMYFUNCTION("""COMPUTED_VALUE"""),7372.01)</f>
        <v>7372.01</v>
      </c>
      <c r="K1820" s="5">
        <f>IFERROR(__xludf.DUMMYFUNCTION("""COMPUTED_VALUE"""),356.38)</f>
        <v>356.38</v>
      </c>
      <c r="L1820" s="4">
        <f>IFERROR(__xludf.DUMMYFUNCTION("""COMPUTED_VALUE"""),12.0)</f>
        <v>12</v>
      </c>
      <c r="M1820" s="4">
        <f>IFERROR(__xludf.DUMMYFUNCTION("""COMPUTED_VALUE"""),86.0)</f>
        <v>86</v>
      </c>
      <c r="N1820" s="2" t="str">
        <f>IFERROR(__xludf.DUMMYFUNCTION("""COMPUTED_VALUE"""),"VERDADERO")</f>
        <v>VERDADERO</v>
      </c>
    </row>
    <row r="1821">
      <c r="A1821" s="2">
        <f>IFERROR(__xludf.DUMMYFUNCTION("""COMPUTED_VALUE"""),1820.0)</f>
        <v>1820</v>
      </c>
      <c r="B1821" s="2" t="str">
        <f>IFERROR(__xludf.DUMMYFUNCTION("""COMPUTED_VALUE"""),"Brandice Swainson")</f>
        <v>Brandice Swainson</v>
      </c>
      <c r="C1821" s="2" t="str">
        <f>IFERROR(__xludf.DUMMYFUNCTION("""COMPUTED_VALUE"""),"bswainsonms@shop-pro.jp")</f>
        <v>bswainsonms@shop-pro.jp</v>
      </c>
      <c r="D1821" s="4">
        <f>IFERROR(__xludf.DUMMYFUNCTION("""COMPUTED_VALUE"""),36.0)</f>
        <v>36</v>
      </c>
      <c r="E1821" s="4">
        <f>IFERROR(__xludf.DUMMYFUNCTION("""COMPUTED_VALUE"""),81.0)</f>
        <v>81</v>
      </c>
      <c r="F1821" s="4">
        <f>IFERROR(__xludf.DUMMYFUNCTION("""COMPUTED_VALUE"""),2.0)</f>
        <v>2</v>
      </c>
      <c r="G1821" s="4">
        <f>IFERROR(__xludf.DUMMYFUNCTION("""COMPUTED_VALUE"""),7.0)</f>
        <v>7</v>
      </c>
      <c r="H1821" s="5">
        <f>IFERROR(__xludf.DUMMYFUNCTION("""COMPUTED_VALUE"""),1258.65)</f>
        <v>1258.65</v>
      </c>
      <c r="I1821" s="5">
        <f>IFERROR(__xludf.DUMMYFUNCTION("""COMPUTED_VALUE"""),4857.59)</f>
        <v>4857.59</v>
      </c>
      <c r="J1821" s="5">
        <f>IFERROR(__xludf.DUMMYFUNCTION("""COMPUTED_VALUE"""),2774.15)</f>
        <v>2774.15</v>
      </c>
      <c r="K1821" s="5">
        <f>IFERROR(__xludf.DUMMYFUNCTION("""COMPUTED_VALUE"""),1938.65)</f>
        <v>1938.65</v>
      </c>
      <c r="L1821" s="4">
        <f>IFERROR(__xludf.DUMMYFUNCTION("""COMPUTED_VALUE"""),20.0)</f>
        <v>20</v>
      </c>
      <c r="M1821" s="4">
        <f>IFERROR(__xludf.DUMMYFUNCTION("""COMPUTED_VALUE"""),91.0)</f>
        <v>91</v>
      </c>
      <c r="N1821" s="2" t="str">
        <f>IFERROR(__xludf.DUMMYFUNCTION("""COMPUTED_VALUE"""),"VERDADERO")</f>
        <v>VERDADERO</v>
      </c>
    </row>
    <row r="1822">
      <c r="A1822" s="2">
        <f>IFERROR(__xludf.DUMMYFUNCTION("""COMPUTED_VALUE"""),1821.0)</f>
        <v>1821</v>
      </c>
      <c r="B1822" s="2" t="str">
        <f>IFERROR(__xludf.DUMMYFUNCTION("""COMPUTED_VALUE"""),"Kendra Lidgley")</f>
        <v>Kendra Lidgley</v>
      </c>
      <c r="C1822" s="2" t="str">
        <f>IFERROR(__xludf.DUMMYFUNCTION("""COMPUTED_VALUE"""),"klidgleymt@cdc.gov")</f>
        <v>klidgleymt@cdc.gov</v>
      </c>
      <c r="D1822" s="4">
        <f>IFERROR(__xludf.DUMMYFUNCTION("""COMPUTED_VALUE"""),128.0)</f>
        <v>128</v>
      </c>
      <c r="E1822" s="4">
        <f>IFERROR(__xludf.DUMMYFUNCTION("""COMPUTED_VALUE"""),85.0)</f>
        <v>85</v>
      </c>
      <c r="F1822" s="4">
        <f>IFERROR(__xludf.DUMMYFUNCTION("""COMPUTED_VALUE"""),3.0)</f>
        <v>3</v>
      </c>
      <c r="G1822" s="4">
        <f>IFERROR(__xludf.DUMMYFUNCTION("""COMPUTED_VALUE"""),401.0)</f>
        <v>401</v>
      </c>
      <c r="H1822" s="5">
        <f>IFERROR(__xludf.DUMMYFUNCTION("""COMPUTED_VALUE"""),1036.3)</f>
        <v>1036.3</v>
      </c>
      <c r="I1822" s="5">
        <f>IFERROR(__xludf.DUMMYFUNCTION("""COMPUTED_VALUE"""),7807.51)</f>
        <v>7807.51</v>
      </c>
      <c r="J1822" s="5">
        <f>IFERROR(__xludf.DUMMYFUNCTION("""COMPUTED_VALUE"""),9030.09)</f>
        <v>9030.09</v>
      </c>
      <c r="K1822" s="5">
        <f>IFERROR(__xludf.DUMMYFUNCTION("""COMPUTED_VALUE"""),884.05)</f>
        <v>884.05</v>
      </c>
      <c r="L1822" s="4">
        <f>IFERROR(__xludf.DUMMYFUNCTION("""COMPUTED_VALUE"""),6.0)</f>
        <v>6</v>
      </c>
      <c r="M1822" s="4">
        <f>IFERROR(__xludf.DUMMYFUNCTION("""COMPUTED_VALUE"""),90.0)</f>
        <v>90</v>
      </c>
      <c r="N1822" s="2" t="str">
        <f>IFERROR(__xludf.DUMMYFUNCTION("""COMPUTED_VALUE"""),"VERDADERO")</f>
        <v>VERDADERO</v>
      </c>
    </row>
    <row r="1823">
      <c r="A1823" s="2">
        <f>IFERROR(__xludf.DUMMYFUNCTION("""COMPUTED_VALUE"""),1822.0)</f>
        <v>1822</v>
      </c>
      <c r="B1823" s="2" t="str">
        <f>IFERROR(__xludf.DUMMYFUNCTION("""COMPUTED_VALUE"""),"Brnaby Garrelts")</f>
        <v>Brnaby Garrelts</v>
      </c>
      <c r="C1823" s="2" t="str">
        <f>IFERROR(__xludf.DUMMYFUNCTION("""COMPUTED_VALUE"""),"bgarreltsmu@si.edu")</f>
        <v>bgarreltsmu@si.edu</v>
      </c>
      <c r="D1823" s="4">
        <f>IFERROR(__xludf.DUMMYFUNCTION("""COMPUTED_VALUE"""),29.0)</f>
        <v>29</v>
      </c>
      <c r="E1823" s="4">
        <f>IFERROR(__xludf.DUMMYFUNCTION("""COMPUTED_VALUE"""),36.0)</f>
        <v>36</v>
      </c>
      <c r="F1823" s="4">
        <f>IFERROR(__xludf.DUMMYFUNCTION("""COMPUTED_VALUE"""),5.0)</f>
        <v>5</v>
      </c>
      <c r="G1823" s="4">
        <f>IFERROR(__xludf.DUMMYFUNCTION("""COMPUTED_VALUE"""),186.0)</f>
        <v>186</v>
      </c>
      <c r="H1823" s="5">
        <f>IFERROR(__xludf.DUMMYFUNCTION("""COMPUTED_VALUE"""),979.05)</f>
        <v>979.05</v>
      </c>
      <c r="I1823" s="5">
        <f>IFERROR(__xludf.DUMMYFUNCTION("""COMPUTED_VALUE"""),7781.14)</f>
        <v>7781.14</v>
      </c>
      <c r="J1823" s="5">
        <f>IFERROR(__xludf.DUMMYFUNCTION("""COMPUTED_VALUE"""),8267.72)</f>
        <v>8267.72</v>
      </c>
      <c r="K1823" s="5">
        <f>IFERROR(__xludf.DUMMYFUNCTION("""COMPUTED_VALUE"""),8683.26)</f>
        <v>8683.26</v>
      </c>
      <c r="L1823" s="4">
        <f>IFERROR(__xludf.DUMMYFUNCTION("""COMPUTED_VALUE"""),14.0)</f>
        <v>14</v>
      </c>
      <c r="M1823" s="4">
        <f>IFERROR(__xludf.DUMMYFUNCTION("""COMPUTED_VALUE"""),33.0)</f>
        <v>33</v>
      </c>
      <c r="N1823" s="2" t="str">
        <f>IFERROR(__xludf.DUMMYFUNCTION("""COMPUTED_VALUE"""),"VERDADERO")</f>
        <v>VERDADERO</v>
      </c>
    </row>
    <row r="1824">
      <c r="A1824" s="2">
        <f>IFERROR(__xludf.DUMMYFUNCTION("""COMPUTED_VALUE"""),1823.0)</f>
        <v>1823</v>
      </c>
      <c r="B1824" s="2" t="str">
        <f>IFERROR(__xludf.DUMMYFUNCTION("""COMPUTED_VALUE"""),"Rita Soppett")</f>
        <v>Rita Soppett</v>
      </c>
      <c r="C1824" s="2" t="str">
        <f>IFERROR(__xludf.DUMMYFUNCTION("""COMPUTED_VALUE"""),"rsoppettmv@sun.com")</f>
        <v>rsoppettmv@sun.com</v>
      </c>
      <c r="D1824" s="4">
        <f>IFERROR(__xludf.DUMMYFUNCTION("""COMPUTED_VALUE"""),122.0)</f>
        <v>122</v>
      </c>
      <c r="E1824" s="4">
        <f>IFERROR(__xludf.DUMMYFUNCTION("""COMPUTED_VALUE"""),88.0)</f>
        <v>88</v>
      </c>
      <c r="F1824" s="4">
        <f>IFERROR(__xludf.DUMMYFUNCTION("""COMPUTED_VALUE"""),3.0)</f>
        <v>3</v>
      </c>
      <c r="G1824" s="4">
        <f>IFERROR(__xludf.DUMMYFUNCTION("""COMPUTED_VALUE"""),684.0)</f>
        <v>684</v>
      </c>
      <c r="H1824" s="5">
        <f>IFERROR(__xludf.DUMMYFUNCTION("""COMPUTED_VALUE"""),1417.93)</f>
        <v>1417.93</v>
      </c>
      <c r="I1824" s="5">
        <f>IFERROR(__xludf.DUMMYFUNCTION("""COMPUTED_VALUE"""),2387.26)</f>
        <v>2387.26</v>
      </c>
      <c r="J1824" s="5">
        <f>IFERROR(__xludf.DUMMYFUNCTION("""COMPUTED_VALUE"""),2957.26)</f>
        <v>2957.26</v>
      </c>
      <c r="K1824" s="5">
        <f>IFERROR(__xludf.DUMMYFUNCTION("""COMPUTED_VALUE"""),9091.76)</f>
        <v>9091.76</v>
      </c>
      <c r="L1824" s="4">
        <f>IFERROR(__xludf.DUMMYFUNCTION("""COMPUTED_VALUE"""),2.0)</f>
        <v>2</v>
      </c>
      <c r="M1824" s="4">
        <f>IFERROR(__xludf.DUMMYFUNCTION("""COMPUTED_VALUE"""),63.0)</f>
        <v>63</v>
      </c>
      <c r="N1824" s="2" t="str">
        <f>IFERROR(__xludf.DUMMYFUNCTION("""COMPUTED_VALUE"""),"FALSO")</f>
        <v>FALSO</v>
      </c>
    </row>
    <row r="1825">
      <c r="A1825" s="2">
        <f>IFERROR(__xludf.DUMMYFUNCTION("""COMPUTED_VALUE"""),1824.0)</f>
        <v>1824</v>
      </c>
      <c r="B1825" s="2" t="str">
        <f>IFERROR(__xludf.DUMMYFUNCTION("""COMPUTED_VALUE"""),"Bendite Bullivent")</f>
        <v>Bendite Bullivent</v>
      </c>
      <c r="C1825" s="2" t="str">
        <f>IFERROR(__xludf.DUMMYFUNCTION("""COMPUTED_VALUE"""),"bbulliventmw@state.gov")</f>
        <v>bbulliventmw@state.gov</v>
      </c>
      <c r="D1825" s="4">
        <f>IFERROR(__xludf.DUMMYFUNCTION("""COMPUTED_VALUE"""),34.0)</f>
        <v>34</v>
      </c>
      <c r="E1825" s="4">
        <f>IFERROR(__xludf.DUMMYFUNCTION("""COMPUTED_VALUE"""),100.0)</f>
        <v>100</v>
      </c>
      <c r="F1825" s="4">
        <f>IFERROR(__xludf.DUMMYFUNCTION("""COMPUTED_VALUE"""),9.0)</f>
        <v>9</v>
      </c>
      <c r="G1825" s="4">
        <f>IFERROR(__xludf.DUMMYFUNCTION("""COMPUTED_VALUE"""),1592.0)</f>
        <v>1592</v>
      </c>
      <c r="H1825" s="5">
        <f>IFERROR(__xludf.DUMMYFUNCTION("""COMPUTED_VALUE"""),5451.99)</f>
        <v>5451.99</v>
      </c>
      <c r="I1825" s="5">
        <f>IFERROR(__xludf.DUMMYFUNCTION("""COMPUTED_VALUE"""),6430.18)</f>
        <v>6430.18</v>
      </c>
      <c r="J1825" s="5">
        <f>IFERROR(__xludf.DUMMYFUNCTION("""COMPUTED_VALUE"""),5907.16)</f>
        <v>5907.16</v>
      </c>
      <c r="K1825" s="5">
        <f>IFERROR(__xludf.DUMMYFUNCTION("""COMPUTED_VALUE"""),7821.59)</f>
        <v>7821.59</v>
      </c>
      <c r="L1825" s="4">
        <f>IFERROR(__xludf.DUMMYFUNCTION("""COMPUTED_VALUE"""),7.0)</f>
        <v>7</v>
      </c>
      <c r="M1825" s="4">
        <f>IFERROR(__xludf.DUMMYFUNCTION("""COMPUTED_VALUE"""),26.0)</f>
        <v>26</v>
      </c>
      <c r="N1825" s="2" t="str">
        <f>IFERROR(__xludf.DUMMYFUNCTION("""COMPUTED_VALUE"""),"VERDADERO")</f>
        <v>VERDADERO</v>
      </c>
    </row>
    <row r="1826">
      <c r="A1826" s="2">
        <f>IFERROR(__xludf.DUMMYFUNCTION("""COMPUTED_VALUE"""),1825.0)</f>
        <v>1825</v>
      </c>
      <c r="B1826" s="2" t="str">
        <f>IFERROR(__xludf.DUMMYFUNCTION("""COMPUTED_VALUE"""),"Zerk Beaushaw")</f>
        <v>Zerk Beaushaw</v>
      </c>
      <c r="C1826" s="2" t="str">
        <f>IFERROR(__xludf.DUMMYFUNCTION("""COMPUTED_VALUE"""),"zbeaushawmx@nih.gov")</f>
        <v>zbeaushawmx@nih.gov</v>
      </c>
      <c r="D1826" s="4">
        <f>IFERROR(__xludf.DUMMYFUNCTION("""COMPUTED_VALUE"""),120.0)</f>
        <v>120</v>
      </c>
      <c r="E1826" s="4">
        <f>IFERROR(__xludf.DUMMYFUNCTION("""COMPUTED_VALUE"""),6.0)</f>
        <v>6</v>
      </c>
      <c r="F1826" s="4">
        <f>IFERROR(__xludf.DUMMYFUNCTION("""COMPUTED_VALUE"""),13.0)</f>
        <v>13</v>
      </c>
      <c r="G1826" s="4">
        <f>IFERROR(__xludf.DUMMYFUNCTION("""COMPUTED_VALUE"""),531.0)</f>
        <v>531</v>
      </c>
      <c r="H1826" s="5">
        <f>IFERROR(__xludf.DUMMYFUNCTION("""COMPUTED_VALUE"""),9080.27)</f>
        <v>9080.27</v>
      </c>
      <c r="I1826" s="5">
        <f>IFERROR(__xludf.DUMMYFUNCTION("""COMPUTED_VALUE"""),57.25)</f>
        <v>57.25</v>
      </c>
      <c r="J1826" s="5">
        <f>IFERROR(__xludf.DUMMYFUNCTION("""COMPUTED_VALUE"""),7977.05)</f>
        <v>7977.05</v>
      </c>
      <c r="K1826" s="5">
        <f>IFERROR(__xludf.DUMMYFUNCTION("""COMPUTED_VALUE"""),1521.95)</f>
        <v>1521.95</v>
      </c>
      <c r="L1826" s="4">
        <f>IFERROR(__xludf.DUMMYFUNCTION("""COMPUTED_VALUE"""),6.0)</f>
        <v>6</v>
      </c>
      <c r="M1826" s="4">
        <f>IFERROR(__xludf.DUMMYFUNCTION("""COMPUTED_VALUE"""),73.0)</f>
        <v>73</v>
      </c>
      <c r="N1826" s="2" t="str">
        <f>IFERROR(__xludf.DUMMYFUNCTION("""COMPUTED_VALUE"""),"VERDADERO")</f>
        <v>VERDADERO</v>
      </c>
    </row>
    <row r="1827">
      <c r="A1827" s="2">
        <f>IFERROR(__xludf.DUMMYFUNCTION("""COMPUTED_VALUE"""),1826.0)</f>
        <v>1826</v>
      </c>
      <c r="B1827" s="2" t="str">
        <f>IFERROR(__xludf.DUMMYFUNCTION("""COMPUTED_VALUE"""),"Alvan Flament")</f>
        <v>Alvan Flament</v>
      </c>
      <c r="C1827" s="2" t="str">
        <f>IFERROR(__xludf.DUMMYFUNCTION("""COMPUTED_VALUE"""),"aflamentmy@tinyurl.com")</f>
        <v>aflamentmy@tinyurl.com</v>
      </c>
      <c r="D1827" s="4">
        <f>IFERROR(__xludf.DUMMYFUNCTION("""COMPUTED_VALUE"""),5.0)</f>
        <v>5</v>
      </c>
      <c r="E1827" s="4">
        <f>IFERROR(__xludf.DUMMYFUNCTION("""COMPUTED_VALUE"""),118.0)</f>
        <v>118</v>
      </c>
      <c r="F1827" s="4">
        <f>IFERROR(__xludf.DUMMYFUNCTION("""COMPUTED_VALUE"""),9.0)</f>
        <v>9</v>
      </c>
      <c r="G1827" s="4">
        <f>IFERROR(__xludf.DUMMYFUNCTION("""COMPUTED_VALUE"""),36.0)</f>
        <v>36</v>
      </c>
      <c r="H1827" s="5">
        <f>IFERROR(__xludf.DUMMYFUNCTION("""COMPUTED_VALUE"""),7009.3)</f>
        <v>7009.3</v>
      </c>
      <c r="I1827" s="5">
        <f>IFERROR(__xludf.DUMMYFUNCTION("""COMPUTED_VALUE"""),6245.13)</f>
        <v>6245.13</v>
      </c>
      <c r="J1827" s="5">
        <f>IFERROR(__xludf.DUMMYFUNCTION("""COMPUTED_VALUE"""),7501.79)</f>
        <v>7501.79</v>
      </c>
      <c r="K1827" s="5">
        <f>IFERROR(__xludf.DUMMYFUNCTION("""COMPUTED_VALUE"""),6843.97)</f>
        <v>6843.97</v>
      </c>
      <c r="L1827" s="4">
        <f>IFERROR(__xludf.DUMMYFUNCTION("""COMPUTED_VALUE"""),6.0)</f>
        <v>6</v>
      </c>
      <c r="M1827" s="4">
        <f>IFERROR(__xludf.DUMMYFUNCTION("""COMPUTED_VALUE"""),35.0)</f>
        <v>35</v>
      </c>
      <c r="N1827" s="2" t="str">
        <f>IFERROR(__xludf.DUMMYFUNCTION("""COMPUTED_VALUE"""),"FALSO")</f>
        <v>FALSO</v>
      </c>
    </row>
    <row r="1828">
      <c r="A1828" s="2">
        <f>IFERROR(__xludf.DUMMYFUNCTION("""COMPUTED_VALUE"""),1827.0)</f>
        <v>1827</v>
      </c>
      <c r="B1828" s="2" t="str">
        <f>IFERROR(__xludf.DUMMYFUNCTION("""COMPUTED_VALUE"""),"Lark Linger")</f>
        <v>Lark Linger</v>
      </c>
      <c r="C1828" s="2" t="str">
        <f>IFERROR(__xludf.DUMMYFUNCTION("""COMPUTED_VALUE"""),"llingermz@furl.net")</f>
        <v>llingermz@furl.net</v>
      </c>
      <c r="D1828" s="4">
        <f>IFERROR(__xludf.DUMMYFUNCTION("""COMPUTED_VALUE"""),65.0)</f>
        <v>65</v>
      </c>
      <c r="E1828" s="4">
        <f>IFERROR(__xludf.DUMMYFUNCTION("""COMPUTED_VALUE"""),4.0)</f>
        <v>4</v>
      </c>
      <c r="F1828" s="4">
        <f>IFERROR(__xludf.DUMMYFUNCTION("""COMPUTED_VALUE"""),9.0)</f>
        <v>9</v>
      </c>
      <c r="G1828" s="4">
        <f>IFERROR(__xludf.DUMMYFUNCTION("""COMPUTED_VALUE"""),307.0)</f>
        <v>307</v>
      </c>
      <c r="H1828" s="5">
        <f>IFERROR(__xludf.DUMMYFUNCTION("""COMPUTED_VALUE"""),8773.12)</f>
        <v>8773.12</v>
      </c>
      <c r="I1828" s="5">
        <f>IFERROR(__xludf.DUMMYFUNCTION("""COMPUTED_VALUE"""),1666.98)</f>
        <v>1666.98</v>
      </c>
      <c r="J1828" s="5">
        <f>IFERROR(__xludf.DUMMYFUNCTION("""COMPUTED_VALUE"""),6710.29)</f>
        <v>6710.29</v>
      </c>
      <c r="K1828" s="5">
        <f>IFERROR(__xludf.DUMMYFUNCTION("""COMPUTED_VALUE"""),6414.6)</f>
        <v>6414.6</v>
      </c>
      <c r="L1828" s="4">
        <f>IFERROR(__xludf.DUMMYFUNCTION("""COMPUTED_VALUE"""),20.0)</f>
        <v>20</v>
      </c>
      <c r="M1828" s="4">
        <f>IFERROR(__xludf.DUMMYFUNCTION("""COMPUTED_VALUE"""),40.0)</f>
        <v>40</v>
      </c>
      <c r="N1828" s="2" t="str">
        <f>IFERROR(__xludf.DUMMYFUNCTION("""COMPUTED_VALUE"""),"VERDADERO")</f>
        <v>VERDADERO</v>
      </c>
    </row>
    <row r="1829">
      <c r="A1829" s="2">
        <f>IFERROR(__xludf.DUMMYFUNCTION("""COMPUTED_VALUE"""),1828.0)</f>
        <v>1828</v>
      </c>
      <c r="B1829" s="2" t="str">
        <f>IFERROR(__xludf.DUMMYFUNCTION("""COMPUTED_VALUE"""),"Arney Arden")</f>
        <v>Arney Arden</v>
      </c>
      <c r="C1829" s="2" t="str">
        <f>IFERROR(__xludf.DUMMYFUNCTION("""COMPUTED_VALUE"""),"aardenn0@digg.com")</f>
        <v>aardenn0@digg.com</v>
      </c>
      <c r="D1829" s="4">
        <f>IFERROR(__xludf.DUMMYFUNCTION("""COMPUTED_VALUE"""),122.0)</f>
        <v>122</v>
      </c>
      <c r="E1829" s="4">
        <f>IFERROR(__xludf.DUMMYFUNCTION("""COMPUTED_VALUE"""),81.0)</f>
        <v>81</v>
      </c>
      <c r="F1829" s="4">
        <f>IFERROR(__xludf.DUMMYFUNCTION("""COMPUTED_VALUE"""),2.0)</f>
        <v>2</v>
      </c>
      <c r="G1829" s="4">
        <f>IFERROR(__xludf.DUMMYFUNCTION("""COMPUTED_VALUE"""),1148.0)</f>
        <v>1148</v>
      </c>
      <c r="H1829" s="5">
        <f>IFERROR(__xludf.DUMMYFUNCTION("""COMPUTED_VALUE"""),3719.55)</f>
        <v>3719.55</v>
      </c>
      <c r="I1829" s="5">
        <f>IFERROR(__xludf.DUMMYFUNCTION("""COMPUTED_VALUE"""),7019.58)</f>
        <v>7019.58</v>
      </c>
      <c r="J1829" s="5">
        <f>IFERROR(__xludf.DUMMYFUNCTION("""COMPUTED_VALUE"""),3895.88)</f>
        <v>3895.88</v>
      </c>
      <c r="K1829" s="5">
        <f>IFERROR(__xludf.DUMMYFUNCTION("""COMPUTED_VALUE"""),9103.39)</f>
        <v>9103.39</v>
      </c>
      <c r="L1829" s="4">
        <f>IFERROR(__xludf.DUMMYFUNCTION("""COMPUTED_VALUE"""),9.0)</f>
        <v>9</v>
      </c>
      <c r="M1829" s="4">
        <f>IFERROR(__xludf.DUMMYFUNCTION("""COMPUTED_VALUE"""),88.0)</f>
        <v>88</v>
      </c>
      <c r="N1829" s="2" t="str">
        <f>IFERROR(__xludf.DUMMYFUNCTION("""COMPUTED_VALUE"""),"VERDADERO")</f>
        <v>VERDADERO</v>
      </c>
    </row>
    <row r="1830">
      <c r="A1830" s="2">
        <f>IFERROR(__xludf.DUMMYFUNCTION("""COMPUTED_VALUE"""),1829.0)</f>
        <v>1829</v>
      </c>
      <c r="B1830" s="2" t="str">
        <f>IFERROR(__xludf.DUMMYFUNCTION("""COMPUTED_VALUE"""),"Portie Petters")</f>
        <v>Portie Petters</v>
      </c>
      <c r="C1830" s="2" t="str">
        <f>IFERROR(__xludf.DUMMYFUNCTION("""COMPUTED_VALUE"""),"ppettersn1@edublogs.org")</f>
        <v>ppettersn1@edublogs.org</v>
      </c>
      <c r="D1830" s="4">
        <f>IFERROR(__xludf.DUMMYFUNCTION("""COMPUTED_VALUE"""),29.0)</f>
        <v>29</v>
      </c>
      <c r="E1830" s="4">
        <f>IFERROR(__xludf.DUMMYFUNCTION("""COMPUTED_VALUE"""),81.0)</f>
        <v>81</v>
      </c>
      <c r="F1830" s="4">
        <f>IFERROR(__xludf.DUMMYFUNCTION("""COMPUTED_VALUE"""),2.0)</f>
        <v>2</v>
      </c>
      <c r="G1830" s="4">
        <f>IFERROR(__xludf.DUMMYFUNCTION("""COMPUTED_VALUE"""),581.0)</f>
        <v>581</v>
      </c>
      <c r="H1830" s="5">
        <f>IFERROR(__xludf.DUMMYFUNCTION("""COMPUTED_VALUE"""),1140.02)</f>
        <v>1140.02</v>
      </c>
      <c r="I1830" s="5">
        <f>IFERROR(__xludf.DUMMYFUNCTION("""COMPUTED_VALUE"""),953.86)</f>
        <v>953.86</v>
      </c>
      <c r="J1830" s="5">
        <f>IFERROR(__xludf.DUMMYFUNCTION("""COMPUTED_VALUE"""),2140.35)</f>
        <v>2140.35</v>
      </c>
      <c r="K1830" s="5">
        <f>IFERROR(__xludf.DUMMYFUNCTION("""COMPUTED_VALUE"""),8883.01)</f>
        <v>8883.01</v>
      </c>
      <c r="L1830" s="4">
        <f>IFERROR(__xludf.DUMMYFUNCTION("""COMPUTED_VALUE"""),7.0)</f>
        <v>7</v>
      </c>
      <c r="M1830" s="4">
        <f>IFERROR(__xludf.DUMMYFUNCTION("""COMPUTED_VALUE"""),40.0)</f>
        <v>40</v>
      </c>
      <c r="N1830" s="2" t="str">
        <f>IFERROR(__xludf.DUMMYFUNCTION("""COMPUTED_VALUE"""),"VERDADERO")</f>
        <v>VERDADERO</v>
      </c>
    </row>
    <row r="1831">
      <c r="A1831" s="2">
        <f>IFERROR(__xludf.DUMMYFUNCTION("""COMPUTED_VALUE"""),1830.0)</f>
        <v>1830</v>
      </c>
      <c r="B1831" s="2" t="str">
        <f>IFERROR(__xludf.DUMMYFUNCTION("""COMPUTED_VALUE"""),"Florina Karolewski")</f>
        <v>Florina Karolewski</v>
      </c>
      <c r="C1831" s="2" t="str">
        <f>IFERROR(__xludf.DUMMYFUNCTION("""COMPUTED_VALUE"""),"fkarolewskin2@furl.net")</f>
        <v>fkarolewskin2@furl.net</v>
      </c>
      <c r="D1831" s="4">
        <f>IFERROR(__xludf.DUMMYFUNCTION("""COMPUTED_VALUE"""),49.0)</f>
        <v>49</v>
      </c>
      <c r="E1831" s="4">
        <f>IFERROR(__xludf.DUMMYFUNCTION("""COMPUTED_VALUE"""),81.0)</f>
        <v>81</v>
      </c>
      <c r="F1831" s="4">
        <f>IFERROR(__xludf.DUMMYFUNCTION("""COMPUTED_VALUE"""),2.0)</f>
        <v>2</v>
      </c>
      <c r="G1831" s="4">
        <f>IFERROR(__xludf.DUMMYFUNCTION("""COMPUTED_VALUE"""),262.0)</f>
        <v>262</v>
      </c>
      <c r="H1831" s="5">
        <f>IFERROR(__xludf.DUMMYFUNCTION("""COMPUTED_VALUE"""),5340.23)</f>
        <v>5340.23</v>
      </c>
      <c r="I1831" s="5">
        <f>IFERROR(__xludf.DUMMYFUNCTION("""COMPUTED_VALUE"""),6286.65)</f>
        <v>6286.65</v>
      </c>
      <c r="J1831" s="5">
        <f>IFERROR(__xludf.DUMMYFUNCTION("""COMPUTED_VALUE"""),7501.22)</f>
        <v>7501.22</v>
      </c>
      <c r="K1831" s="5">
        <f>IFERROR(__xludf.DUMMYFUNCTION("""COMPUTED_VALUE"""),9687.12)</f>
        <v>9687.12</v>
      </c>
      <c r="L1831" s="4">
        <f>IFERROR(__xludf.DUMMYFUNCTION("""COMPUTED_VALUE"""),15.0)</f>
        <v>15</v>
      </c>
      <c r="M1831" s="4">
        <f>IFERROR(__xludf.DUMMYFUNCTION("""COMPUTED_VALUE"""),82.0)</f>
        <v>82</v>
      </c>
      <c r="N1831" s="2" t="str">
        <f>IFERROR(__xludf.DUMMYFUNCTION("""COMPUTED_VALUE"""),"FALSO")</f>
        <v>FALSO</v>
      </c>
    </row>
    <row r="1832">
      <c r="A1832" s="2">
        <f>IFERROR(__xludf.DUMMYFUNCTION("""COMPUTED_VALUE"""),1831.0)</f>
        <v>1831</v>
      </c>
      <c r="B1832" s="2" t="str">
        <f>IFERROR(__xludf.DUMMYFUNCTION("""COMPUTED_VALUE"""),"Roshelle Chinnock")</f>
        <v>Roshelle Chinnock</v>
      </c>
      <c r="C1832" s="2" t="str">
        <f>IFERROR(__xludf.DUMMYFUNCTION("""COMPUTED_VALUE"""),"rchinnockn3@reverbnation.com")</f>
        <v>rchinnockn3@reverbnation.com</v>
      </c>
      <c r="D1832" s="4">
        <f>IFERROR(__xludf.DUMMYFUNCTION("""COMPUTED_VALUE"""),157.0)</f>
        <v>157</v>
      </c>
      <c r="E1832" s="4">
        <f>IFERROR(__xludf.DUMMYFUNCTION("""COMPUTED_VALUE"""),90.0)</f>
        <v>90</v>
      </c>
      <c r="F1832" s="4">
        <f>IFERROR(__xludf.DUMMYFUNCTION("""COMPUTED_VALUE"""),5.0)</f>
        <v>5</v>
      </c>
      <c r="G1832" s="4">
        <f>IFERROR(__xludf.DUMMYFUNCTION("""COMPUTED_VALUE"""),534.0)</f>
        <v>534</v>
      </c>
      <c r="H1832" s="5">
        <f>IFERROR(__xludf.DUMMYFUNCTION("""COMPUTED_VALUE"""),1692.15)</f>
        <v>1692.15</v>
      </c>
      <c r="I1832" s="5">
        <f>IFERROR(__xludf.DUMMYFUNCTION("""COMPUTED_VALUE"""),4539.57)</f>
        <v>4539.57</v>
      </c>
      <c r="J1832" s="5">
        <f>IFERROR(__xludf.DUMMYFUNCTION("""COMPUTED_VALUE"""),6381.77)</f>
        <v>6381.77</v>
      </c>
      <c r="K1832" s="5">
        <f>IFERROR(__xludf.DUMMYFUNCTION("""COMPUTED_VALUE"""),3337.07)</f>
        <v>3337.07</v>
      </c>
      <c r="L1832" s="4">
        <f>IFERROR(__xludf.DUMMYFUNCTION("""COMPUTED_VALUE"""),13.0)</f>
        <v>13</v>
      </c>
      <c r="M1832" s="4">
        <f>IFERROR(__xludf.DUMMYFUNCTION("""COMPUTED_VALUE"""),61.0)</f>
        <v>61</v>
      </c>
      <c r="N1832" s="2" t="str">
        <f>IFERROR(__xludf.DUMMYFUNCTION("""COMPUTED_VALUE"""),"FALSO")</f>
        <v>FALSO</v>
      </c>
    </row>
    <row r="1833">
      <c r="A1833" s="2">
        <f>IFERROR(__xludf.DUMMYFUNCTION("""COMPUTED_VALUE"""),1832.0)</f>
        <v>1832</v>
      </c>
      <c r="B1833" s="2" t="str">
        <f>IFERROR(__xludf.DUMMYFUNCTION("""COMPUTED_VALUE"""),"Artemus Cullinane")</f>
        <v>Artemus Cullinane</v>
      </c>
      <c r="C1833" s="2" t="str">
        <f>IFERROR(__xludf.DUMMYFUNCTION("""COMPUTED_VALUE"""),"acullinanen4@apache.org")</f>
        <v>acullinanen4@apache.org</v>
      </c>
      <c r="D1833" s="4">
        <f>IFERROR(__xludf.DUMMYFUNCTION("""COMPUTED_VALUE"""),68.0)</f>
        <v>68</v>
      </c>
      <c r="E1833" s="4">
        <f>IFERROR(__xludf.DUMMYFUNCTION("""COMPUTED_VALUE"""),85.0)</f>
        <v>85</v>
      </c>
      <c r="F1833" s="4">
        <f>IFERROR(__xludf.DUMMYFUNCTION("""COMPUTED_VALUE"""),3.0)</f>
        <v>3</v>
      </c>
      <c r="G1833" s="4">
        <f>IFERROR(__xludf.DUMMYFUNCTION("""COMPUTED_VALUE"""),798.0)</f>
        <v>798</v>
      </c>
      <c r="H1833" s="5">
        <f>IFERROR(__xludf.DUMMYFUNCTION("""COMPUTED_VALUE"""),3777.89)</f>
        <v>3777.89</v>
      </c>
      <c r="I1833" s="5">
        <f>IFERROR(__xludf.DUMMYFUNCTION("""COMPUTED_VALUE"""),4404.58)</f>
        <v>4404.58</v>
      </c>
      <c r="J1833" s="5">
        <f>IFERROR(__xludf.DUMMYFUNCTION("""COMPUTED_VALUE"""),6562.13)</f>
        <v>6562.13</v>
      </c>
      <c r="K1833" s="5">
        <f>IFERROR(__xludf.DUMMYFUNCTION("""COMPUTED_VALUE"""),8023.05)</f>
        <v>8023.05</v>
      </c>
      <c r="L1833" s="4">
        <f>IFERROR(__xludf.DUMMYFUNCTION("""COMPUTED_VALUE"""),14.0)</f>
        <v>14</v>
      </c>
      <c r="M1833" s="4">
        <f>IFERROR(__xludf.DUMMYFUNCTION("""COMPUTED_VALUE"""),51.0)</f>
        <v>51</v>
      </c>
      <c r="N1833" s="2" t="str">
        <f>IFERROR(__xludf.DUMMYFUNCTION("""COMPUTED_VALUE"""),"FALSO")</f>
        <v>FALSO</v>
      </c>
    </row>
    <row r="1834">
      <c r="A1834" s="2">
        <f>IFERROR(__xludf.DUMMYFUNCTION("""COMPUTED_VALUE"""),1833.0)</f>
        <v>1833</v>
      </c>
      <c r="B1834" s="2" t="str">
        <f>IFERROR(__xludf.DUMMYFUNCTION("""COMPUTED_VALUE"""),"Pegeen Ryman")</f>
        <v>Pegeen Ryman</v>
      </c>
      <c r="C1834" s="2" t="str">
        <f>IFERROR(__xludf.DUMMYFUNCTION("""COMPUTED_VALUE"""),"prymann5@eepurl.com")</f>
        <v>prymann5@eepurl.com</v>
      </c>
      <c r="D1834" s="4">
        <f>IFERROR(__xludf.DUMMYFUNCTION("""COMPUTED_VALUE"""),48.0)</f>
        <v>48</v>
      </c>
      <c r="E1834" s="4">
        <f>IFERROR(__xludf.DUMMYFUNCTION("""COMPUTED_VALUE"""),21.0)</f>
        <v>21</v>
      </c>
      <c r="F1834" s="4">
        <f>IFERROR(__xludf.DUMMYFUNCTION("""COMPUTED_VALUE"""),4.0)</f>
        <v>4</v>
      </c>
      <c r="G1834" s="4">
        <f>IFERROR(__xludf.DUMMYFUNCTION("""COMPUTED_VALUE"""),375.0)</f>
        <v>375</v>
      </c>
      <c r="H1834" s="5">
        <f>IFERROR(__xludf.DUMMYFUNCTION("""COMPUTED_VALUE"""),3494.22)</f>
        <v>3494.22</v>
      </c>
      <c r="I1834" s="5">
        <f>IFERROR(__xludf.DUMMYFUNCTION("""COMPUTED_VALUE"""),7114.34)</f>
        <v>7114.34</v>
      </c>
      <c r="J1834" s="5">
        <f>IFERROR(__xludf.DUMMYFUNCTION("""COMPUTED_VALUE"""),6496.64)</f>
        <v>6496.64</v>
      </c>
      <c r="K1834" s="5">
        <f>IFERROR(__xludf.DUMMYFUNCTION("""COMPUTED_VALUE"""),1880.39)</f>
        <v>1880.39</v>
      </c>
      <c r="L1834" s="4">
        <f>IFERROR(__xludf.DUMMYFUNCTION("""COMPUTED_VALUE"""),13.0)</f>
        <v>13</v>
      </c>
      <c r="M1834" s="4">
        <f>IFERROR(__xludf.DUMMYFUNCTION("""COMPUTED_VALUE"""),55.0)</f>
        <v>55</v>
      </c>
      <c r="N1834" s="2" t="str">
        <f>IFERROR(__xludf.DUMMYFUNCTION("""COMPUTED_VALUE"""),"VERDADERO")</f>
        <v>VERDADERO</v>
      </c>
    </row>
    <row r="1835">
      <c r="A1835" s="2">
        <f>IFERROR(__xludf.DUMMYFUNCTION("""COMPUTED_VALUE"""),1834.0)</f>
        <v>1834</v>
      </c>
      <c r="B1835" s="2" t="str">
        <f>IFERROR(__xludf.DUMMYFUNCTION("""COMPUTED_VALUE"""),"Zebulon Prendergast")</f>
        <v>Zebulon Prendergast</v>
      </c>
      <c r="C1835" s="2" t="str">
        <f>IFERROR(__xludf.DUMMYFUNCTION("""COMPUTED_VALUE"""),"zprendergastn6@yahoo.com")</f>
        <v>zprendergastn6@yahoo.com</v>
      </c>
      <c r="D1835" s="4">
        <f>IFERROR(__xludf.DUMMYFUNCTION("""COMPUTED_VALUE"""),120.0)</f>
        <v>120</v>
      </c>
      <c r="E1835" s="4">
        <f>IFERROR(__xludf.DUMMYFUNCTION("""COMPUTED_VALUE"""),58.0)</f>
        <v>58</v>
      </c>
      <c r="F1835" s="4">
        <f>IFERROR(__xludf.DUMMYFUNCTION("""COMPUTED_VALUE"""),11.0)</f>
        <v>11</v>
      </c>
      <c r="G1835" s="4">
        <f>IFERROR(__xludf.DUMMYFUNCTION("""COMPUTED_VALUE"""),84.0)</f>
        <v>84</v>
      </c>
      <c r="H1835" s="5">
        <f>IFERROR(__xludf.DUMMYFUNCTION("""COMPUTED_VALUE"""),8096.24)</f>
        <v>8096.24</v>
      </c>
      <c r="I1835" s="5">
        <f>IFERROR(__xludf.DUMMYFUNCTION("""COMPUTED_VALUE"""),5490.8)</f>
        <v>5490.8</v>
      </c>
      <c r="J1835" s="5">
        <f>IFERROR(__xludf.DUMMYFUNCTION("""COMPUTED_VALUE"""),2694.6)</f>
        <v>2694.6</v>
      </c>
      <c r="K1835" s="5">
        <f>IFERROR(__xludf.DUMMYFUNCTION("""COMPUTED_VALUE"""),2147.71)</f>
        <v>2147.71</v>
      </c>
      <c r="L1835" s="4">
        <f>IFERROR(__xludf.DUMMYFUNCTION("""COMPUTED_VALUE"""),17.0)</f>
        <v>17</v>
      </c>
      <c r="M1835" s="4">
        <f>IFERROR(__xludf.DUMMYFUNCTION("""COMPUTED_VALUE"""),93.0)</f>
        <v>93</v>
      </c>
      <c r="N1835" s="2" t="str">
        <f>IFERROR(__xludf.DUMMYFUNCTION("""COMPUTED_VALUE"""),"FALSO")</f>
        <v>FALSO</v>
      </c>
    </row>
    <row r="1836">
      <c r="A1836" s="2">
        <f>IFERROR(__xludf.DUMMYFUNCTION("""COMPUTED_VALUE"""),1835.0)</f>
        <v>1835</v>
      </c>
      <c r="B1836" s="2" t="str">
        <f>IFERROR(__xludf.DUMMYFUNCTION("""COMPUTED_VALUE"""),"Lindsey Rivers")</f>
        <v>Lindsey Rivers</v>
      </c>
      <c r="C1836" s="2" t="str">
        <f>IFERROR(__xludf.DUMMYFUNCTION("""COMPUTED_VALUE"""),"lriversn7@e-recht24.de")</f>
        <v>lriversn7@e-recht24.de</v>
      </c>
      <c r="D1836" s="4">
        <f>IFERROR(__xludf.DUMMYFUNCTION("""COMPUTED_VALUE"""),57.0)</f>
        <v>57</v>
      </c>
      <c r="E1836" s="4">
        <f>IFERROR(__xludf.DUMMYFUNCTION("""COMPUTED_VALUE"""),81.0)</f>
        <v>81</v>
      </c>
      <c r="F1836" s="4">
        <f>IFERROR(__xludf.DUMMYFUNCTION("""COMPUTED_VALUE"""),2.0)</f>
        <v>2</v>
      </c>
      <c r="G1836" s="4">
        <f>IFERROR(__xludf.DUMMYFUNCTION("""COMPUTED_VALUE"""),809.0)</f>
        <v>809</v>
      </c>
      <c r="H1836" s="5">
        <f>IFERROR(__xludf.DUMMYFUNCTION("""COMPUTED_VALUE"""),1919.34)</f>
        <v>1919.34</v>
      </c>
      <c r="I1836" s="5">
        <f>IFERROR(__xludf.DUMMYFUNCTION("""COMPUTED_VALUE"""),5814.35)</f>
        <v>5814.35</v>
      </c>
      <c r="J1836" s="5">
        <f>IFERROR(__xludf.DUMMYFUNCTION("""COMPUTED_VALUE"""),1396.45)</f>
        <v>1396.45</v>
      </c>
      <c r="K1836" s="5">
        <f>IFERROR(__xludf.DUMMYFUNCTION("""COMPUTED_VALUE"""),7171.63)</f>
        <v>7171.63</v>
      </c>
      <c r="L1836" s="4">
        <f>IFERROR(__xludf.DUMMYFUNCTION("""COMPUTED_VALUE"""),19.0)</f>
        <v>19</v>
      </c>
      <c r="M1836" s="4">
        <f>IFERROR(__xludf.DUMMYFUNCTION("""COMPUTED_VALUE"""),7.0)</f>
        <v>7</v>
      </c>
      <c r="N1836" s="2" t="str">
        <f>IFERROR(__xludf.DUMMYFUNCTION("""COMPUTED_VALUE"""),"FALSO")</f>
        <v>FALSO</v>
      </c>
    </row>
    <row r="1837">
      <c r="A1837" s="2">
        <f>IFERROR(__xludf.DUMMYFUNCTION("""COMPUTED_VALUE"""),1836.0)</f>
        <v>1836</v>
      </c>
      <c r="B1837" s="2" t="str">
        <f>IFERROR(__xludf.DUMMYFUNCTION("""COMPUTED_VALUE"""),"Ryley Ziemens")</f>
        <v>Ryley Ziemens</v>
      </c>
      <c r="C1837" s="2" t="str">
        <f>IFERROR(__xludf.DUMMYFUNCTION("""COMPUTED_VALUE"""),"rziemensn8@multiply.com")</f>
        <v>rziemensn8@multiply.com</v>
      </c>
      <c r="D1837" s="4">
        <f>IFERROR(__xludf.DUMMYFUNCTION("""COMPUTED_VALUE"""),132.0)</f>
        <v>132</v>
      </c>
      <c r="E1837" s="4">
        <f>IFERROR(__xludf.DUMMYFUNCTION("""COMPUTED_VALUE"""),95.0)</f>
        <v>95</v>
      </c>
      <c r="F1837" s="4">
        <f>IFERROR(__xludf.DUMMYFUNCTION("""COMPUTED_VALUE"""),13.0)</f>
        <v>13</v>
      </c>
      <c r="G1837" s="4">
        <f>IFERROR(__xludf.DUMMYFUNCTION("""COMPUTED_VALUE"""),249.0)</f>
        <v>249</v>
      </c>
      <c r="H1837" s="5">
        <f>IFERROR(__xludf.DUMMYFUNCTION("""COMPUTED_VALUE"""),9793.68)</f>
        <v>9793.68</v>
      </c>
      <c r="I1837" s="5">
        <f>IFERROR(__xludf.DUMMYFUNCTION("""COMPUTED_VALUE"""),5722.56)</f>
        <v>5722.56</v>
      </c>
      <c r="J1837" s="5">
        <f>IFERROR(__xludf.DUMMYFUNCTION("""COMPUTED_VALUE"""),8232.75)</f>
        <v>8232.75</v>
      </c>
      <c r="K1837" s="5">
        <f>IFERROR(__xludf.DUMMYFUNCTION("""COMPUTED_VALUE"""),7942.15)</f>
        <v>7942.15</v>
      </c>
      <c r="L1837" s="4">
        <f>IFERROR(__xludf.DUMMYFUNCTION("""COMPUTED_VALUE"""),14.0)</f>
        <v>14</v>
      </c>
      <c r="M1837" s="4">
        <f>IFERROR(__xludf.DUMMYFUNCTION("""COMPUTED_VALUE"""),60.0)</f>
        <v>60</v>
      </c>
      <c r="N1837" s="2" t="str">
        <f>IFERROR(__xludf.DUMMYFUNCTION("""COMPUTED_VALUE"""),"VERDADERO")</f>
        <v>VERDADERO</v>
      </c>
    </row>
    <row r="1838">
      <c r="A1838" s="2">
        <f>IFERROR(__xludf.DUMMYFUNCTION("""COMPUTED_VALUE"""),1837.0)</f>
        <v>1837</v>
      </c>
      <c r="B1838" s="2" t="str">
        <f>IFERROR(__xludf.DUMMYFUNCTION("""COMPUTED_VALUE"""),"Rochell Kenzie")</f>
        <v>Rochell Kenzie</v>
      </c>
      <c r="C1838" s="2" t="str">
        <f>IFERROR(__xludf.DUMMYFUNCTION("""COMPUTED_VALUE"""),"rkenzien9@123-reg.co.uk")</f>
        <v>rkenzien9@123-reg.co.uk</v>
      </c>
      <c r="D1838" s="4">
        <f>IFERROR(__xludf.DUMMYFUNCTION("""COMPUTED_VALUE"""),29.0)</f>
        <v>29</v>
      </c>
      <c r="E1838" s="4">
        <f>IFERROR(__xludf.DUMMYFUNCTION("""COMPUTED_VALUE"""),82.0)</f>
        <v>82</v>
      </c>
      <c r="F1838" s="4">
        <f>IFERROR(__xludf.DUMMYFUNCTION("""COMPUTED_VALUE"""),3.0)</f>
        <v>3</v>
      </c>
      <c r="G1838" s="4">
        <f>IFERROR(__xludf.DUMMYFUNCTION("""COMPUTED_VALUE"""),1427.0)</f>
        <v>1427</v>
      </c>
      <c r="H1838" s="5">
        <f>IFERROR(__xludf.DUMMYFUNCTION("""COMPUTED_VALUE"""),2547.82)</f>
        <v>2547.82</v>
      </c>
      <c r="I1838" s="5">
        <f>IFERROR(__xludf.DUMMYFUNCTION("""COMPUTED_VALUE"""),584.88)</f>
        <v>584.88</v>
      </c>
      <c r="J1838" s="5">
        <f>IFERROR(__xludf.DUMMYFUNCTION("""COMPUTED_VALUE"""),5114.16)</f>
        <v>5114.16</v>
      </c>
      <c r="K1838" s="5">
        <f>IFERROR(__xludf.DUMMYFUNCTION("""COMPUTED_VALUE"""),1144.77)</f>
        <v>1144.77</v>
      </c>
      <c r="L1838" s="4">
        <f>IFERROR(__xludf.DUMMYFUNCTION("""COMPUTED_VALUE"""),19.0)</f>
        <v>19</v>
      </c>
      <c r="M1838" s="4">
        <f>IFERROR(__xludf.DUMMYFUNCTION("""COMPUTED_VALUE"""),37.0)</f>
        <v>37</v>
      </c>
      <c r="N1838" s="2" t="str">
        <f>IFERROR(__xludf.DUMMYFUNCTION("""COMPUTED_VALUE"""),"FALSO")</f>
        <v>FALSO</v>
      </c>
    </row>
    <row r="1839">
      <c r="A1839" s="2">
        <f>IFERROR(__xludf.DUMMYFUNCTION("""COMPUTED_VALUE"""),1838.0)</f>
        <v>1838</v>
      </c>
      <c r="B1839" s="2" t="str">
        <f>IFERROR(__xludf.DUMMYFUNCTION("""COMPUTED_VALUE"""),"Kimmi McDougall")</f>
        <v>Kimmi McDougall</v>
      </c>
      <c r="C1839" s="2" t="str">
        <f>IFERROR(__xludf.DUMMYFUNCTION("""COMPUTED_VALUE"""),"kmcdougallna@google.de")</f>
        <v>kmcdougallna@google.de</v>
      </c>
      <c r="D1839" s="4">
        <f>IFERROR(__xludf.DUMMYFUNCTION("""COMPUTED_VALUE"""),29.0)</f>
        <v>29</v>
      </c>
      <c r="E1839" s="4">
        <f>IFERROR(__xludf.DUMMYFUNCTION("""COMPUTED_VALUE"""),56.0)</f>
        <v>56</v>
      </c>
      <c r="F1839" s="4">
        <f>IFERROR(__xludf.DUMMYFUNCTION("""COMPUTED_VALUE"""),6.0)</f>
        <v>6</v>
      </c>
      <c r="G1839" s="4">
        <f>IFERROR(__xludf.DUMMYFUNCTION("""COMPUTED_VALUE"""),827.0)</f>
        <v>827</v>
      </c>
      <c r="H1839" s="5">
        <f>IFERROR(__xludf.DUMMYFUNCTION("""COMPUTED_VALUE"""),7993.84)</f>
        <v>7993.84</v>
      </c>
      <c r="I1839" s="5">
        <f>IFERROR(__xludf.DUMMYFUNCTION("""COMPUTED_VALUE"""),296.72)</f>
        <v>296.72</v>
      </c>
      <c r="J1839" s="5">
        <f>IFERROR(__xludf.DUMMYFUNCTION("""COMPUTED_VALUE"""),4013.44)</f>
        <v>4013.44</v>
      </c>
      <c r="K1839" s="5">
        <f>IFERROR(__xludf.DUMMYFUNCTION("""COMPUTED_VALUE"""),3774.97)</f>
        <v>3774.97</v>
      </c>
      <c r="L1839" s="4">
        <f>IFERROR(__xludf.DUMMYFUNCTION("""COMPUTED_VALUE"""),10.0)</f>
        <v>10</v>
      </c>
      <c r="M1839" s="4">
        <f>IFERROR(__xludf.DUMMYFUNCTION("""COMPUTED_VALUE"""),31.0)</f>
        <v>31</v>
      </c>
      <c r="N1839" s="2" t="str">
        <f>IFERROR(__xludf.DUMMYFUNCTION("""COMPUTED_VALUE"""),"VERDADERO")</f>
        <v>VERDADERO</v>
      </c>
    </row>
    <row r="1840">
      <c r="A1840" s="2">
        <f>IFERROR(__xludf.DUMMYFUNCTION("""COMPUTED_VALUE"""),1839.0)</f>
        <v>1839</v>
      </c>
      <c r="B1840" s="2" t="str">
        <f>IFERROR(__xludf.DUMMYFUNCTION("""COMPUTED_VALUE"""),"Beilul Francescotti")</f>
        <v>Beilul Francescotti</v>
      </c>
      <c r="C1840" s="2" t="str">
        <f>IFERROR(__xludf.DUMMYFUNCTION("""COMPUTED_VALUE"""),"bfrancescottinb@linkedin.com")</f>
        <v>bfrancescottinb@linkedin.com</v>
      </c>
      <c r="D1840" s="4">
        <f>IFERROR(__xludf.DUMMYFUNCTION("""COMPUTED_VALUE"""),65.0)</f>
        <v>65</v>
      </c>
      <c r="E1840" s="4">
        <f>IFERROR(__xludf.DUMMYFUNCTION("""COMPUTED_VALUE"""),68.0)</f>
        <v>68</v>
      </c>
      <c r="F1840" s="4">
        <f>IFERROR(__xludf.DUMMYFUNCTION("""COMPUTED_VALUE"""),13.0)</f>
        <v>13</v>
      </c>
      <c r="G1840" s="4">
        <f>IFERROR(__xludf.DUMMYFUNCTION("""COMPUTED_VALUE"""),1457.0)</f>
        <v>1457</v>
      </c>
      <c r="H1840" s="5">
        <f>IFERROR(__xludf.DUMMYFUNCTION("""COMPUTED_VALUE"""),7929.01)</f>
        <v>7929.01</v>
      </c>
      <c r="I1840" s="5">
        <f>IFERROR(__xludf.DUMMYFUNCTION("""COMPUTED_VALUE"""),7721.35)</f>
        <v>7721.35</v>
      </c>
      <c r="J1840" s="5">
        <f>IFERROR(__xludf.DUMMYFUNCTION("""COMPUTED_VALUE"""),3275.15)</f>
        <v>3275.15</v>
      </c>
      <c r="K1840" s="5">
        <f>IFERROR(__xludf.DUMMYFUNCTION("""COMPUTED_VALUE"""),5827.51)</f>
        <v>5827.51</v>
      </c>
      <c r="L1840" s="4">
        <f>IFERROR(__xludf.DUMMYFUNCTION("""COMPUTED_VALUE"""),2.0)</f>
        <v>2</v>
      </c>
      <c r="M1840" s="4">
        <f>IFERROR(__xludf.DUMMYFUNCTION("""COMPUTED_VALUE"""),37.0)</f>
        <v>37</v>
      </c>
      <c r="N1840" s="2" t="str">
        <f>IFERROR(__xludf.DUMMYFUNCTION("""COMPUTED_VALUE"""),"VERDADERO")</f>
        <v>VERDADERO</v>
      </c>
    </row>
    <row r="1841">
      <c r="A1841" s="2">
        <f>IFERROR(__xludf.DUMMYFUNCTION("""COMPUTED_VALUE"""),1840.0)</f>
        <v>1840</v>
      </c>
      <c r="B1841" s="2" t="str">
        <f>IFERROR(__xludf.DUMMYFUNCTION("""COMPUTED_VALUE"""),"Nerita Rampling")</f>
        <v>Nerita Rampling</v>
      </c>
      <c r="C1841" s="2" t="str">
        <f>IFERROR(__xludf.DUMMYFUNCTION("""COMPUTED_VALUE"""),"nramplingnc@gravatar.com")</f>
        <v>nramplingnc@gravatar.com</v>
      </c>
      <c r="D1841" s="4">
        <f>IFERROR(__xludf.DUMMYFUNCTION("""COMPUTED_VALUE"""),113.0)</f>
        <v>113</v>
      </c>
      <c r="E1841" s="4">
        <f>IFERROR(__xludf.DUMMYFUNCTION("""COMPUTED_VALUE"""),61.0)</f>
        <v>61</v>
      </c>
      <c r="F1841" s="4">
        <f>IFERROR(__xludf.DUMMYFUNCTION("""COMPUTED_VALUE"""),4.0)</f>
        <v>4</v>
      </c>
      <c r="G1841" s="4">
        <f>IFERROR(__xludf.DUMMYFUNCTION("""COMPUTED_VALUE"""),1326.0)</f>
        <v>1326</v>
      </c>
      <c r="H1841" s="5">
        <f>IFERROR(__xludf.DUMMYFUNCTION("""COMPUTED_VALUE"""),3205.03)</f>
        <v>3205.03</v>
      </c>
      <c r="I1841" s="5">
        <f>IFERROR(__xludf.DUMMYFUNCTION("""COMPUTED_VALUE"""),2488.98)</f>
        <v>2488.98</v>
      </c>
      <c r="J1841" s="5">
        <f>IFERROR(__xludf.DUMMYFUNCTION("""COMPUTED_VALUE"""),5543.43)</f>
        <v>5543.43</v>
      </c>
      <c r="K1841" s="5">
        <f>IFERROR(__xludf.DUMMYFUNCTION("""COMPUTED_VALUE"""),8957.0)</f>
        <v>8957</v>
      </c>
      <c r="L1841" s="4">
        <f>IFERROR(__xludf.DUMMYFUNCTION("""COMPUTED_VALUE"""),7.0)</f>
        <v>7</v>
      </c>
      <c r="M1841" s="4">
        <f>IFERROR(__xludf.DUMMYFUNCTION("""COMPUTED_VALUE"""),77.0)</f>
        <v>77</v>
      </c>
      <c r="N1841" s="2" t="str">
        <f>IFERROR(__xludf.DUMMYFUNCTION("""COMPUTED_VALUE"""),"VERDADERO")</f>
        <v>VERDADERO</v>
      </c>
    </row>
    <row r="1842">
      <c r="A1842" s="2">
        <f>IFERROR(__xludf.DUMMYFUNCTION("""COMPUTED_VALUE"""),1841.0)</f>
        <v>1841</v>
      </c>
      <c r="B1842" s="2" t="str">
        <f>IFERROR(__xludf.DUMMYFUNCTION("""COMPUTED_VALUE"""),"Tandy Huc")</f>
        <v>Tandy Huc</v>
      </c>
      <c r="C1842" s="2" t="str">
        <f>IFERROR(__xludf.DUMMYFUNCTION("""COMPUTED_VALUE"""),"thucnd@squarespace.com")</f>
        <v>thucnd@squarespace.com</v>
      </c>
      <c r="D1842" s="4">
        <f>IFERROR(__xludf.DUMMYFUNCTION("""COMPUTED_VALUE"""),13.0)</f>
        <v>13</v>
      </c>
      <c r="E1842" s="4">
        <f>IFERROR(__xludf.DUMMYFUNCTION("""COMPUTED_VALUE"""),39.0)</f>
        <v>39</v>
      </c>
      <c r="F1842" s="4">
        <f>IFERROR(__xludf.DUMMYFUNCTION("""COMPUTED_VALUE"""),11.0)</f>
        <v>11</v>
      </c>
      <c r="G1842" s="4">
        <f>IFERROR(__xludf.DUMMYFUNCTION("""COMPUTED_VALUE"""),1500.0)</f>
        <v>1500</v>
      </c>
      <c r="H1842" s="5">
        <f>IFERROR(__xludf.DUMMYFUNCTION("""COMPUTED_VALUE"""),1887.44)</f>
        <v>1887.44</v>
      </c>
      <c r="I1842" s="5">
        <f>IFERROR(__xludf.DUMMYFUNCTION("""COMPUTED_VALUE"""),3273.58)</f>
        <v>3273.58</v>
      </c>
      <c r="J1842" s="5">
        <f>IFERROR(__xludf.DUMMYFUNCTION("""COMPUTED_VALUE"""),4252.39)</f>
        <v>4252.39</v>
      </c>
      <c r="K1842" s="5">
        <f>IFERROR(__xludf.DUMMYFUNCTION("""COMPUTED_VALUE"""),2678.45)</f>
        <v>2678.45</v>
      </c>
      <c r="L1842" s="4">
        <f>IFERROR(__xludf.DUMMYFUNCTION("""COMPUTED_VALUE"""),10.0)</f>
        <v>10</v>
      </c>
      <c r="M1842" s="4">
        <f>IFERROR(__xludf.DUMMYFUNCTION("""COMPUTED_VALUE"""),49.0)</f>
        <v>49</v>
      </c>
      <c r="N1842" s="2" t="str">
        <f>IFERROR(__xludf.DUMMYFUNCTION("""COMPUTED_VALUE"""),"VERDADERO")</f>
        <v>VERDADERO</v>
      </c>
    </row>
    <row r="1843">
      <c r="A1843" s="2">
        <f>IFERROR(__xludf.DUMMYFUNCTION("""COMPUTED_VALUE"""),1842.0)</f>
        <v>1842</v>
      </c>
      <c r="B1843" s="2" t="str">
        <f>IFERROR(__xludf.DUMMYFUNCTION("""COMPUTED_VALUE"""),"Davin Bransgrove")</f>
        <v>Davin Bransgrove</v>
      </c>
      <c r="C1843" s="2" t="str">
        <f>IFERROR(__xludf.DUMMYFUNCTION("""COMPUTED_VALUE"""),"dbransgrovene@telegraph.co.uk")</f>
        <v>dbransgrovene@telegraph.co.uk</v>
      </c>
      <c r="D1843" s="4">
        <f>IFERROR(__xludf.DUMMYFUNCTION("""COMPUTED_VALUE"""),124.0)</f>
        <v>124</v>
      </c>
      <c r="E1843" s="4">
        <f>IFERROR(__xludf.DUMMYFUNCTION("""COMPUTED_VALUE"""),26.0)</f>
        <v>26</v>
      </c>
      <c r="F1843" s="4">
        <f>IFERROR(__xludf.DUMMYFUNCTION("""COMPUTED_VALUE"""),11.0)</f>
        <v>11</v>
      </c>
      <c r="G1843" s="4">
        <f>IFERROR(__xludf.DUMMYFUNCTION("""COMPUTED_VALUE"""),499.0)</f>
        <v>499</v>
      </c>
      <c r="H1843" s="5">
        <f>IFERROR(__xludf.DUMMYFUNCTION("""COMPUTED_VALUE"""),2112.06)</f>
        <v>2112.06</v>
      </c>
      <c r="I1843" s="5">
        <f>IFERROR(__xludf.DUMMYFUNCTION("""COMPUTED_VALUE"""),4374.59)</f>
        <v>4374.59</v>
      </c>
      <c r="J1843" s="5">
        <f>IFERROR(__xludf.DUMMYFUNCTION("""COMPUTED_VALUE"""),6382.43)</f>
        <v>6382.43</v>
      </c>
      <c r="K1843" s="5">
        <f>IFERROR(__xludf.DUMMYFUNCTION("""COMPUTED_VALUE"""),8087.78)</f>
        <v>8087.78</v>
      </c>
      <c r="L1843" s="4">
        <f>IFERROR(__xludf.DUMMYFUNCTION("""COMPUTED_VALUE"""),9.0)</f>
        <v>9</v>
      </c>
      <c r="M1843" s="4">
        <f>IFERROR(__xludf.DUMMYFUNCTION("""COMPUTED_VALUE"""),86.0)</f>
        <v>86</v>
      </c>
      <c r="N1843" s="2" t="str">
        <f>IFERROR(__xludf.DUMMYFUNCTION("""COMPUTED_VALUE"""),"VERDADERO")</f>
        <v>VERDADERO</v>
      </c>
    </row>
    <row r="1844">
      <c r="A1844" s="2">
        <f>IFERROR(__xludf.DUMMYFUNCTION("""COMPUTED_VALUE"""),1843.0)</f>
        <v>1843</v>
      </c>
      <c r="B1844" s="2" t="str">
        <f>IFERROR(__xludf.DUMMYFUNCTION("""COMPUTED_VALUE"""),"Margalo Cosh")</f>
        <v>Margalo Cosh</v>
      </c>
      <c r="C1844" s="2" t="str">
        <f>IFERROR(__xludf.DUMMYFUNCTION("""COMPUTED_VALUE"""),"mcoshnf@google.fr")</f>
        <v>mcoshnf@google.fr</v>
      </c>
      <c r="D1844" s="4">
        <f>IFERROR(__xludf.DUMMYFUNCTION("""COMPUTED_VALUE"""),122.0)</f>
        <v>122</v>
      </c>
      <c r="E1844" s="4">
        <f>IFERROR(__xludf.DUMMYFUNCTION("""COMPUTED_VALUE"""),49.0)</f>
        <v>49</v>
      </c>
      <c r="F1844" s="4">
        <f>IFERROR(__xludf.DUMMYFUNCTION("""COMPUTED_VALUE"""),4.0)</f>
        <v>4</v>
      </c>
      <c r="G1844" s="4">
        <f>IFERROR(__xludf.DUMMYFUNCTION("""COMPUTED_VALUE"""),121.0)</f>
        <v>121</v>
      </c>
      <c r="H1844" s="5">
        <f>IFERROR(__xludf.DUMMYFUNCTION("""COMPUTED_VALUE"""),3754.49)</f>
        <v>3754.49</v>
      </c>
      <c r="I1844" s="5">
        <f>IFERROR(__xludf.DUMMYFUNCTION("""COMPUTED_VALUE"""),8398.41)</f>
        <v>8398.41</v>
      </c>
      <c r="J1844" s="5">
        <f>IFERROR(__xludf.DUMMYFUNCTION("""COMPUTED_VALUE"""),879.48)</f>
        <v>879.48</v>
      </c>
      <c r="K1844" s="5">
        <f>IFERROR(__xludf.DUMMYFUNCTION("""COMPUTED_VALUE"""),9107.46)</f>
        <v>9107.46</v>
      </c>
      <c r="L1844" s="4">
        <f>IFERROR(__xludf.DUMMYFUNCTION("""COMPUTED_VALUE"""),5.0)</f>
        <v>5</v>
      </c>
      <c r="M1844" s="4">
        <f>IFERROR(__xludf.DUMMYFUNCTION("""COMPUTED_VALUE"""),88.0)</f>
        <v>88</v>
      </c>
      <c r="N1844" s="2" t="str">
        <f>IFERROR(__xludf.DUMMYFUNCTION("""COMPUTED_VALUE"""),"VERDADERO")</f>
        <v>VERDADERO</v>
      </c>
    </row>
    <row r="1845">
      <c r="A1845" s="2">
        <f>IFERROR(__xludf.DUMMYFUNCTION("""COMPUTED_VALUE"""),1844.0)</f>
        <v>1844</v>
      </c>
      <c r="B1845" s="2" t="str">
        <f>IFERROR(__xludf.DUMMYFUNCTION("""COMPUTED_VALUE"""),"Gwenette Cubbin")</f>
        <v>Gwenette Cubbin</v>
      </c>
      <c r="C1845" s="2" t="str">
        <f>IFERROR(__xludf.DUMMYFUNCTION("""COMPUTED_VALUE"""),"gcubbinng@mapquest.com")</f>
        <v>gcubbinng@mapquest.com</v>
      </c>
      <c r="D1845" s="4">
        <f>IFERROR(__xludf.DUMMYFUNCTION("""COMPUTED_VALUE"""),19.0)</f>
        <v>19</v>
      </c>
      <c r="E1845" s="4">
        <f>IFERROR(__xludf.DUMMYFUNCTION("""COMPUTED_VALUE"""),81.0)</f>
        <v>81</v>
      </c>
      <c r="F1845" s="4">
        <f>IFERROR(__xludf.DUMMYFUNCTION("""COMPUTED_VALUE"""),2.0)</f>
        <v>2</v>
      </c>
      <c r="G1845" s="4">
        <f>IFERROR(__xludf.DUMMYFUNCTION("""COMPUTED_VALUE"""),1169.0)</f>
        <v>1169</v>
      </c>
      <c r="H1845" s="5">
        <f>IFERROR(__xludf.DUMMYFUNCTION("""COMPUTED_VALUE"""),126.63)</f>
        <v>126.63</v>
      </c>
      <c r="I1845" s="5">
        <f>IFERROR(__xludf.DUMMYFUNCTION("""COMPUTED_VALUE"""),2211.75)</f>
        <v>2211.75</v>
      </c>
      <c r="J1845" s="5">
        <f>IFERROR(__xludf.DUMMYFUNCTION("""COMPUTED_VALUE"""),2582.58)</f>
        <v>2582.58</v>
      </c>
      <c r="K1845" s="5">
        <f>IFERROR(__xludf.DUMMYFUNCTION("""COMPUTED_VALUE"""),698.98)</f>
        <v>698.98</v>
      </c>
      <c r="L1845" s="4">
        <f>IFERROR(__xludf.DUMMYFUNCTION("""COMPUTED_VALUE"""),4.0)</f>
        <v>4</v>
      </c>
      <c r="M1845" s="4">
        <f>IFERROR(__xludf.DUMMYFUNCTION("""COMPUTED_VALUE"""),58.0)</f>
        <v>58</v>
      </c>
      <c r="N1845" s="2" t="str">
        <f>IFERROR(__xludf.DUMMYFUNCTION("""COMPUTED_VALUE"""),"FALSO")</f>
        <v>FALSO</v>
      </c>
    </row>
    <row r="1846">
      <c r="A1846" s="2">
        <f>IFERROR(__xludf.DUMMYFUNCTION("""COMPUTED_VALUE"""),1845.0)</f>
        <v>1845</v>
      </c>
      <c r="B1846" s="2" t="str">
        <f>IFERROR(__xludf.DUMMYFUNCTION("""COMPUTED_VALUE"""),"Sharity Gilardone")</f>
        <v>Sharity Gilardone</v>
      </c>
      <c r="C1846" s="2" t="str">
        <f>IFERROR(__xludf.DUMMYFUNCTION("""COMPUTED_VALUE"""),"sgilardonenh@mozilla.com")</f>
        <v>sgilardonenh@mozilla.com</v>
      </c>
      <c r="D1846" s="4">
        <f>IFERROR(__xludf.DUMMYFUNCTION("""COMPUTED_VALUE"""),120.0)</f>
        <v>120</v>
      </c>
      <c r="E1846" s="4">
        <f>IFERROR(__xludf.DUMMYFUNCTION("""COMPUTED_VALUE"""),40.0)</f>
        <v>40</v>
      </c>
      <c r="F1846" s="4">
        <f>IFERROR(__xludf.DUMMYFUNCTION("""COMPUTED_VALUE"""),1.0)</f>
        <v>1</v>
      </c>
      <c r="G1846" s="4">
        <f>IFERROR(__xludf.DUMMYFUNCTION("""COMPUTED_VALUE"""),1135.0)</f>
        <v>1135</v>
      </c>
      <c r="H1846" s="5">
        <f>IFERROR(__xludf.DUMMYFUNCTION("""COMPUTED_VALUE"""),176.15)</f>
        <v>176.15</v>
      </c>
      <c r="I1846" s="5">
        <f>IFERROR(__xludf.DUMMYFUNCTION("""COMPUTED_VALUE"""),958.57)</f>
        <v>958.57</v>
      </c>
      <c r="J1846" s="5">
        <f>IFERROR(__xludf.DUMMYFUNCTION("""COMPUTED_VALUE"""),1663.81)</f>
        <v>1663.81</v>
      </c>
      <c r="K1846" s="5">
        <f>IFERROR(__xludf.DUMMYFUNCTION("""COMPUTED_VALUE"""),6647.66)</f>
        <v>6647.66</v>
      </c>
      <c r="L1846" s="4">
        <f>IFERROR(__xludf.DUMMYFUNCTION("""COMPUTED_VALUE"""),18.0)</f>
        <v>18</v>
      </c>
      <c r="M1846" s="4">
        <f>IFERROR(__xludf.DUMMYFUNCTION("""COMPUTED_VALUE"""),63.0)</f>
        <v>63</v>
      </c>
      <c r="N1846" s="2" t="str">
        <f>IFERROR(__xludf.DUMMYFUNCTION("""COMPUTED_VALUE"""),"VERDADERO")</f>
        <v>VERDADERO</v>
      </c>
    </row>
    <row r="1847">
      <c r="A1847" s="2">
        <f>IFERROR(__xludf.DUMMYFUNCTION("""COMPUTED_VALUE"""),1846.0)</f>
        <v>1846</v>
      </c>
      <c r="B1847" s="2" t="str">
        <f>IFERROR(__xludf.DUMMYFUNCTION("""COMPUTED_VALUE"""),"Othello Bilverstone")</f>
        <v>Othello Bilverstone</v>
      </c>
      <c r="C1847" s="2" t="str">
        <f>IFERROR(__xludf.DUMMYFUNCTION("""COMPUTED_VALUE"""),"obilverstoneni@dyndns.org")</f>
        <v>obilverstoneni@dyndns.org</v>
      </c>
      <c r="D1847" s="4">
        <f>IFERROR(__xludf.DUMMYFUNCTION("""COMPUTED_VALUE"""),121.0)</f>
        <v>121</v>
      </c>
      <c r="E1847" s="4">
        <f>IFERROR(__xludf.DUMMYFUNCTION("""COMPUTED_VALUE"""),92.0)</f>
        <v>92</v>
      </c>
      <c r="F1847" s="4">
        <f>IFERROR(__xludf.DUMMYFUNCTION("""COMPUTED_VALUE"""),5.0)</f>
        <v>5</v>
      </c>
      <c r="G1847" s="4">
        <f>IFERROR(__xludf.DUMMYFUNCTION("""COMPUTED_VALUE"""),1411.0)</f>
        <v>1411</v>
      </c>
      <c r="H1847" s="5">
        <f>IFERROR(__xludf.DUMMYFUNCTION("""COMPUTED_VALUE"""),5406.05)</f>
        <v>5406.05</v>
      </c>
      <c r="I1847" s="5">
        <f>IFERROR(__xludf.DUMMYFUNCTION("""COMPUTED_VALUE"""),1474.56)</f>
        <v>1474.56</v>
      </c>
      <c r="J1847" s="5">
        <f>IFERROR(__xludf.DUMMYFUNCTION("""COMPUTED_VALUE"""),817.92)</f>
        <v>817.92</v>
      </c>
      <c r="K1847" s="5">
        <f>IFERROR(__xludf.DUMMYFUNCTION("""COMPUTED_VALUE"""),8084.55)</f>
        <v>8084.55</v>
      </c>
      <c r="L1847" s="4">
        <f>IFERROR(__xludf.DUMMYFUNCTION("""COMPUTED_VALUE"""),4.0)</f>
        <v>4</v>
      </c>
      <c r="M1847" s="4">
        <f>IFERROR(__xludf.DUMMYFUNCTION("""COMPUTED_VALUE"""),16.0)</f>
        <v>16</v>
      </c>
      <c r="N1847" s="2" t="str">
        <f>IFERROR(__xludf.DUMMYFUNCTION("""COMPUTED_VALUE"""),"FALSO")</f>
        <v>FALSO</v>
      </c>
    </row>
    <row r="1848">
      <c r="A1848" s="2">
        <f>IFERROR(__xludf.DUMMYFUNCTION("""COMPUTED_VALUE"""),1847.0)</f>
        <v>1847</v>
      </c>
      <c r="B1848" s="2" t="str">
        <f>IFERROR(__xludf.DUMMYFUNCTION("""COMPUTED_VALUE"""),"Galen Lucchi")</f>
        <v>Galen Lucchi</v>
      </c>
      <c r="C1848" s="2" t="str">
        <f>IFERROR(__xludf.DUMMYFUNCTION("""COMPUTED_VALUE"""),"glucchinj@wisc.edu")</f>
        <v>glucchinj@wisc.edu</v>
      </c>
      <c r="D1848" s="4">
        <f>IFERROR(__xludf.DUMMYFUNCTION("""COMPUTED_VALUE"""),124.0)</f>
        <v>124</v>
      </c>
      <c r="E1848" s="4">
        <f>IFERROR(__xludf.DUMMYFUNCTION("""COMPUTED_VALUE"""),30.0)</f>
        <v>30</v>
      </c>
      <c r="F1848" s="4">
        <f>IFERROR(__xludf.DUMMYFUNCTION("""COMPUTED_VALUE"""),11.0)</f>
        <v>11</v>
      </c>
      <c r="G1848" s="4">
        <f>IFERROR(__xludf.DUMMYFUNCTION("""COMPUTED_VALUE"""),149.0)</f>
        <v>149</v>
      </c>
      <c r="H1848" s="5">
        <f>IFERROR(__xludf.DUMMYFUNCTION("""COMPUTED_VALUE"""),102.22)</f>
        <v>102.22</v>
      </c>
      <c r="I1848" s="5">
        <f>IFERROR(__xludf.DUMMYFUNCTION("""COMPUTED_VALUE"""),7243.89)</f>
        <v>7243.89</v>
      </c>
      <c r="J1848" s="5">
        <f>IFERROR(__xludf.DUMMYFUNCTION("""COMPUTED_VALUE"""),7881.63)</f>
        <v>7881.63</v>
      </c>
      <c r="K1848" s="5">
        <f>IFERROR(__xludf.DUMMYFUNCTION("""COMPUTED_VALUE"""),3986.17)</f>
        <v>3986.17</v>
      </c>
      <c r="L1848" s="4">
        <f>IFERROR(__xludf.DUMMYFUNCTION("""COMPUTED_VALUE"""),7.0)</f>
        <v>7</v>
      </c>
      <c r="M1848" s="4">
        <f>IFERROR(__xludf.DUMMYFUNCTION("""COMPUTED_VALUE"""),72.0)</f>
        <v>72</v>
      </c>
      <c r="N1848" s="2" t="str">
        <f>IFERROR(__xludf.DUMMYFUNCTION("""COMPUTED_VALUE"""),"FALSO")</f>
        <v>FALSO</v>
      </c>
    </row>
    <row r="1849">
      <c r="A1849" s="2">
        <f>IFERROR(__xludf.DUMMYFUNCTION("""COMPUTED_VALUE"""),1848.0)</f>
        <v>1848</v>
      </c>
      <c r="B1849" s="2" t="str">
        <f>IFERROR(__xludf.DUMMYFUNCTION("""COMPUTED_VALUE"""),"Neysa Espinos")</f>
        <v>Neysa Espinos</v>
      </c>
      <c r="C1849" s="2" t="str">
        <f>IFERROR(__xludf.DUMMYFUNCTION("""COMPUTED_VALUE"""),"nespinosnk@plala.or.jp")</f>
        <v>nespinosnk@plala.or.jp</v>
      </c>
      <c r="D1849" s="4">
        <f>IFERROR(__xludf.DUMMYFUNCTION("""COMPUTED_VALUE"""),29.0)</f>
        <v>29</v>
      </c>
      <c r="E1849" s="4">
        <f>IFERROR(__xludf.DUMMYFUNCTION("""COMPUTED_VALUE"""),107.0)</f>
        <v>107</v>
      </c>
      <c r="F1849" s="4">
        <f>IFERROR(__xludf.DUMMYFUNCTION("""COMPUTED_VALUE"""),5.0)</f>
        <v>5</v>
      </c>
      <c r="G1849" s="4">
        <f>IFERROR(__xludf.DUMMYFUNCTION("""COMPUTED_VALUE"""),1256.0)</f>
        <v>1256</v>
      </c>
      <c r="H1849" s="5">
        <f>IFERROR(__xludf.DUMMYFUNCTION("""COMPUTED_VALUE"""),4313.95)</f>
        <v>4313.95</v>
      </c>
      <c r="I1849" s="5">
        <f>IFERROR(__xludf.DUMMYFUNCTION("""COMPUTED_VALUE"""),8378.68)</f>
        <v>8378.68</v>
      </c>
      <c r="J1849" s="5">
        <f>IFERROR(__xludf.DUMMYFUNCTION("""COMPUTED_VALUE"""),5970.26)</f>
        <v>5970.26</v>
      </c>
      <c r="K1849" s="5">
        <f>IFERROR(__xludf.DUMMYFUNCTION("""COMPUTED_VALUE"""),6795.49)</f>
        <v>6795.49</v>
      </c>
      <c r="L1849" s="4">
        <f>IFERROR(__xludf.DUMMYFUNCTION("""COMPUTED_VALUE"""),5.0)</f>
        <v>5</v>
      </c>
      <c r="M1849" s="4">
        <f>IFERROR(__xludf.DUMMYFUNCTION("""COMPUTED_VALUE"""),52.0)</f>
        <v>52</v>
      </c>
      <c r="N1849" s="2" t="str">
        <f>IFERROR(__xludf.DUMMYFUNCTION("""COMPUTED_VALUE"""),"FALSO")</f>
        <v>FALSO</v>
      </c>
    </row>
    <row r="1850">
      <c r="A1850" s="2">
        <f>IFERROR(__xludf.DUMMYFUNCTION("""COMPUTED_VALUE"""),1849.0)</f>
        <v>1849</v>
      </c>
      <c r="B1850" s="2" t="str">
        <f>IFERROR(__xludf.DUMMYFUNCTION("""COMPUTED_VALUE"""),"Tommi Bilney")</f>
        <v>Tommi Bilney</v>
      </c>
      <c r="C1850" s="2" t="str">
        <f>IFERROR(__xludf.DUMMYFUNCTION("""COMPUTED_VALUE"""),"tbilneynl@ustream.tv")</f>
        <v>tbilneynl@ustream.tv</v>
      </c>
      <c r="D1850" s="4">
        <f>IFERROR(__xludf.DUMMYFUNCTION("""COMPUTED_VALUE"""),128.0)</f>
        <v>128</v>
      </c>
      <c r="E1850" s="4">
        <f>IFERROR(__xludf.DUMMYFUNCTION("""COMPUTED_VALUE"""),26.0)</f>
        <v>26</v>
      </c>
      <c r="F1850" s="4">
        <f>IFERROR(__xludf.DUMMYFUNCTION("""COMPUTED_VALUE"""),11.0)</f>
        <v>11</v>
      </c>
      <c r="G1850" s="4">
        <f>IFERROR(__xludf.DUMMYFUNCTION("""COMPUTED_VALUE"""),60.0)</f>
        <v>60</v>
      </c>
      <c r="H1850" s="5">
        <f>IFERROR(__xludf.DUMMYFUNCTION("""COMPUTED_VALUE"""),2761.67)</f>
        <v>2761.67</v>
      </c>
      <c r="I1850" s="5">
        <f>IFERROR(__xludf.DUMMYFUNCTION("""COMPUTED_VALUE"""),5489.2)</f>
        <v>5489.2</v>
      </c>
      <c r="J1850" s="5">
        <f>IFERROR(__xludf.DUMMYFUNCTION("""COMPUTED_VALUE"""),4757.45)</f>
        <v>4757.45</v>
      </c>
      <c r="K1850" s="5">
        <f>IFERROR(__xludf.DUMMYFUNCTION("""COMPUTED_VALUE"""),2737.82)</f>
        <v>2737.82</v>
      </c>
      <c r="L1850" s="4">
        <f>IFERROR(__xludf.DUMMYFUNCTION("""COMPUTED_VALUE"""),10.0)</f>
        <v>10</v>
      </c>
      <c r="M1850" s="4">
        <f>IFERROR(__xludf.DUMMYFUNCTION("""COMPUTED_VALUE"""),5.0)</f>
        <v>5</v>
      </c>
      <c r="N1850" s="2" t="str">
        <f>IFERROR(__xludf.DUMMYFUNCTION("""COMPUTED_VALUE"""),"FALSO")</f>
        <v>FALSO</v>
      </c>
    </row>
    <row r="1851">
      <c r="A1851" s="2">
        <f>IFERROR(__xludf.DUMMYFUNCTION("""COMPUTED_VALUE"""),1850.0)</f>
        <v>1850</v>
      </c>
      <c r="B1851" s="2" t="str">
        <f>IFERROR(__xludf.DUMMYFUNCTION("""COMPUTED_VALUE"""),"Link Lancaster")</f>
        <v>Link Lancaster</v>
      </c>
      <c r="C1851" s="2" t="str">
        <f>IFERROR(__xludf.DUMMYFUNCTION("""COMPUTED_VALUE"""),"llancasternm@edublogs.org")</f>
        <v>llancasternm@edublogs.org</v>
      </c>
      <c r="D1851" s="4">
        <f>IFERROR(__xludf.DUMMYFUNCTION("""COMPUTED_VALUE"""),6.0)</f>
        <v>6</v>
      </c>
      <c r="E1851" s="4">
        <f>IFERROR(__xludf.DUMMYFUNCTION("""COMPUTED_VALUE"""),61.0)</f>
        <v>61</v>
      </c>
      <c r="F1851" s="4">
        <f>IFERROR(__xludf.DUMMYFUNCTION("""COMPUTED_VALUE"""),4.0)</f>
        <v>4</v>
      </c>
      <c r="G1851" s="4">
        <f>IFERROR(__xludf.DUMMYFUNCTION("""COMPUTED_VALUE"""),1203.0)</f>
        <v>1203</v>
      </c>
      <c r="H1851" s="5">
        <f>IFERROR(__xludf.DUMMYFUNCTION("""COMPUTED_VALUE"""),1053.31)</f>
        <v>1053.31</v>
      </c>
      <c r="I1851" s="5">
        <f>IFERROR(__xludf.DUMMYFUNCTION("""COMPUTED_VALUE"""),6946.75)</f>
        <v>6946.75</v>
      </c>
      <c r="J1851" s="5">
        <f>IFERROR(__xludf.DUMMYFUNCTION("""COMPUTED_VALUE"""),8924.23)</f>
        <v>8924.23</v>
      </c>
      <c r="K1851" s="5">
        <f>IFERROR(__xludf.DUMMYFUNCTION("""COMPUTED_VALUE"""),926.92)</f>
        <v>926.92</v>
      </c>
      <c r="L1851" s="4">
        <f>IFERROR(__xludf.DUMMYFUNCTION("""COMPUTED_VALUE"""),2.0)</f>
        <v>2</v>
      </c>
      <c r="M1851" s="4">
        <f>IFERROR(__xludf.DUMMYFUNCTION("""COMPUTED_VALUE"""),47.0)</f>
        <v>47</v>
      </c>
      <c r="N1851" s="2" t="str">
        <f>IFERROR(__xludf.DUMMYFUNCTION("""COMPUTED_VALUE"""),"FALSO")</f>
        <v>FALSO</v>
      </c>
    </row>
    <row r="1852">
      <c r="A1852" s="2">
        <f>IFERROR(__xludf.DUMMYFUNCTION("""COMPUTED_VALUE"""),1851.0)</f>
        <v>1851</v>
      </c>
      <c r="B1852" s="2" t="str">
        <f>IFERROR(__xludf.DUMMYFUNCTION("""COMPUTED_VALUE"""),"Arline Marple")</f>
        <v>Arline Marple</v>
      </c>
      <c r="C1852" s="2" t="str">
        <f>IFERROR(__xludf.DUMMYFUNCTION("""COMPUTED_VALUE"""),"amarplenn@redcross.org")</f>
        <v>amarplenn@redcross.org</v>
      </c>
      <c r="D1852" s="4">
        <f>IFERROR(__xludf.DUMMYFUNCTION("""COMPUTED_VALUE"""),156.0)</f>
        <v>156</v>
      </c>
      <c r="E1852" s="4">
        <f>IFERROR(__xludf.DUMMYFUNCTION("""COMPUTED_VALUE"""),74.0)</f>
        <v>74</v>
      </c>
      <c r="F1852" s="4">
        <f>IFERROR(__xludf.DUMMYFUNCTION("""COMPUTED_VALUE"""),9.0)</f>
        <v>9</v>
      </c>
      <c r="G1852" s="4">
        <f>IFERROR(__xludf.DUMMYFUNCTION("""COMPUTED_VALUE"""),817.0)</f>
        <v>817</v>
      </c>
      <c r="H1852" s="5">
        <f>IFERROR(__xludf.DUMMYFUNCTION("""COMPUTED_VALUE"""),3529.25)</f>
        <v>3529.25</v>
      </c>
      <c r="I1852" s="5">
        <f>IFERROR(__xludf.DUMMYFUNCTION("""COMPUTED_VALUE"""),805.99)</f>
        <v>805.99</v>
      </c>
      <c r="J1852" s="5">
        <f>IFERROR(__xludf.DUMMYFUNCTION("""COMPUTED_VALUE"""),83.69)</f>
        <v>83.69</v>
      </c>
      <c r="K1852" s="5">
        <f>IFERROR(__xludf.DUMMYFUNCTION("""COMPUTED_VALUE"""),1768.97)</f>
        <v>1768.97</v>
      </c>
      <c r="L1852" s="4">
        <f>IFERROR(__xludf.DUMMYFUNCTION("""COMPUTED_VALUE"""),20.0)</f>
        <v>20</v>
      </c>
      <c r="M1852" s="4">
        <f>IFERROR(__xludf.DUMMYFUNCTION("""COMPUTED_VALUE"""),81.0)</f>
        <v>81</v>
      </c>
      <c r="N1852" s="2" t="str">
        <f>IFERROR(__xludf.DUMMYFUNCTION("""COMPUTED_VALUE"""),"VERDADERO")</f>
        <v>VERDADERO</v>
      </c>
    </row>
    <row r="1853">
      <c r="A1853" s="2">
        <f>IFERROR(__xludf.DUMMYFUNCTION("""COMPUTED_VALUE"""),1852.0)</f>
        <v>1852</v>
      </c>
      <c r="B1853" s="2" t="str">
        <f>IFERROR(__xludf.DUMMYFUNCTION("""COMPUTED_VALUE"""),"Teresita Mabbitt")</f>
        <v>Teresita Mabbitt</v>
      </c>
      <c r="C1853" s="2" t="str">
        <f>IFERROR(__xludf.DUMMYFUNCTION("""COMPUTED_VALUE"""),"tmabbittno@sphinn.com")</f>
        <v>tmabbittno@sphinn.com</v>
      </c>
      <c r="D1853" s="4">
        <f>IFERROR(__xludf.DUMMYFUNCTION("""COMPUTED_VALUE"""),17.0)</f>
        <v>17</v>
      </c>
      <c r="E1853" s="4">
        <f>IFERROR(__xludf.DUMMYFUNCTION("""COMPUTED_VALUE"""),98.0)</f>
        <v>98</v>
      </c>
      <c r="F1853" s="4">
        <f>IFERROR(__xludf.DUMMYFUNCTION("""COMPUTED_VALUE"""),13.0)</f>
        <v>13</v>
      </c>
      <c r="G1853" s="4">
        <f>IFERROR(__xludf.DUMMYFUNCTION("""COMPUTED_VALUE"""),1000.0)</f>
        <v>1000</v>
      </c>
      <c r="H1853" s="5">
        <f>IFERROR(__xludf.DUMMYFUNCTION("""COMPUTED_VALUE"""),8093.09)</f>
        <v>8093.09</v>
      </c>
      <c r="I1853" s="5">
        <f>IFERROR(__xludf.DUMMYFUNCTION("""COMPUTED_VALUE"""),4474.7)</f>
        <v>4474.7</v>
      </c>
      <c r="J1853" s="5">
        <f>IFERROR(__xludf.DUMMYFUNCTION("""COMPUTED_VALUE"""),6327.09)</f>
        <v>6327.09</v>
      </c>
      <c r="K1853" s="5">
        <f>IFERROR(__xludf.DUMMYFUNCTION("""COMPUTED_VALUE"""),9419.08)</f>
        <v>9419.08</v>
      </c>
      <c r="L1853" s="4">
        <f>IFERROR(__xludf.DUMMYFUNCTION("""COMPUTED_VALUE"""),17.0)</f>
        <v>17</v>
      </c>
      <c r="M1853" s="4">
        <f>IFERROR(__xludf.DUMMYFUNCTION("""COMPUTED_VALUE"""),22.0)</f>
        <v>22</v>
      </c>
      <c r="N1853" s="2" t="str">
        <f>IFERROR(__xludf.DUMMYFUNCTION("""COMPUTED_VALUE"""),"FALSO")</f>
        <v>FALSO</v>
      </c>
    </row>
    <row r="1854">
      <c r="A1854" s="2">
        <f>IFERROR(__xludf.DUMMYFUNCTION("""COMPUTED_VALUE"""),1853.0)</f>
        <v>1853</v>
      </c>
      <c r="B1854" s="2" t="str">
        <f>IFERROR(__xludf.DUMMYFUNCTION("""COMPUTED_VALUE"""),"Udall Porter")</f>
        <v>Udall Porter</v>
      </c>
      <c r="C1854" s="2" t="str">
        <f>IFERROR(__xludf.DUMMYFUNCTION("""COMPUTED_VALUE"""),"uporternp@creativecommons.org")</f>
        <v>uporternp@creativecommons.org</v>
      </c>
      <c r="D1854" s="4">
        <f>IFERROR(__xludf.DUMMYFUNCTION("""COMPUTED_VALUE"""),29.0)</f>
        <v>29</v>
      </c>
      <c r="E1854" s="4">
        <f>IFERROR(__xludf.DUMMYFUNCTION("""COMPUTED_VALUE"""),67.0)</f>
        <v>67</v>
      </c>
      <c r="F1854" s="4">
        <f>IFERROR(__xludf.DUMMYFUNCTION("""COMPUTED_VALUE"""),7.0)</f>
        <v>7</v>
      </c>
      <c r="G1854" s="4">
        <f>IFERROR(__xludf.DUMMYFUNCTION("""COMPUTED_VALUE"""),471.0)</f>
        <v>471</v>
      </c>
      <c r="H1854" s="5">
        <f>IFERROR(__xludf.DUMMYFUNCTION("""COMPUTED_VALUE"""),9620.39)</f>
        <v>9620.39</v>
      </c>
      <c r="I1854" s="5">
        <f>IFERROR(__xludf.DUMMYFUNCTION("""COMPUTED_VALUE"""),1068.28)</f>
        <v>1068.28</v>
      </c>
      <c r="J1854" s="5">
        <f>IFERROR(__xludf.DUMMYFUNCTION("""COMPUTED_VALUE"""),1825.51)</f>
        <v>1825.51</v>
      </c>
      <c r="K1854" s="5">
        <f>IFERROR(__xludf.DUMMYFUNCTION("""COMPUTED_VALUE"""),1991.04)</f>
        <v>1991.04</v>
      </c>
      <c r="L1854" s="4">
        <f>IFERROR(__xludf.DUMMYFUNCTION("""COMPUTED_VALUE"""),9.0)</f>
        <v>9</v>
      </c>
      <c r="M1854" s="4">
        <f>IFERROR(__xludf.DUMMYFUNCTION("""COMPUTED_VALUE"""),90.0)</f>
        <v>90</v>
      </c>
      <c r="N1854" s="2" t="str">
        <f>IFERROR(__xludf.DUMMYFUNCTION("""COMPUTED_VALUE"""),"VERDADERO")</f>
        <v>VERDADERO</v>
      </c>
    </row>
    <row r="1855">
      <c r="A1855" s="2">
        <f>IFERROR(__xludf.DUMMYFUNCTION("""COMPUTED_VALUE"""),1854.0)</f>
        <v>1854</v>
      </c>
      <c r="B1855" s="2" t="str">
        <f>IFERROR(__xludf.DUMMYFUNCTION("""COMPUTED_VALUE"""),"Rafe Lazer")</f>
        <v>Rafe Lazer</v>
      </c>
      <c r="C1855" s="2" t="str">
        <f>IFERROR(__xludf.DUMMYFUNCTION("""COMPUTED_VALUE"""),"rlazernq@deliciousdays.com")</f>
        <v>rlazernq@deliciousdays.com</v>
      </c>
      <c r="D1855" s="4">
        <f>IFERROR(__xludf.DUMMYFUNCTION("""COMPUTED_VALUE"""),119.0)</f>
        <v>119</v>
      </c>
      <c r="E1855" s="4">
        <f>IFERROR(__xludf.DUMMYFUNCTION("""COMPUTED_VALUE"""),48.0)</f>
        <v>48</v>
      </c>
      <c r="F1855" s="4">
        <f>IFERROR(__xludf.DUMMYFUNCTION("""COMPUTED_VALUE"""),4.0)</f>
        <v>4</v>
      </c>
      <c r="G1855" s="4">
        <f>IFERROR(__xludf.DUMMYFUNCTION("""COMPUTED_VALUE"""),384.0)</f>
        <v>384</v>
      </c>
      <c r="H1855" s="5">
        <f>IFERROR(__xludf.DUMMYFUNCTION("""COMPUTED_VALUE"""),5884.12)</f>
        <v>5884.12</v>
      </c>
      <c r="I1855" s="5">
        <f>IFERROR(__xludf.DUMMYFUNCTION("""COMPUTED_VALUE"""),7005.89)</f>
        <v>7005.89</v>
      </c>
      <c r="J1855" s="5">
        <f>IFERROR(__xludf.DUMMYFUNCTION("""COMPUTED_VALUE"""),5100.05)</f>
        <v>5100.05</v>
      </c>
      <c r="K1855" s="5">
        <f>IFERROR(__xludf.DUMMYFUNCTION("""COMPUTED_VALUE"""),1810.1)</f>
        <v>1810.1</v>
      </c>
      <c r="L1855" s="4">
        <f>IFERROR(__xludf.DUMMYFUNCTION("""COMPUTED_VALUE"""),17.0)</f>
        <v>17</v>
      </c>
      <c r="M1855" s="4">
        <f>IFERROR(__xludf.DUMMYFUNCTION("""COMPUTED_VALUE"""),93.0)</f>
        <v>93</v>
      </c>
      <c r="N1855" s="2" t="str">
        <f>IFERROR(__xludf.DUMMYFUNCTION("""COMPUTED_VALUE"""),"FALSO")</f>
        <v>FALSO</v>
      </c>
    </row>
    <row r="1856">
      <c r="A1856" s="2">
        <f>IFERROR(__xludf.DUMMYFUNCTION("""COMPUTED_VALUE"""),1855.0)</f>
        <v>1855</v>
      </c>
      <c r="B1856" s="2" t="str">
        <f>IFERROR(__xludf.DUMMYFUNCTION("""COMPUTED_VALUE"""),"Stefano Prettyman")</f>
        <v>Stefano Prettyman</v>
      </c>
      <c r="C1856" s="2" t="str">
        <f>IFERROR(__xludf.DUMMYFUNCTION("""COMPUTED_VALUE"""),"sprettymannr@dell.com")</f>
        <v>sprettymannr@dell.com</v>
      </c>
      <c r="D1856" s="4">
        <f>IFERROR(__xludf.DUMMYFUNCTION("""COMPUTED_VALUE"""),65.0)</f>
        <v>65</v>
      </c>
      <c r="E1856" s="4">
        <f>IFERROR(__xludf.DUMMYFUNCTION("""COMPUTED_VALUE"""),73.0)</f>
        <v>73</v>
      </c>
      <c r="F1856" s="4">
        <f>IFERROR(__xludf.DUMMYFUNCTION("""COMPUTED_VALUE"""),8.0)</f>
        <v>8</v>
      </c>
      <c r="G1856" s="4">
        <f>IFERROR(__xludf.DUMMYFUNCTION("""COMPUTED_VALUE"""),696.0)</f>
        <v>696</v>
      </c>
      <c r="H1856" s="5">
        <f>IFERROR(__xludf.DUMMYFUNCTION("""COMPUTED_VALUE"""),4252.6)</f>
        <v>4252.6</v>
      </c>
      <c r="I1856" s="5">
        <f>IFERROR(__xludf.DUMMYFUNCTION("""COMPUTED_VALUE"""),5033.43)</f>
        <v>5033.43</v>
      </c>
      <c r="J1856" s="5">
        <f>IFERROR(__xludf.DUMMYFUNCTION("""COMPUTED_VALUE"""),2046.06)</f>
        <v>2046.06</v>
      </c>
      <c r="K1856" s="5">
        <f>IFERROR(__xludf.DUMMYFUNCTION("""COMPUTED_VALUE"""),7907.75)</f>
        <v>7907.75</v>
      </c>
      <c r="L1856" s="4">
        <f>IFERROR(__xludf.DUMMYFUNCTION("""COMPUTED_VALUE"""),7.0)</f>
        <v>7</v>
      </c>
      <c r="M1856" s="4">
        <f>IFERROR(__xludf.DUMMYFUNCTION("""COMPUTED_VALUE"""),47.0)</f>
        <v>47</v>
      </c>
      <c r="N1856" s="2" t="str">
        <f>IFERROR(__xludf.DUMMYFUNCTION("""COMPUTED_VALUE"""),"VERDADERO")</f>
        <v>VERDADERO</v>
      </c>
    </row>
    <row r="1857">
      <c r="A1857" s="2">
        <f>IFERROR(__xludf.DUMMYFUNCTION("""COMPUTED_VALUE"""),1856.0)</f>
        <v>1856</v>
      </c>
      <c r="B1857" s="2" t="str">
        <f>IFERROR(__xludf.DUMMYFUNCTION("""COMPUTED_VALUE"""),"Vivianne Sympson")</f>
        <v>Vivianne Sympson</v>
      </c>
      <c r="C1857" s="2" t="str">
        <f>IFERROR(__xludf.DUMMYFUNCTION("""COMPUTED_VALUE"""),"vsympsonns@newyorker.com")</f>
        <v>vsympsonns@newyorker.com</v>
      </c>
      <c r="D1857" s="4">
        <f>IFERROR(__xludf.DUMMYFUNCTION("""COMPUTED_VALUE"""),88.0)</f>
        <v>88</v>
      </c>
      <c r="E1857" s="4">
        <f>IFERROR(__xludf.DUMMYFUNCTION("""COMPUTED_VALUE"""),81.0)</f>
        <v>81</v>
      </c>
      <c r="F1857" s="4">
        <f>IFERROR(__xludf.DUMMYFUNCTION("""COMPUTED_VALUE"""),2.0)</f>
        <v>2</v>
      </c>
      <c r="G1857" s="4">
        <f>IFERROR(__xludf.DUMMYFUNCTION("""COMPUTED_VALUE"""),1041.0)</f>
        <v>1041</v>
      </c>
      <c r="H1857" s="5">
        <f>IFERROR(__xludf.DUMMYFUNCTION("""COMPUTED_VALUE"""),4214.33)</f>
        <v>4214.33</v>
      </c>
      <c r="I1857" s="5">
        <f>IFERROR(__xludf.DUMMYFUNCTION("""COMPUTED_VALUE"""),6159.47)</f>
        <v>6159.47</v>
      </c>
      <c r="J1857" s="5">
        <f>IFERROR(__xludf.DUMMYFUNCTION("""COMPUTED_VALUE"""),2544.35)</f>
        <v>2544.35</v>
      </c>
      <c r="K1857" s="5">
        <f>IFERROR(__xludf.DUMMYFUNCTION("""COMPUTED_VALUE"""),4677.13)</f>
        <v>4677.13</v>
      </c>
      <c r="L1857" s="4">
        <f>IFERROR(__xludf.DUMMYFUNCTION("""COMPUTED_VALUE"""),13.0)</f>
        <v>13</v>
      </c>
      <c r="M1857" s="4">
        <f>IFERROR(__xludf.DUMMYFUNCTION("""COMPUTED_VALUE"""),54.0)</f>
        <v>54</v>
      </c>
      <c r="N1857" s="2" t="str">
        <f>IFERROR(__xludf.DUMMYFUNCTION("""COMPUTED_VALUE"""),"VERDADERO")</f>
        <v>VERDADERO</v>
      </c>
    </row>
    <row r="1858">
      <c r="A1858" s="2">
        <f>IFERROR(__xludf.DUMMYFUNCTION("""COMPUTED_VALUE"""),1857.0)</f>
        <v>1857</v>
      </c>
      <c r="B1858" s="2" t="str">
        <f>IFERROR(__xludf.DUMMYFUNCTION("""COMPUTED_VALUE"""),"Gena Handaside")</f>
        <v>Gena Handaside</v>
      </c>
      <c r="C1858" s="2" t="str">
        <f>IFERROR(__xludf.DUMMYFUNCTION("""COMPUTED_VALUE"""),"ghandasident@ustream.tv")</f>
        <v>ghandasident@ustream.tv</v>
      </c>
      <c r="D1858" s="4">
        <f>IFERROR(__xludf.DUMMYFUNCTION("""COMPUTED_VALUE"""),120.0)</f>
        <v>120</v>
      </c>
      <c r="E1858" s="4">
        <f>IFERROR(__xludf.DUMMYFUNCTION("""COMPUTED_VALUE"""),51.0)</f>
        <v>51</v>
      </c>
      <c r="F1858" s="4">
        <f>IFERROR(__xludf.DUMMYFUNCTION("""COMPUTED_VALUE"""),5.0)</f>
        <v>5</v>
      </c>
      <c r="G1858" s="4">
        <f>IFERROR(__xludf.DUMMYFUNCTION("""COMPUTED_VALUE"""),1549.0)</f>
        <v>1549</v>
      </c>
      <c r="H1858" s="5">
        <f>IFERROR(__xludf.DUMMYFUNCTION("""COMPUTED_VALUE"""),8041.95)</f>
        <v>8041.95</v>
      </c>
      <c r="I1858" s="5">
        <f>IFERROR(__xludf.DUMMYFUNCTION("""COMPUTED_VALUE"""),9815.99)</f>
        <v>9815.99</v>
      </c>
      <c r="J1858" s="5">
        <f>IFERROR(__xludf.DUMMYFUNCTION("""COMPUTED_VALUE"""),9321.91)</f>
        <v>9321.91</v>
      </c>
      <c r="K1858" s="5">
        <f>IFERROR(__xludf.DUMMYFUNCTION("""COMPUTED_VALUE"""),375.15)</f>
        <v>375.15</v>
      </c>
      <c r="L1858" s="4">
        <f>IFERROR(__xludf.DUMMYFUNCTION("""COMPUTED_VALUE"""),4.0)</f>
        <v>4</v>
      </c>
      <c r="M1858" s="4">
        <f>IFERROR(__xludf.DUMMYFUNCTION("""COMPUTED_VALUE"""),6.0)</f>
        <v>6</v>
      </c>
      <c r="N1858" s="2" t="str">
        <f>IFERROR(__xludf.DUMMYFUNCTION("""COMPUTED_VALUE"""),"FALSO")</f>
        <v>FALSO</v>
      </c>
    </row>
    <row r="1859">
      <c r="A1859" s="2">
        <f>IFERROR(__xludf.DUMMYFUNCTION("""COMPUTED_VALUE"""),1858.0)</f>
        <v>1858</v>
      </c>
      <c r="B1859" s="2" t="str">
        <f>IFERROR(__xludf.DUMMYFUNCTION("""COMPUTED_VALUE"""),"Harv Banford")</f>
        <v>Harv Banford</v>
      </c>
      <c r="C1859" s="2" t="str">
        <f>IFERROR(__xludf.DUMMYFUNCTION("""COMPUTED_VALUE"""),"hbanfordnu@google.cn")</f>
        <v>hbanfordnu@google.cn</v>
      </c>
      <c r="D1859" s="4">
        <f>IFERROR(__xludf.DUMMYFUNCTION("""COMPUTED_VALUE"""),137.0)</f>
        <v>137</v>
      </c>
      <c r="E1859" s="4">
        <f>IFERROR(__xludf.DUMMYFUNCTION("""COMPUTED_VALUE"""),39.0)</f>
        <v>39</v>
      </c>
      <c r="F1859" s="4">
        <f>IFERROR(__xludf.DUMMYFUNCTION("""COMPUTED_VALUE"""),11.0)</f>
        <v>11</v>
      </c>
      <c r="G1859" s="4">
        <f>IFERROR(__xludf.DUMMYFUNCTION("""COMPUTED_VALUE"""),263.0)</f>
        <v>263</v>
      </c>
      <c r="H1859" s="5">
        <f>IFERROR(__xludf.DUMMYFUNCTION("""COMPUTED_VALUE"""),9597.32)</f>
        <v>9597.32</v>
      </c>
      <c r="I1859" s="5">
        <f>IFERROR(__xludf.DUMMYFUNCTION("""COMPUTED_VALUE"""),8606.38)</f>
        <v>8606.38</v>
      </c>
      <c r="J1859" s="5">
        <f>IFERROR(__xludf.DUMMYFUNCTION("""COMPUTED_VALUE"""),6517.79)</f>
        <v>6517.79</v>
      </c>
      <c r="K1859" s="5">
        <f>IFERROR(__xludf.DUMMYFUNCTION("""COMPUTED_VALUE"""),4114.56)</f>
        <v>4114.56</v>
      </c>
      <c r="L1859" s="4">
        <f>IFERROR(__xludf.DUMMYFUNCTION("""COMPUTED_VALUE"""),19.0)</f>
        <v>19</v>
      </c>
      <c r="M1859" s="4">
        <f>IFERROR(__xludf.DUMMYFUNCTION("""COMPUTED_VALUE"""),28.0)</f>
        <v>28</v>
      </c>
      <c r="N1859" s="2" t="str">
        <f>IFERROR(__xludf.DUMMYFUNCTION("""COMPUTED_VALUE"""),"FALSO")</f>
        <v>FALSO</v>
      </c>
    </row>
    <row r="1860">
      <c r="A1860" s="2">
        <f>IFERROR(__xludf.DUMMYFUNCTION("""COMPUTED_VALUE"""),1859.0)</f>
        <v>1859</v>
      </c>
      <c r="B1860" s="2" t="str">
        <f>IFERROR(__xludf.DUMMYFUNCTION("""COMPUTED_VALUE"""),"Dotty Westell")</f>
        <v>Dotty Westell</v>
      </c>
      <c r="C1860" s="2" t="str">
        <f>IFERROR(__xludf.DUMMYFUNCTION("""COMPUTED_VALUE"""),"dwestellnv@hubpages.com")</f>
        <v>dwestellnv@hubpages.com</v>
      </c>
      <c r="D1860" s="4">
        <f>IFERROR(__xludf.DUMMYFUNCTION("""COMPUTED_VALUE"""),65.0)</f>
        <v>65</v>
      </c>
      <c r="E1860" s="4">
        <f>IFERROR(__xludf.DUMMYFUNCTION("""COMPUTED_VALUE"""),25.0)</f>
        <v>25</v>
      </c>
      <c r="F1860" s="4">
        <f>IFERROR(__xludf.DUMMYFUNCTION("""COMPUTED_VALUE"""),4.0)</f>
        <v>4</v>
      </c>
      <c r="G1860" s="4">
        <f>IFERROR(__xludf.DUMMYFUNCTION("""COMPUTED_VALUE"""),780.0)</f>
        <v>780</v>
      </c>
      <c r="H1860" s="5">
        <f>IFERROR(__xludf.DUMMYFUNCTION("""COMPUTED_VALUE"""),8675.01)</f>
        <v>8675.01</v>
      </c>
      <c r="I1860" s="5">
        <f>IFERROR(__xludf.DUMMYFUNCTION("""COMPUTED_VALUE"""),2056.95)</f>
        <v>2056.95</v>
      </c>
      <c r="J1860" s="5">
        <f>IFERROR(__xludf.DUMMYFUNCTION("""COMPUTED_VALUE"""),1769.57)</f>
        <v>1769.57</v>
      </c>
      <c r="K1860" s="5">
        <f>IFERROR(__xludf.DUMMYFUNCTION("""COMPUTED_VALUE"""),660.58)</f>
        <v>660.58</v>
      </c>
      <c r="L1860" s="4">
        <f>IFERROR(__xludf.DUMMYFUNCTION("""COMPUTED_VALUE"""),18.0)</f>
        <v>18</v>
      </c>
      <c r="M1860" s="4">
        <f>IFERROR(__xludf.DUMMYFUNCTION("""COMPUTED_VALUE"""),59.0)</f>
        <v>59</v>
      </c>
      <c r="N1860" s="2" t="str">
        <f>IFERROR(__xludf.DUMMYFUNCTION("""COMPUTED_VALUE"""),"FALSO")</f>
        <v>FALSO</v>
      </c>
    </row>
    <row r="1861">
      <c r="A1861" s="2">
        <f>IFERROR(__xludf.DUMMYFUNCTION("""COMPUTED_VALUE"""),1860.0)</f>
        <v>1860</v>
      </c>
      <c r="B1861" s="2" t="str">
        <f>IFERROR(__xludf.DUMMYFUNCTION("""COMPUTED_VALUE"""),"Jorge Ducastel")</f>
        <v>Jorge Ducastel</v>
      </c>
      <c r="C1861" s="2" t="str">
        <f>IFERROR(__xludf.DUMMYFUNCTION("""COMPUTED_VALUE"""),"jducastelnw@canalblog.com")</f>
        <v>jducastelnw@canalblog.com</v>
      </c>
      <c r="D1861" s="4">
        <f>IFERROR(__xludf.DUMMYFUNCTION("""COMPUTED_VALUE"""),37.0)</f>
        <v>37</v>
      </c>
      <c r="E1861" s="4">
        <f>IFERROR(__xludf.DUMMYFUNCTION("""COMPUTED_VALUE"""),81.0)</f>
        <v>81</v>
      </c>
      <c r="F1861" s="4">
        <f>IFERROR(__xludf.DUMMYFUNCTION("""COMPUTED_VALUE"""),2.0)</f>
        <v>2</v>
      </c>
      <c r="G1861" s="4">
        <f>IFERROR(__xludf.DUMMYFUNCTION("""COMPUTED_VALUE"""),129.0)</f>
        <v>129</v>
      </c>
      <c r="H1861" s="5">
        <f>IFERROR(__xludf.DUMMYFUNCTION("""COMPUTED_VALUE"""),2152.44)</f>
        <v>2152.44</v>
      </c>
      <c r="I1861" s="5">
        <f>IFERROR(__xludf.DUMMYFUNCTION("""COMPUTED_VALUE"""),2566.1)</f>
        <v>2566.1</v>
      </c>
      <c r="J1861" s="5">
        <f>IFERROR(__xludf.DUMMYFUNCTION("""COMPUTED_VALUE"""),5488.35)</f>
        <v>5488.35</v>
      </c>
      <c r="K1861" s="5">
        <f>IFERROR(__xludf.DUMMYFUNCTION("""COMPUTED_VALUE"""),6685.16)</f>
        <v>6685.16</v>
      </c>
      <c r="L1861" s="4">
        <f>IFERROR(__xludf.DUMMYFUNCTION("""COMPUTED_VALUE"""),17.0)</f>
        <v>17</v>
      </c>
      <c r="M1861" s="4">
        <f>IFERROR(__xludf.DUMMYFUNCTION("""COMPUTED_VALUE"""),49.0)</f>
        <v>49</v>
      </c>
      <c r="N1861" s="2" t="str">
        <f>IFERROR(__xludf.DUMMYFUNCTION("""COMPUTED_VALUE"""),"VERDADERO")</f>
        <v>VERDADERO</v>
      </c>
    </row>
    <row r="1862">
      <c r="A1862" s="2">
        <f>IFERROR(__xludf.DUMMYFUNCTION("""COMPUTED_VALUE"""),1861.0)</f>
        <v>1861</v>
      </c>
      <c r="B1862" s="2" t="str">
        <f>IFERROR(__xludf.DUMMYFUNCTION("""COMPUTED_VALUE"""),"Cameron Tongs")</f>
        <v>Cameron Tongs</v>
      </c>
      <c r="C1862" s="2" t="str">
        <f>IFERROR(__xludf.DUMMYFUNCTION("""COMPUTED_VALUE"""),"ctongsnx@utexas.edu")</f>
        <v>ctongsnx@utexas.edu</v>
      </c>
      <c r="D1862" s="4">
        <f>IFERROR(__xludf.DUMMYFUNCTION("""COMPUTED_VALUE"""),29.0)</f>
        <v>29</v>
      </c>
      <c r="E1862" s="4">
        <f>IFERROR(__xludf.DUMMYFUNCTION("""COMPUTED_VALUE"""),85.0)</f>
        <v>85</v>
      </c>
      <c r="F1862" s="4">
        <f>IFERROR(__xludf.DUMMYFUNCTION("""COMPUTED_VALUE"""),1.0)</f>
        <v>1</v>
      </c>
      <c r="G1862" s="4">
        <f>IFERROR(__xludf.DUMMYFUNCTION("""COMPUTED_VALUE"""),690.0)</f>
        <v>690</v>
      </c>
      <c r="H1862" s="5">
        <f>IFERROR(__xludf.DUMMYFUNCTION("""COMPUTED_VALUE"""),8962.74)</f>
        <v>8962.74</v>
      </c>
      <c r="I1862" s="5">
        <f>IFERROR(__xludf.DUMMYFUNCTION("""COMPUTED_VALUE"""),5050.37)</f>
        <v>5050.37</v>
      </c>
      <c r="J1862" s="5">
        <f>IFERROR(__xludf.DUMMYFUNCTION("""COMPUTED_VALUE"""),1069.12)</f>
        <v>1069.12</v>
      </c>
      <c r="K1862" s="5">
        <f>IFERROR(__xludf.DUMMYFUNCTION("""COMPUTED_VALUE"""),4340.87)</f>
        <v>4340.87</v>
      </c>
      <c r="L1862" s="4">
        <f>IFERROR(__xludf.DUMMYFUNCTION("""COMPUTED_VALUE"""),17.0)</f>
        <v>17</v>
      </c>
      <c r="M1862" s="4">
        <f>IFERROR(__xludf.DUMMYFUNCTION("""COMPUTED_VALUE"""),26.0)</f>
        <v>26</v>
      </c>
      <c r="N1862" s="2" t="str">
        <f>IFERROR(__xludf.DUMMYFUNCTION("""COMPUTED_VALUE"""),"VERDADERO")</f>
        <v>VERDADERO</v>
      </c>
    </row>
    <row r="1863">
      <c r="A1863" s="2">
        <f>IFERROR(__xludf.DUMMYFUNCTION("""COMPUTED_VALUE"""),1862.0)</f>
        <v>1862</v>
      </c>
      <c r="B1863" s="2" t="str">
        <f>IFERROR(__xludf.DUMMYFUNCTION("""COMPUTED_VALUE"""),"Rockie Danilishin")</f>
        <v>Rockie Danilishin</v>
      </c>
      <c r="C1863" s="2" t="str">
        <f>IFERROR(__xludf.DUMMYFUNCTION("""COMPUTED_VALUE"""),"rdanilishinny@blog.com")</f>
        <v>rdanilishinny@blog.com</v>
      </c>
      <c r="D1863" s="4">
        <f>IFERROR(__xludf.DUMMYFUNCTION("""COMPUTED_VALUE"""),150.0)</f>
        <v>150</v>
      </c>
      <c r="E1863" s="4">
        <f>IFERROR(__xludf.DUMMYFUNCTION("""COMPUTED_VALUE"""),54.0)</f>
        <v>54</v>
      </c>
      <c r="F1863" s="4">
        <f>IFERROR(__xludf.DUMMYFUNCTION("""COMPUTED_VALUE"""),10.0)</f>
        <v>10</v>
      </c>
      <c r="G1863" s="4">
        <f>IFERROR(__xludf.DUMMYFUNCTION("""COMPUTED_VALUE"""),662.0)</f>
        <v>662</v>
      </c>
      <c r="H1863" s="5">
        <f>IFERROR(__xludf.DUMMYFUNCTION("""COMPUTED_VALUE"""),6455.78)</f>
        <v>6455.78</v>
      </c>
      <c r="I1863" s="5">
        <f>IFERROR(__xludf.DUMMYFUNCTION("""COMPUTED_VALUE"""),3698.37)</f>
        <v>3698.37</v>
      </c>
      <c r="J1863" s="5">
        <f>IFERROR(__xludf.DUMMYFUNCTION("""COMPUTED_VALUE"""),8721.96)</f>
        <v>8721.96</v>
      </c>
      <c r="K1863" s="5">
        <f>IFERROR(__xludf.DUMMYFUNCTION("""COMPUTED_VALUE"""),7426.4)</f>
        <v>7426.4</v>
      </c>
      <c r="L1863" s="4">
        <f>IFERROR(__xludf.DUMMYFUNCTION("""COMPUTED_VALUE"""),9.0)</f>
        <v>9</v>
      </c>
      <c r="M1863" s="4">
        <f>IFERROR(__xludf.DUMMYFUNCTION("""COMPUTED_VALUE"""),67.0)</f>
        <v>67</v>
      </c>
      <c r="N1863" s="2" t="str">
        <f>IFERROR(__xludf.DUMMYFUNCTION("""COMPUTED_VALUE"""),"VERDADERO")</f>
        <v>VERDADERO</v>
      </c>
    </row>
    <row r="1864">
      <c r="A1864" s="2">
        <f>IFERROR(__xludf.DUMMYFUNCTION("""COMPUTED_VALUE"""),1863.0)</f>
        <v>1863</v>
      </c>
      <c r="B1864" s="2" t="str">
        <f>IFERROR(__xludf.DUMMYFUNCTION("""COMPUTED_VALUE"""),"Erna Figg")</f>
        <v>Erna Figg</v>
      </c>
      <c r="C1864" s="2" t="str">
        <f>IFERROR(__xludf.DUMMYFUNCTION("""COMPUTED_VALUE"""),"efiggnz@blogs.com")</f>
        <v>efiggnz@blogs.com</v>
      </c>
      <c r="D1864" s="4">
        <f>IFERROR(__xludf.DUMMYFUNCTION("""COMPUTED_VALUE"""),29.0)</f>
        <v>29</v>
      </c>
      <c r="E1864" s="4">
        <f>IFERROR(__xludf.DUMMYFUNCTION("""COMPUTED_VALUE"""),81.0)</f>
        <v>81</v>
      </c>
      <c r="F1864" s="4">
        <f>IFERROR(__xludf.DUMMYFUNCTION("""COMPUTED_VALUE"""),2.0)</f>
        <v>2</v>
      </c>
      <c r="G1864" s="4">
        <f>IFERROR(__xludf.DUMMYFUNCTION("""COMPUTED_VALUE"""),170.0)</f>
        <v>170</v>
      </c>
      <c r="H1864" s="5">
        <f>IFERROR(__xludf.DUMMYFUNCTION("""COMPUTED_VALUE"""),942.28)</f>
        <v>942.28</v>
      </c>
      <c r="I1864" s="5">
        <f>IFERROR(__xludf.DUMMYFUNCTION("""COMPUTED_VALUE"""),8056.67)</f>
        <v>8056.67</v>
      </c>
      <c r="J1864" s="5">
        <f>IFERROR(__xludf.DUMMYFUNCTION("""COMPUTED_VALUE"""),3516.48)</f>
        <v>3516.48</v>
      </c>
      <c r="K1864" s="5">
        <f>IFERROR(__xludf.DUMMYFUNCTION("""COMPUTED_VALUE"""),3579.3)</f>
        <v>3579.3</v>
      </c>
      <c r="L1864" s="4">
        <f>IFERROR(__xludf.DUMMYFUNCTION("""COMPUTED_VALUE"""),9.0)</f>
        <v>9</v>
      </c>
      <c r="M1864" s="4">
        <f>IFERROR(__xludf.DUMMYFUNCTION("""COMPUTED_VALUE"""),62.0)</f>
        <v>62</v>
      </c>
      <c r="N1864" s="2" t="str">
        <f>IFERROR(__xludf.DUMMYFUNCTION("""COMPUTED_VALUE"""),"FALSO")</f>
        <v>FALSO</v>
      </c>
    </row>
    <row r="1865">
      <c r="A1865" s="2">
        <f>IFERROR(__xludf.DUMMYFUNCTION("""COMPUTED_VALUE"""),1864.0)</f>
        <v>1864</v>
      </c>
      <c r="B1865" s="2" t="str">
        <f>IFERROR(__xludf.DUMMYFUNCTION("""COMPUTED_VALUE"""),"Christoph Hardey")</f>
        <v>Christoph Hardey</v>
      </c>
      <c r="C1865" s="2" t="str">
        <f>IFERROR(__xludf.DUMMYFUNCTION("""COMPUTED_VALUE"""),"chardeyo0@cpanel.net")</f>
        <v>chardeyo0@cpanel.net</v>
      </c>
      <c r="D1865" s="4">
        <f>IFERROR(__xludf.DUMMYFUNCTION("""COMPUTED_VALUE"""),137.0)</f>
        <v>137</v>
      </c>
      <c r="E1865" s="4">
        <f>IFERROR(__xludf.DUMMYFUNCTION("""COMPUTED_VALUE"""),81.0)</f>
        <v>81</v>
      </c>
      <c r="F1865" s="4">
        <f>IFERROR(__xludf.DUMMYFUNCTION("""COMPUTED_VALUE"""),2.0)</f>
        <v>2</v>
      </c>
      <c r="G1865" s="4">
        <f>IFERROR(__xludf.DUMMYFUNCTION("""COMPUTED_VALUE"""),170.0)</f>
        <v>170</v>
      </c>
      <c r="H1865" s="5">
        <f>IFERROR(__xludf.DUMMYFUNCTION("""COMPUTED_VALUE"""),9410.55)</f>
        <v>9410.55</v>
      </c>
      <c r="I1865" s="5">
        <f>IFERROR(__xludf.DUMMYFUNCTION("""COMPUTED_VALUE"""),4226.03)</f>
        <v>4226.03</v>
      </c>
      <c r="J1865" s="5">
        <f>IFERROR(__xludf.DUMMYFUNCTION("""COMPUTED_VALUE"""),5307.15)</f>
        <v>5307.15</v>
      </c>
      <c r="K1865" s="5">
        <f>IFERROR(__xludf.DUMMYFUNCTION("""COMPUTED_VALUE"""),1135.65)</f>
        <v>1135.65</v>
      </c>
      <c r="L1865" s="4">
        <f>IFERROR(__xludf.DUMMYFUNCTION("""COMPUTED_VALUE"""),3.0)</f>
        <v>3</v>
      </c>
      <c r="M1865" s="4">
        <f>IFERROR(__xludf.DUMMYFUNCTION("""COMPUTED_VALUE"""),79.0)</f>
        <v>79</v>
      </c>
      <c r="N1865" s="2" t="str">
        <f>IFERROR(__xludf.DUMMYFUNCTION("""COMPUTED_VALUE"""),"FALSO")</f>
        <v>FALSO</v>
      </c>
    </row>
    <row r="1866">
      <c r="A1866" s="2">
        <f>IFERROR(__xludf.DUMMYFUNCTION("""COMPUTED_VALUE"""),1865.0)</f>
        <v>1865</v>
      </c>
      <c r="B1866" s="2" t="str">
        <f>IFERROR(__xludf.DUMMYFUNCTION("""COMPUTED_VALUE"""),"Bobbie Hatrey")</f>
        <v>Bobbie Hatrey</v>
      </c>
      <c r="C1866" s="2" t="str">
        <f>IFERROR(__xludf.DUMMYFUNCTION("""COMPUTED_VALUE"""),"bhatreyo1@mapy.cz")</f>
        <v>bhatreyo1@mapy.cz</v>
      </c>
      <c r="D1866" s="4">
        <f>IFERROR(__xludf.DUMMYFUNCTION("""COMPUTED_VALUE"""),65.0)</f>
        <v>65</v>
      </c>
      <c r="E1866" s="4">
        <f>IFERROR(__xludf.DUMMYFUNCTION("""COMPUTED_VALUE"""),81.0)</f>
        <v>81</v>
      </c>
      <c r="F1866" s="4">
        <f>IFERROR(__xludf.DUMMYFUNCTION("""COMPUTED_VALUE"""),2.0)</f>
        <v>2</v>
      </c>
      <c r="G1866" s="4">
        <f>IFERROR(__xludf.DUMMYFUNCTION("""COMPUTED_VALUE"""),1433.0)</f>
        <v>1433</v>
      </c>
      <c r="H1866" s="5">
        <f>IFERROR(__xludf.DUMMYFUNCTION("""COMPUTED_VALUE"""),3797.8)</f>
        <v>3797.8</v>
      </c>
      <c r="I1866" s="5">
        <f>IFERROR(__xludf.DUMMYFUNCTION("""COMPUTED_VALUE"""),7269.23)</f>
        <v>7269.23</v>
      </c>
      <c r="J1866" s="5">
        <f>IFERROR(__xludf.DUMMYFUNCTION("""COMPUTED_VALUE"""),2475.77)</f>
        <v>2475.77</v>
      </c>
      <c r="K1866" s="5">
        <f>IFERROR(__xludf.DUMMYFUNCTION("""COMPUTED_VALUE"""),5460.35)</f>
        <v>5460.35</v>
      </c>
      <c r="L1866" s="4">
        <f>IFERROR(__xludf.DUMMYFUNCTION("""COMPUTED_VALUE"""),2.0)</f>
        <v>2</v>
      </c>
      <c r="M1866" s="4">
        <f>IFERROR(__xludf.DUMMYFUNCTION("""COMPUTED_VALUE"""),83.0)</f>
        <v>83</v>
      </c>
      <c r="N1866" s="2" t="str">
        <f>IFERROR(__xludf.DUMMYFUNCTION("""COMPUTED_VALUE"""),"FALSO")</f>
        <v>FALSO</v>
      </c>
    </row>
    <row r="1867">
      <c r="A1867" s="2">
        <f>IFERROR(__xludf.DUMMYFUNCTION("""COMPUTED_VALUE"""),1866.0)</f>
        <v>1866</v>
      </c>
      <c r="B1867" s="2" t="str">
        <f>IFERROR(__xludf.DUMMYFUNCTION("""COMPUTED_VALUE"""),"Farr Jozwicki")</f>
        <v>Farr Jozwicki</v>
      </c>
      <c r="C1867" s="2" t="str">
        <f>IFERROR(__xludf.DUMMYFUNCTION("""COMPUTED_VALUE"""),"fjozwickio2@bloglovin.com")</f>
        <v>fjozwickio2@bloglovin.com</v>
      </c>
      <c r="D1867" s="4">
        <f>IFERROR(__xludf.DUMMYFUNCTION("""COMPUTED_VALUE"""),17.0)</f>
        <v>17</v>
      </c>
      <c r="E1867" s="4">
        <f>IFERROR(__xludf.DUMMYFUNCTION("""COMPUTED_VALUE"""),107.0)</f>
        <v>107</v>
      </c>
      <c r="F1867" s="4">
        <f>IFERROR(__xludf.DUMMYFUNCTION("""COMPUTED_VALUE"""),5.0)</f>
        <v>5</v>
      </c>
      <c r="G1867" s="4">
        <f>IFERROR(__xludf.DUMMYFUNCTION("""COMPUTED_VALUE"""),899.0)</f>
        <v>899</v>
      </c>
      <c r="H1867" s="5">
        <f>IFERROR(__xludf.DUMMYFUNCTION("""COMPUTED_VALUE"""),7138.78)</f>
        <v>7138.78</v>
      </c>
      <c r="I1867" s="5">
        <f>IFERROR(__xludf.DUMMYFUNCTION("""COMPUTED_VALUE"""),4693.72)</f>
        <v>4693.72</v>
      </c>
      <c r="J1867" s="5">
        <f>IFERROR(__xludf.DUMMYFUNCTION("""COMPUTED_VALUE"""),4570.59)</f>
        <v>4570.59</v>
      </c>
      <c r="K1867" s="5">
        <f>IFERROR(__xludf.DUMMYFUNCTION("""COMPUTED_VALUE"""),2290.35)</f>
        <v>2290.35</v>
      </c>
      <c r="L1867" s="4">
        <f>IFERROR(__xludf.DUMMYFUNCTION("""COMPUTED_VALUE"""),9.0)</f>
        <v>9</v>
      </c>
      <c r="M1867" s="4">
        <f>IFERROR(__xludf.DUMMYFUNCTION("""COMPUTED_VALUE"""),49.0)</f>
        <v>49</v>
      </c>
      <c r="N1867" s="2" t="str">
        <f>IFERROR(__xludf.DUMMYFUNCTION("""COMPUTED_VALUE"""),"FALSO")</f>
        <v>FALSO</v>
      </c>
    </row>
    <row r="1868">
      <c r="A1868" s="2">
        <f>IFERROR(__xludf.DUMMYFUNCTION("""COMPUTED_VALUE"""),1867.0)</f>
        <v>1867</v>
      </c>
      <c r="B1868" s="2" t="str">
        <f>IFERROR(__xludf.DUMMYFUNCTION("""COMPUTED_VALUE"""),"Michael Bartozzi")</f>
        <v>Michael Bartozzi</v>
      </c>
      <c r="C1868" s="2" t="str">
        <f>IFERROR(__xludf.DUMMYFUNCTION("""COMPUTED_VALUE"""),"mbartozzio3@trellian.com")</f>
        <v>mbartozzio3@trellian.com</v>
      </c>
      <c r="D1868" s="4">
        <f>IFERROR(__xludf.DUMMYFUNCTION("""COMPUTED_VALUE"""),120.0)</f>
        <v>120</v>
      </c>
      <c r="E1868" s="4">
        <f>IFERROR(__xludf.DUMMYFUNCTION("""COMPUTED_VALUE"""),81.0)</f>
        <v>81</v>
      </c>
      <c r="F1868" s="4">
        <f>IFERROR(__xludf.DUMMYFUNCTION("""COMPUTED_VALUE"""),2.0)</f>
        <v>2</v>
      </c>
      <c r="G1868" s="4">
        <f>IFERROR(__xludf.DUMMYFUNCTION("""COMPUTED_VALUE"""),487.0)</f>
        <v>487</v>
      </c>
      <c r="H1868" s="5">
        <f>IFERROR(__xludf.DUMMYFUNCTION("""COMPUTED_VALUE"""),2858.66)</f>
        <v>2858.66</v>
      </c>
      <c r="I1868" s="5">
        <f>IFERROR(__xludf.DUMMYFUNCTION("""COMPUTED_VALUE"""),7841.19)</f>
        <v>7841.19</v>
      </c>
      <c r="J1868" s="5">
        <f>IFERROR(__xludf.DUMMYFUNCTION("""COMPUTED_VALUE"""),7556.06)</f>
        <v>7556.06</v>
      </c>
      <c r="K1868" s="5">
        <f>IFERROR(__xludf.DUMMYFUNCTION("""COMPUTED_VALUE"""),5385.74)</f>
        <v>5385.74</v>
      </c>
      <c r="L1868" s="4">
        <f>IFERROR(__xludf.DUMMYFUNCTION("""COMPUTED_VALUE"""),4.0)</f>
        <v>4</v>
      </c>
      <c r="M1868" s="4">
        <f>IFERROR(__xludf.DUMMYFUNCTION("""COMPUTED_VALUE"""),3.0)</f>
        <v>3</v>
      </c>
      <c r="N1868" s="2" t="str">
        <f>IFERROR(__xludf.DUMMYFUNCTION("""COMPUTED_VALUE"""),"FALSO")</f>
        <v>FALSO</v>
      </c>
    </row>
    <row r="1869">
      <c r="A1869" s="2">
        <f>IFERROR(__xludf.DUMMYFUNCTION("""COMPUTED_VALUE"""),1868.0)</f>
        <v>1868</v>
      </c>
      <c r="B1869" s="2" t="str">
        <f>IFERROR(__xludf.DUMMYFUNCTION("""COMPUTED_VALUE"""),"Kevan Tarbin")</f>
        <v>Kevan Tarbin</v>
      </c>
      <c r="C1869" s="2" t="str">
        <f>IFERROR(__xludf.DUMMYFUNCTION("""COMPUTED_VALUE"""),"ktarbino4@simplemachines.org")</f>
        <v>ktarbino4@simplemachines.org</v>
      </c>
      <c r="D1869" s="4">
        <f>IFERROR(__xludf.DUMMYFUNCTION("""COMPUTED_VALUE"""),49.0)</f>
        <v>49</v>
      </c>
      <c r="E1869" s="4">
        <f>IFERROR(__xludf.DUMMYFUNCTION("""COMPUTED_VALUE"""),44.0)</f>
        <v>44</v>
      </c>
      <c r="F1869" s="4">
        <f>IFERROR(__xludf.DUMMYFUNCTION("""COMPUTED_VALUE"""),9.0)</f>
        <v>9</v>
      </c>
      <c r="G1869" s="4">
        <f>IFERROR(__xludf.DUMMYFUNCTION("""COMPUTED_VALUE"""),1416.0)</f>
        <v>1416</v>
      </c>
      <c r="H1869" s="5">
        <f>IFERROR(__xludf.DUMMYFUNCTION("""COMPUTED_VALUE"""),2666.13)</f>
        <v>2666.13</v>
      </c>
      <c r="I1869" s="5">
        <f>IFERROR(__xludf.DUMMYFUNCTION("""COMPUTED_VALUE"""),9149.48)</f>
        <v>9149.48</v>
      </c>
      <c r="J1869" s="5">
        <f>IFERROR(__xludf.DUMMYFUNCTION("""COMPUTED_VALUE"""),3841.16)</f>
        <v>3841.16</v>
      </c>
      <c r="K1869" s="5">
        <f>IFERROR(__xludf.DUMMYFUNCTION("""COMPUTED_VALUE"""),8751.32)</f>
        <v>8751.32</v>
      </c>
      <c r="L1869" s="4">
        <f>IFERROR(__xludf.DUMMYFUNCTION("""COMPUTED_VALUE"""),6.0)</f>
        <v>6</v>
      </c>
      <c r="M1869" s="4">
        <f>IFERROR(__xludf.DUMMYFUNCTION("""COMPUTED_VALUE"""),68.0)</f>
        <v>68</v>
      </c>
      <c r="N1869" s="2" t="str">
        <f>IFERROR(__xludf.DUMMYFUNCTION("""COMPUTED_VALUE"""),"FALSO")</f>
        <v>FALSO</v>
      </c>
    </row>
    <row r="1870">
      <c r="A1870" s="2">
        <f>IFERROR(__xludf.DUMMYFUNCTION("""COMPUTED_VALUE"""),1869.0)</f>
        <v>1869</v>
      </c>
      <c r="B1870" s="2" t="str">
        <f>IFERROR(__xludf.DUMMYFUNCTION("""COMPUTED_VALUE"""),"Lianne Seyfart")</f>
        <v>Lianne Seyfart</v>
      </c>
      <c r="C1870" s="2" t="str">
        <f>IFERROR(__xludf.DUMMYFUNCTION("""COMPUTED_VALUE"""),"lseyfarto5@posterous.com")</f>
        <v>lseyfarto5@posterous.com</v>
      </c>
      <c r="D1870" s="4">
        <f>IFERROR(__xludf.DUMMYFUNCTION("""COMPUTED_VALUE"""),65.0)</f>
        <v>65</v>
      </c>
      <c r="E1870" s="4">
        <f>IFERROR(__xludf.DUMMYFUNCTION("""COMPUTED_VALUE"""),14.0)</f>
        <v>14</v>
      </c>
      <c r="F1870" s="4">
        <f>IFERROR(__xludf.DUMMYFUNCTION("""COMPUTED_VALUE"""),6.0)</f>
        <v>6</v>
      </c>
      <c r="G1870" s="4">
        <f>IFERROR(__xludf.DUMMYFUNCTION("""COMPUTED_VALUE"""),1510.0)</f>
        <v>1510</v>
      </c>
      <c r="H1870" s="5">
        <f>IFERROR(__xludf.DUMMYFUNCTION("""COMPUTED_VALUE"""),3535.64)</f>
        <v>3535.64</v>
      </c>
      <c r="I1870" s="5">
        <f>IFERROR(__xludf.DUMMYFUNCTION("""COMPUTED_VALUE"""),5044.33)</f>
        <v>5044.33</v>
      </c>
      <c r="J1870" s="5">
        <f>IFERROR(__xludf.DUMMYFUNCTION("""COMPUTED_VALUE"""),7060.05)</f>
        <v>7060.05</v>
      </c>
      <c r="K1870" s="5">
        <f>IFERROR(__xludf.DUMMYFUNCTION("""COMPUTED_VALUE"""),4118.08)</f>
        <v>4118.08</v>
      </c>
      <c r="L1870" s="4">
        <f>IFERROR(__xludf.DUMMYFUNCTION("""COMPUTED_VALUE"""),11.0)</f>
        <v>11</v>
      </c>
      <c r="M1870" s="4">
        <f>IFERROR(__xludf.DUMMYFUNCTION("""COMPUTED_VALUE"""),92.0)</f>
        <v>92</v>
      </c>
      <c r="N1870" s="2" t="str">
        <f>IFERROR(__xludf.DUMMYFUNCTION("""COMPUTED_VALUE"""),"FALSO")</f>
        <v>FALSO</v>
      </c>
    </row>
    <row r="1871">
      <c r="A1871" s="2">
        <f>IFERROR(__xludf.DUMMYFUNCTION("""COMPUTED_VALUE"""),1870.0)</f>
        <v>1870</v>
      </c>
      <c r="B1871" s="2" t="str">
        <f>IFERROR(__xludf.DUMMYFUNCTION("""COMPUTED_VALUE"""),"Claudette Standeven")</f>
        <v>Claudette Standeven</v>
      </c>
      <c r="C1871" s="2" t="str">
        <f>IFERROR(__xludf.DUMMYFUNCTION("""COMPUTED_VALUE"""),"cstandeveno6@goo.gl")</f>
        <v>cstandeveno6@goo.gl</v>
      </c>
      <c r="D1871" s="4">
        <f>IFERROR(__xludf.DUMMYFUNCTION("""COMPUTED_VALUE"""),65.0)</f>
        <v>65</v>
      </c>
      <c r="E1871" s="4">
        <f>IFERROR(__xludf.DUMMYFUNCTION("""COMPUTED_VALUE"""),52.0)</f>
        <v>52</v>
      </c>
      <c r="F1871" s="4">
        <f>IFERROR(__xludf.DUMMYFUNCTION("""COMPUTED_VALUE"""),13.0)</f>
        <v>13</v>
      </c>
      <c r="G1871" s="4">
        <f>IFERROR(__xludf.DUMMYFUNCTION("""COMPUTED_VALUE"""),1478.0)</f>
        <v>1478</v>
      </c>
      <c r="H1871" s="5">
        <f>IFERROR(__xludf.DUMMYFUNCTION("""COMPUTED_VALUE"""),8513.77)</f>
        <v>8513.77</v>
      </c>
      <c r="I1871" s="5">
        <f>IFERROR(__xludf.DUMMYFUNCTION("""COMPUTED_VALUE"""),2554.89)</f>
        <v>2554.89</v>
      </c>
      <c r="J1871" s="5">
        <f>IFERROR(__xludf.DUMMYFUNCTION("""COMPUTED_VALUE"""),8333.48)</f>
        <v>8333.48</v>
      </c>
      <c r="K1871" s="5">
        <f>IFERROR(__xludf.DUMMYFUNCTION("""COMPUTED_VALUE"""),8570.61)</f>
        <v>8570.61</v>
      </c>
      <c r="L1871" s="4">
        <f>IFERROR(__xludf.DUMMYFUNCTION("""COMPUTED_VALUE"""),20.0)</f>
        <v>20</v>
      </c>
      <c r="M1871" s="4">
        <f>IFERROR(__xludf.DUMMYFUNCTION("""COMPUTED_VALUE"""),74.0)</f>
        <v>74</v>
      </c>
      <c r="N1871" s="2" t="str">
        <f>IFERROR(__xludf.DUMMYFUNCTION("""COMPUTED_VALUE"""),"FALSO")</f>
        <v>FALSO</v>
      </c>
    </row>
    <row r="1872">
      <c r="A1872" s="2">
        <f>IFERROR(__xludf.DUMMYFUNCTION("""COMPUTED_VALUE"""),1871.0)</f>
        <v>1871</v>
      </c>
      <c r="B1872" s="2" t="str">
        <f>IFERROR(__xludf.DUMMYFUNCTION("""COMPUTED_VALUE"""),"Fae Cobbe")</f>
        <v>Fae Cobbe</v>
      </c>
      <c r="C1872" s="2" t="str">
        <f>IFERROR(__xludf.DUMMYFUNCTION("""COMPUTED_VALUE"""),"fcobbeo7@flickr.com")</f>
        <v>fcobbeo7@flickr.com</v>
      </c>
      <c r="D1872" s="4">
        <f>IFERROR(__xludf.DUMMYFUNCTION("""COMPUTED_VALUE"""),29.0)</f>
        <v>29</v>
      </c>
      <c r="E1872" s="4">
        <f>IFERROR(__xludf.DUMMYFUNCTION("""COMPUTED_VALUE"""),81.0)</f>
        <v>81</v>
      </c>
      <c r="F1872" s="4">
        <f>IFERROR(__xludf.DUMMYFUNCTION("""COMPUTED_VALUE"""),2.0)</f>
        <v>2</v>
      </c>
      <c r="G1872" s="4">
        <f>IFERROR(__xludf.DUMMYFUNCTION("""COMPUTED_VALUE"""),429.0)</f>
        <v>429</v>
      </c>
      <c r="H1872" s="5">
        <f>IFERROR(__xludf.DUMMYFUNCTION("""COMPUTED_VALUE"""),2813.32)</f>
        <v>2813.32</v>
      </c>
      <c r="I1872" s="5">
        <f>IFERROR(__xludf.DUMMYFUNCTION("""COMPUTED_VALUE"""),8621.46)</f>
        <v>8621.46</v>
      </c>
      <c r="J1872" s="5">
        <f>IFERROR(__xludf.DUMMYFUNCTION("""COMPUTED_VALUE"""),5499.34)</f>
        <v>5499.34</v>
      </c>
      <c r="K1872" s="5">
        <f>IFERROR(__xludf.DUMMYFUNCTION("""COMPUTED_VALUE"""),1331.85)</f>
        <v>1331.85</v>
      </c>
      <c r="L1872" s="4">
        <f>IFERROR(__xludf.DUMMYFUNCTION("""COMPUTED_VALUE"""),9.0)</f>
        <v>9</v>
      </c>
      <c r="M1872" s="4">
        <f>IFERROR(__xludf.DUMMYFUNCTION("""COMPUTED_VALUE"""),42.0)</f>
        <v>42</v>
      </c>
      <c r="N1872" s="2" t="str">
        <f>IFERROR(__xludf.DUMMYFUNCTION("""COMPUTED_VALUE"""),"FALSO")</f>
        <v>FALSO</v>
      </c>
    </row>
    <row r="1873">
      <c r="A1873" s="2">
        <f>IFERROR(__xludf.DUMMYFUNCTION("""COMPUTED_VALUE"""),1872.0)</f>
        <v>1872</v>
      </c>
      <c r="B1873" s="2" t="str">
        <f>IFERROR(__xludf.DUMMYFUNCTION("""COMPUTED_VALUE"""),"Xenia De Vaan")</f>
        <v>Xenia De Vaan</v>
      </c>
      <c r="C1873" s="2" t="str">
        <f>IFERROR(__xludf.DUMMYFUNCTION("""COMPUTED_VALUE"""),"xdeo8@desdev.cn")</f>
        <v>xdeo8@desdev.cn</v>
      </c>
      <c r="D1873" s="4">
        <f>IFERROR(__xludf.DUMMYFUNCTION("""COMPUTED_VALUE"""),76.0)</f>
        <v>76</v>
      </c>
      <c r="E1873" s="4">
        <f>IFERROR(__xludf.DUMMYFUNCTION("""COMPUTED_VALUE"""),17.0)</f>
        <v>17</v>
      </c>
      <c r="F1873" s="4">
        <f>IFERROR(__xludf.DUMMYFUNCTION("""COMPUTED_VALUE"""),5.0)</f>
        <v>5</v>
      </c>
      <c r="G1873" s="4">
        <f>IFERROR(__xludf.DUMMYFUNCTION("""COMPUTED_VALUE"""),865.0)</f>
        <v>865</v>
      </c>
      <c r="H1873" s="5">
        <f>IFERROR(__xludf.DUMMYFUNCTION("""COMPUTED_VALUE"""),3157.72)</f>
        <v>3157.72</v>
      </c>
      <c r="I1873" s="5">
        <f>IFERROR(__xludf.DUMMYFUNCTION("""COMPUTED_VALUE"""),1434.26)</f>
        <v>1434.26</v>
      </c>
      <c r="J1873" s="5">
        <f>IFERROR(__xludf.DUMMYFUNCTION("""COMPUTED_VALUE"""),3803.82)</f>
        <v>3803.82</v>
      </c>
      <c r="K1873" s="5">
        <f>IFERROR(__xludf.DUMMYFUNCTION("""COMPUTED_VALUE"""),8963.46)</f>
        <v>8963.46</v>
      </c>
      <c r="L1873" s="4">
        <f>IFERROR(__xludf.DUMMYFUNCTION("""COMPUTED_VALUE"""),14.0)</f>
        <v>14</v>
      </c>
      <c r="M1873" s="4">
        <f>IFERROR(__xludf.DUMMYFUNCTION("""COMPUTED_VALUE"""),39.0)</f>
        <v>39</v>
      </c>
      <c r="N1873" s="2" t="str">
        <f>IFERROR(__xludf.DUMMYFUNCTION("""COMPUTED_VALUE"""),"VERDADERO")</f>
        <v>VERDADERO</v>
      </c>
    </row>
    <row r="1874">
      <c r="A1874" s="2">
        <f>IFERROR(__xludf.DUMMYFUNCTION("""COMPUTED_VALUE"""),1873.0)</f>
        <v>1873</v>
      </c>
      <c r="B1874" s="2" t="str">
        <f>IFERROR(__xludf.DUMMYFUNCTION("""COMPUTED_VALUE"""),"Staffard Sayburn")</f>
        <v>Staffard Sayburn</v>
      </c>
      <c r="C1874" s="2" t="str">
        <f>IFERROR(__xludf.DUMMYFUNCTION("""COMPUTED_VALUE"""),"ssayburno9@mac.com")</f>
        <v>ssayburno9@mac.com</v>
      </c>
      <c r="D1874" s="4">
        <f>IFERROR(__xludf.DUMMYFUNCTION("""COMPUTED_VALUE"""),65.0)</f>
        <v>65</v>
      </c>
      <c r="E1874" s="4">
        <f>IFERROR(__xludf.DUMMYFUNCTION("""COMPUTED_VALUE"""),81.0)</f>
        <v>81</v>
      </c>
      <c r="F1874" s="4">
        <f>IFERROR(__xludf.DUMMYFUNCTION("""COMPUTED_VALUE"""),2.0)</f>
        <v>2</v>
      </c>
      <c r="G1874" s="4">
        <f>IFERROR(__xludf.DUMMYFUNCTION("""COMPUTED_VALUE"""),272.0)</f>
        <v>272</v>
      </c>
      <c r="H1874" s="5">
        <f>IFERROR(__xludf.DUMMYFUNCTION("""COMPUTED_VALUE"""),896.31)</f>
        <v>896.31</v>
      </c>
      <c r="I1874" s="5">
        <f>IFERROR(__xludf.DUMMYFUNCTION("""COMPUTED_VALUE"""),1295.82)</f>
        <v>1295.82</v>
      </c>
      <c r="J1874" s="5">
        <f>IFERROR(__xludf.DUMMYFUNCTION("""COMPUTED_VALUE"""),9170.52)</f>
        <v>9170.52</v>
      </c>
      <c r="K1874" s="5">
        <f>IFERROR(__xludf.DUMMYFUNCTION("""COMPUTED_VALUE"""),7557.25)</f>
        <v>7557.25</v>
      </c>
      <c r="L1874" s="4">
        <f>IFERROR(__xludf.DUMMYFUNCTION("""COMPUTED_VALUE"""),8.0)</f>
        <v>8</v>
      </c>
      <c r="M1874" s="4">
        <f>IFERROR(__xludf.DUMMYFUNCTION("""COMPUTED_VALUE"""),41.0)</f>
        <v>41</v>
      </c>
      <c r="N1874" s="2" t="str">
        <f>IFERROR(__xludf.DUMMYFUNCTION("""COMPUTED_VALUE"""),"FALSO")</f>
        <v>FALSO</v>
      </c>
    </row>
    <row r="1875">
      <c r="A1875" s="2">
        <f>IFERROR(__xludf.DUMMYFUNCTION("""COMPUTED_VALUE"""),1874.0)</f>
        <v>1874</v>
      </c>
      <c r="B1875" s="2" t="str">
        <f>IFERROR(__xludf.DUMMYFUNCTION("""COMPUTED_VALUE"""),"Johnna Breckenridge")</f>
        <v>Johnna Breckenridge</v>
      </c>
      <c r="C1875" s="2" t="str">
        <f>IFERROR(__xludf.DUMMYFUNCTION("""COMPUTED_VALUE"""),"jbreckenridgeoa@webs.com")</f>
        <v>jbreckenridgeoa@webs.com</v>
      </c>
      <c r="D1875" s="4">
        <f>IFERROR(__xludf.DUMMYFUNCTION("""COMPUTED_VALUE"""),29.0)</f>
        <v>29</v>
      </c>
      <c r="E1875" s="4">
        <f>IFERROR(__xludf.DUMMYFUNCTION("""COMPUTED_VALUE"""),81.0)</f>
        <v>81</v>
      </c>
      <c r="F1875" s="4">
        <f>IFERROR(__xludf.DUMMYFUNCTION("""COMPUTED_VALUE"""),2.0)</f>
        <v>2</v>
      </c>
      <c r="G1875" s="4">
        <f>IFERROR(__xludf.DUMMYFUNCTION("""COMPUTED_VALUE"""),1039.0)</f>
        <v>1039</v>
      </c>
      <c r="H1875" s="5">
        <f>IFERROR(__xludf.DUMMYFUNCTION("""COMPUTED_VALUE"""),1633.54)</f>
        <v>1633.54</v>
      </c>
      <c r="I1875" s="5">
        <f>IFERROR(__xludf.DUMMYFUNCTION("""COMPUTED_VALUE"""),9460.79)</f>
        <v>9460.79</v>
      </c>
      <c r="J1875" s="5">
        <f>IFERROR(__xludf.DUMMYFUNCTION("""COMPUTED_VALUE"""),5319.07)</f>
        <v>5319.07</v>
      </c>
      <c r="K1875" s="5">
        <f>IFERROR(__xludf.DUMMYFUNCTION("""COMPUTED_VALUE"""),1640.71)</f>
        <v>1640.71</v>
      </c>
      <c r="L1875" s="4">
        <f>IFERROR(__xludf.DUMMYFUNCTION("""COMPUTED_VALUE"""),6.0)</f>
        <v>6</v>
      </c>
      <c r="M1875" s="4">
        <f>IFERROR(__xludf.DUMMYFUNCTION("""COMPUTED_VALUE"""),18.0)</f>
        <v>18</v>
      </c>
      <c r="N1875" s="2" t="str">
        <f>IFERROR(__xludf.DUMMYFUNCTION("""COMPUTED_VALUE"""),"VERDADERO")</f>
        <v>VERDADERO</v>
      </c>
    </row>
    <row r="1876">
      <c r="A1876" s="2">
        <f>IFERROR(__xludf.DUMMYFUNCTION("""COMPUTED_VALUE"""),1875.0)</f>
        <v>1875</v>
      </c>
      <c r="B1876" s="2" t="str">
        <f>IFERROR(__xludf.DUMMYFUNCTION("""COMPUTED_VALUE"""),"Stafani Stolworthy")</f>
        <v>Stafani Stolworthy</v>
      </c>
      <c r="C1876" s="2" t="str">
        <f>IFERROR(__xludf.DUMMYFUNCTION("""COMPUTED_VALUE"""),"sstolworthyob@japanpost.jp")</f>
        <v>sstolworthyob@japanpost.jp</v>
      </c>
      <c r="D1876" s="4">
        <f>IFERROR(__xludf.DUMMYFUNCTION("""COMPUTED_VALUE"""),73.0)</f>
        <v>73</v>
      </c>
      <c r="E1876" s="4">
        <f>IFERROR(__xludf.DUMMYFUNCTION("""COMPUTED_VALUE"""),100.0)</f>
        <v>100</v>
      </c>
      <c r="F1876" s="4">
        <f>IFERROR(__xludf.DUMMYFUNCTION("""COMPUTED_VALUE"""),9.0)</f>
        <v>9</v>
      </c>
      <c r="G1876" s="4">
        <f>IFERROR(__xludf.DUMMYFUNCTION("""COMPUTED_VALUE"""),1160.0)</f>
        <v>1160</v>
      </c>
      <c r="H1876" s="5">
        <f>IFERROR(__xludf.DUMMYFUNCTION("""COMPUTED_VALUE"""),9988.15)</f>
        <v>9988.15</v>
      </c>
      <c r="I1876" s="5">
        <f>IFERROR(__xludf.DUMMYFUNCTION("""COMPUTED_VALUE"""),9831.08)</f>
        <v>9831.08</v>
      </c>
      <c r="J1876" s="5">
        <f>IFERROR(__xludf.DUMMYFUNCTION("""COMPUTED_VALUE"""),2232.87)</f>
        <v>2232.87</v>
      </c>
      <c r="K1876" s="5">
        <f>IFERROR(__xludf.DUMMYFUNCTION("""COMPUTED_VALUE"""),8464.54)</f>
        <v>8464.54</v>
      </c>
      <c r="L1876" s="4">
        <f>IFERROR(__xludf.DUMMYFUNCTION("""COMPUTED_VALUE"""),9.0)</f>
        <v>9</v>
      </c>
      <c r="M1876" s="4">
        <f>IFERROR(__xludf.DUMMYFUNCTION("""COMPUTED_VALUE"""),73.0)</f>
        <v>73</v>
      </c>
      <c r="N1876" s="2" t="str">
        <f>IFERROR(__xludf.DUMMYFUNCTION("""COMPUTED_VALUE"""),"VERDADERO")</f>
        <v>VERDADERO</v>
      </c>
    </row>
    <row r="1877">
      <c r="A1877" s="2">
        <f>IFERROR(__xludf.DUMMYFUNCTION("""COMPUTED_VALUE"""),1876.0)</f>
        <v>1876</v>
      </c>
      <c r="B1877" s="2" t="str">
        <f>IFERROR(__xludf.DUMMYFUNCTION("""COMPUTED_VALUE"""),"Tiffie Stothard")</f>
        <v>Tiffie Stothard</v>
      </c>
      <c r="C1877" s="2" t="str">
        <f>IFERROR(__xludf.DUMMYFUNCTION("""COMPUTED_VALUE"""),"tstothardoc@altervista.org")</f>
        <v>tstothardoc@altervista.org</v>
      </c>
      <c r="D1877" s="4">
        <f>IFERROR(__xludf.DUMMYFUNCTION("""COMPUTED_VALUE"""),65.0)</f>
        <v>65</v>
      </c>
      <c r="E1877" s="4">
        <f>IFERROR(__xludf.DUMMYFUNCTION("""COMPUTED_VALUE"""),81.0)</f>
        <v>81</v>
      </c>
      <c r="F1877" s="4">
        <f>IFERROR(__xludf.DUMMYFUNCTION("""COMPUTED_VALUE"""),2.0)</f>
        <v>2</v>
      </c>
      <c r="G1877" s="4">
        <f>IFERROR(__xludf.DUMMYFUNCTION("""COMPUTED_VALUE"""),1043.0)</f>
        <v>1043</v>
      </c>
      <c r="H1877" s="5">
        <f>IFERROR(__xludf.DUMMYFUNCTION("""COMPUTED_VALUE"""),5541.84)</f>
        <v>5541.84</v>
      </c>
      <c r="I1877" s="5">
        <f>IFERROR(__xludf.DUMMYFUNCTION("""COMPUTED_VALUE"""),8779.4)</f>
        <v>8779.4</v>
      </c>
      <c r="J1877" s="5">
        <f>IFERROR(__xludf.DUMMYFUNCTION("""COMPUTED_VALUE"""),8491.42)</f>
        <v>8491.42</v>
      </c>
      <c r="K1877" s="5">
        <f>IFERROR(__xludf.DUMMYFUNCTION("""COMPUTED_VALUE"""),9225.55)</f>
        <v>9225.55</v>
      </c>
      <c r="L1877" s="4">
        <f>IFERROR(__xludf.DUMMYFUNCTION("""COMPUTED_VALUE"""),15.0)</f>
        <v>15</v>
      </c>
      <c r="M1877" s="4">
        <f>IFERROR(__xludf.DUMMYFUNCTION("""COMPUTED_VALUE"""),36.0)</f>
        <v>36</v>
      </c>
      <c r="N1877" s="2" t="str">
        <f>IFERROR(__xludf.DUMMYFUNCTION("""COMPUTED_VALUE"""),"VERDADERO")</f>
        <v>VERDADERO</v>
      </c>
    </row>
    <row r="1878">
      <c r="A1878" s="2">
        <f>IFERROR(__xludf.DUMMYFUNCTION("""COMPUTED_VALUE"""),1877.0)</f>
        <v>1877</v>
      </c>
      <c r="B1878" s="2" t="str">
        <f>IFERROR(__xludf.DUMMYFUNCTION("""COMPUTED_VALUE"""),"Celina Feely")</f>
        <v>Celina Feely</v>
      </c>
      <c r="C1878" s="2" t="str">
        <f>IFERROR(__xludf.DUMMYFUNCTION("""COMPUTED_VALUE"""),"cfeelyod@hao123.com")</f>
        <v>cfeelyod@hao123.com</v>
      </c>
      <c r="D1878" s="4">
        <f>IFERROR(__xludf.DUMMYFUNCTION("""COMPUTED_VALUE"""),124.0)</f>
        <v>124</v>
      </c>
      <c r="E1878" s="4">
        <f>IFERROR(__xludf.DUMMYFUNCTION("""COMPUTED_VALUE"""),81.0)</f>
        <v>81</v>
      </c>
      <c r="F1878" s="4">
        <f>IFERROR(__xludf.DUMMYFUNCTION("""COMPUTED_VALUE"""),2.0)</f>
        <v>2</v>
      </c>
      <c r="G1878" s="4">
        <f>IFERROR(__xludf.DUMMYFUNCTION("""COMPUTED_VALUE"""),1377.0)</f>
        <v>1377</v>
      </c>
      <c r="H1878" s="5">
        <f>IFERROR(__xludf.DUMMYFUNCTION("""COMPUTED_VALUE"""),5090.33)</f>
        <v>5090.33</v>
      </c>
      <c r="I1878" s="5">
        <f>IFERROR(__xludf.DUMMYFUNCTION("""COMPUTED_VALUE"""),5134.48)</f>
        <v>5134.48</v>
      </c>
      <c r="J1878" s="5">
        <f>IFERROR(__xludf.DUMMYFUNCTION("""COMPUTED_VALUE"""),3832.27)</f>
        <v>3832.27</v>
      </c>
      <c r="K1878" s="5">
        <f>IFERROR(__xludf.DUMMYFUNCTION("""COMPUTED_VALUE"""),9727.28)</f>
        <v>9727.28</v>
      </c>
      <c r="L1878" s="4">
        <f>IFERROR(__xludf.DUMMYFUNCTION("""COMPUTED_VALUE"""),13.0)</f>
        <v>13</v>
      </c>
      <c r="M1878" s="4">
        <f>IFERROR(__xludf.DUMMYFUNCTION("""COMPUTED_VALUE"""),28.0)</f>
        <v>28</v>
      </c>
      <c r="N1878" s="2" t="str">
        <f>IFERROR(__xludf.DUMMYFUNCTION("""COMPUTED_VALUE"""),"VERDADERO")</f>
        <v>VERDADERO</v>
      </c>
    </row>
    <row r="1879">
      <c r="A1879" s="2">
        <f>IFERROR(__xludf.DUMMYFUNCTION("""COMPUTED_VALUE"""),1878.0)</f>
        <v>1878</v>
      </c>
      <c r="B1879" s="2" t="str">
        <f>IFERROR(__xludf.DUMMYFUNCTION("""COMPUTED_VALUE"""),"Palmer Phippen")</f>
        <v>Palmer Phippen</v>
      </c>
      <c r="C1879" s="2" t="str">
        <f>IFERROR(__xludf.DUMMYFUNCTION("""COMPUTED_VALUE"""),"pphippenoe@npr.org")</f>
        <v>pphippenoe@npr.org</v>
      </c>
      <c r="D1879" s="4">
        <f>IFERROR(__xludf.DUMMYFUNCTION("""COMPUTED_VALUE"""),30.0)</f>
        <v>30</v>
      </c>
      <c r="E1879" s="4">
        <f>IFERROR(__xludf.DUMMYFUNCTION("""COMPUTED_VALUE"""),39.0)</f>
        <v>39</v>
      </c>
      <c r="F1879" s="4">
        <f>IFERROR(__xludf.DUMMYFUNCTION("""COMPUTED_VALUE"""),11.0)</f>
        <v>11</v>
      </c>
      <c r="G1879" s="4">
        <f>IFERROR(__xludf.DUMMYFUNCTION("""COMPUTED_VALUE"""),197.0)</f>
        <v>197</v>
      </c>
      <c r="H1879" s="5">
        <f>IFERROR(__xludf.DUMMYFUNCTION("""COMPUTED_VALUE"""),1867.74)</f>
        <v>1867.74</v>
      </c>
      <c r="I1879" s="5">
        <f>IFERROR(__xludf.DUMMYFUNCTION("""COMPUTED_VALUE"""),7323.3)</f>
        <v>7323.3</v>
      </c>
      <c r="J1879" s="5">
        <f>IFERROR(__xludf.DUMMYFUNCTION("""COMPUTED_VALUE"""),9247.16)</f>
        <v>9247.16</v>
      </c>
      <c r="K1879" s="5">
        <f>IFERROR(__xludf.DUMMYFUNCTION("""COMPUTED_VALUE"""),2467.41)</f>
        <v>2467.41</v>
      </c>
      <c r="L1879" s="4">
        <f>IFERROR(__xludf.DUMMYFUNCTION("""COMPUTED_VALUE"""),1.0)</f>
        <v>1</v>
      </c>
      <c r="M1879" s="4">
        <f>IFERROR(__xludf.DUMMYFUNCTION("""COMPUTED_VALUE"""),70.0)</f>
        <v>70</v>
      </c>
      <c r="N1879" s="2" t="str">
        <f>IFERROR(__xludf.DUMMYFUNCTION("""COMPUTED_VALUE"""),"VERDADERO")</f>
        <v>VERDADERO</v>
      </c>
    </row>
    <row r="1880">
      <c r="A1880" s="2">
        <f>IFERROR(__xludf.DUMMYFUNCTION("""COMPUTED_VALUE"""),1879.0)</f>
        <v>1879</v>
      </c>
      <c r="B1880" s="2" t="str">
        <f>IFERROR(__xludf.DUMMYFUNCTION("""COMPUTED_VALUE"""),"Ab Maxsted")</f>
        <v>Ab Maxsted</v>
      </c>
      <c r="C1880" s="2" t="str">
        <f>IFERROR(__xludf.DUMMYFUNCTION("""COMPUTED_VALUE"""),"amaxstedof@ehow.com")</f>
        <v>amaxstedof@ehow.com</v>
      </c>
      <c r="D1880" s="4">
        <f>IFERROR(__xludf.DUMMYFUNCTION("""COMPUTED_VALUE"""),29.0)</f>
        <v>29</v>
      </c>
      <c r="E1880" s="4">
        <f>IFERROR(__xludf.DUMMYFUNCTION("""COMPUTED_VALUE"""),63.0)</f>
        <v>63</v>
      </c>
      <c r="F1880" s="4">
        <f>IFERROR(__xludf.DUMMYFUNCTION("""COMPUTED_VALUE"""),4.0)</f>
        <v>4</v>
      </c>
      <c r="G1880" s="4">
        <f>IFERROR(__xludf.DUMMYFUNCTION("""COMPUTED_VALUE"""),29.0)</f>
        <v>29</v>
      </c>
      <c r="H1880" s="5">
        <f>IFERROR(__xludf.DUMMYFUNCTION("""COMPUTED_VALUE"""),8577.51)</f>
        <v>8577.51</v>
      </c>
      <c r="I1880" s="5">
        <f>IFERROR(__xludf.DUMMYFUNCTION("""COMPUTED_VALUE"""),793.08)</f>
        <v>793.08</v>
      </c>
      <c r="J1880" s="5">
        <f>IFERROR(__xludf.DUMMYFUNCTION("""COMPUTED_VALUE"""),4367.09)</f>
        <v>4367.09</v>
      </c>
      <c r="K1880" s="5">
        <f>IFERROR(__xludf.DUMMYFUNCTION("""COMPUTED_VALUE"""),87.96)</f>
        <v>87.96</v>
      </c>
      <c r="L1880" s="4">
        <f>IFERROR(__xludf.DUMMYFUNCTION("""COMPUTED_VALUE"""),11.0)</f>
        <v>11</v>
      </c>
      <c r="M1880" s="4">
        <f>IFERROR(__xludf.DUMMYFUNCTION("""COMPUTED_VALUE"""),8.0)</f>
        <v>8</v>
      </c>
      <c r="N1880" s="2" t="str">
        <f>IFERROR(__xludf.DUMMYFUNCTION("""COMPUTED_VALUE"""),"FALSO")</f>
        <v>FALSO</v>
      </c>
    </row>
    <row r="1881">
      <c r="A1881" s="2">
        <f>IFERROR(__xludf.DUMMYFUNCTION("""COMPUTED_VALUE"""),1880.0)</f>
        <v>1880</v>
      </c>
      <c r="B1881" s="2" t="str">
        <f>IFERROR(__xludf.DUMMYFUNCTION("""COMPUTED_VALUE"""),"Robina Sowte")</f>
        <v>Robina Sowte</v>
      </c>
      <c r="C1881" s="2" t="str">
        <f>IFERROR(__xludf.DUMMYFUNCTION("""COMPUTED_VALUE"""),"rsowteog@opera.com")</f>
        <v>rsowteog@opera.com</v>
      </c>
      <c r="D1881" s="4">
        <f>IFERROR(__xludf.DUMMYFUNCTION("""COMPUTED_VALUE"""),29.0)</f>
        <v>29</v>
      </c>
      <c r="E1881" s="4">
        <f>IFERROR(__xludf.DUMMYFUNCTION("""COMPUTED_VALUE"""),64.0)</f>
        <v>64</v>
      </c>
      <c r="F1881" s="4">
        <f>IFERROR(__xludf.DUMMYFUNCTION("""COMPUTED_VALUE"""),4.0)</f>
        <v>4</v>
      </c>
      <c r="G1881" s="4">
        <f>IFERROR(__xludf.DUMMYFUNCTION("""COMPUTED_VALUE"""),727.0)</f>
        <v>727</v>
      </c>
      <c r="H1881" s="5">
        <f>IFERROR(__xludf.DUMMYFUNCTION("""COMPUTED_VALUE"""),8890.78)</f>
        <v>8890.78</v>
      </c>
      <c r="I1881" s="5">
        <f>IFERROR(__xludf.DUMMYFUNCTION("""COMPUTED_VALUE"""),5988.47)</f>
        <v>5988.47</v>
      </c>
      <c r="J1881" s="5">
        <f>IFERROR(__xludf.DUMMYFUNCTION("""COMPUTED_VALUE"""),4538.98)</f>
        <v>4538.98</v>
      </c>
      <c r="K1881" s="5">
        <f>IFERROR(__xludf.DUMMYFUNCTION("""COMPUTED_VALUE"""),437.25)</f>
        <v>437.25</v>
      </c>
      <c r="L1881" s="4">
        <f>IFERROR(__xludf.DUMMYFUNCTION("""COMPUTED_VALUE"""),14.0)</f>
        <v>14</v>
      </c>
      <c r="M1881" s="4">
        <f>IFERROR(__xludf.DUMMYFUNCTION("""COMPUTED_VALUE"""),33.0)</f>
        <v>33</v>
      </c>
      <c r="N1881" s="2" t="str">
        <f>IFERROR(__xludf.DUMMYFUNCTION("""COMPUTED_VALUE"""),"FALSO")</f>
        <v>FALSO</v>
      </c>
    </row>
    <row r="1882">
      <c r="A1882" s="2">
        <f>IFERROR(__xludf.DUMMYFUNCTION("""COMPUTED_VALUE"""),1881.0)</f>
        <v>1881</v>
      </c>
      <c r="B1882" s="2" t="str">
        <f>IFERROR(__xludf.DUMMYFUNCTION("""COMPUTED_VALUE"""),"Storm Wheaton")</f>
        <v>Storm Wheaton</v>
      </c>
      <c r="C1882" s="2" t="str">
        <f>IFERROR(__xludf.DUMMYFUNCTION("""COMPUTED_VALUE"""),"swheatonoh@bandcamp.com")</f>
        <v>swheatonoh@bandcamp.com</v>
      </c>
      <c r="D1882" s="4">
        <f>IFERROR(__xludf.DUMMYFUNCTION("""COMPUTED_VALUE"""),128.0)</f>
        <v>128</v>
      </c>
      <c r="E1882" s="4">
        <f>IFERROR(__xludf.DUMMYFUNCTION("""COMPUTED_VALUE"""),81.0)</f>
        <v>81</v>
      </c>
      <c r="F1882" s="4">
        <f>IFERROR(__xludf.DUMMYFUNCTION("""COMPUTED_VALUE"""),2.0)</f>
        <v>2</v>
      </c>
      <c r="G1882" s="4">
        <f>IFERROR(__xludf.DUMMYFUNCTION("""COMPUTED_VALUE"""),692.0)</f>
        <v>692</v>
      </c>
      <c r="H1882" s="5">
        <f>IFERROR(__xludf.DUMMYFUNCTION("""COMPUTED_VALUE"""),3833.46)</f>
        <v>3833.46</v>
      </c>
      <c r="I1882" s="5">
        <f>IFERROR(__xludf.DUMMYFUNCTION("""COMPUTED_VALUE"""),8452.41)</f>
        <v>8452.41</v>
      </c>
      <c r="J1882" s="5">
        <f>IFERROR(__xludf.DUMMYFUNCTION("""COMPUTED_VALUE"""),1042.81)</f>
        <v>1042.81</v>
      </c>
      <c r="K1882" s="5">
        <f>IFERROR(__xludf.DUMMYFUNCTION("""COMPUTED_VALUE"""),6058.46)</f>
        <v>6058.46</v>
      </c>
      <c r="L1882" s="4">
        <f>IFERROR(__xludf.DUMMYFUNCTION("""COMPUTED_VALUE"""),7.0)</f>
        <v>7</v>
      </c>
      <c r="M1882" s="4">
        <f>IFERROR(__xludf.DUMMYFUNCTION("""COMPUTED_VALUE"""),100.0)</f>
        <v>100</v>
      </c>
      <c r="N1882" s="2" t="str">
        <f>IFERROR(__xludf.DUMMYFUNCTION("""COMPUTED_VALUE"""),"FALSO")</f>
        <v>FALSO</v>
      </c>
    </row>
    <row r="1883">
      <c r="A1883" s="2">
        <f>IFERROR(__xludf.DUMMYFUNCTION("""COMPUTED_VALUE"""),1882.0)</f>
        <v>1882</v>
      </c>
      <c r="B1883" s="2" t="str">
        <f>IFERROR(__xludf.DUMMYFUNCTION("""COMPUTED_VALUE"""),"Danila Kinzett")</f>
        <v>Danila Kinzett</v>
      </c>
      <c r="C1883" s="2" t="str">
        <f>IFERROR(__xludf.DUMMYFUNCTION("""COMPUTED_VALUE"""),"dkinzettoi@sogou.com")</f>
        <v>dkinzettoi@sogou.com</v>
      </c>
      <c r="D1883" s="4">
        <f>IFERROR(__xludf.DUMMYFUNCTION("""COMPUTED_VALUE"""),17.0)</f>
        <v>17</v>
      </c>
      <c r="E1883" s="4">
        <f>IFERROR(__xludf.DUMMYFUNCTION("""COMPUTED_VALUE"""),73.0)</f>
        <v>73</v>
      </c>
      <c r="F1883" s="4">
        <f>IFERROR(__xludf.DUMMYFUNCTION("""COMPUTED_VALUE"""),8.0)</f>
        <v>8</v>
      </c>
      <c r="G1883" s="4">
        <f>IFERROR(__xludf.DUMMYFUNCTION("""COMPUTED_VALUE"""),987.0)</f>
        <v>987</v>
      </c>
      <c r="H1883" s="5">
        <f>IFERROR(__xludf.DUMMYFUNCTION("""COMPUTED_VALUE"""),5417.11)</f>
        <v>5417.11</v>
      </c>
      <c r="I1883" s="5">
        <f>IFERROR(__xludf.DUMMYFUNCTION("""COMPUTED_VALUE"""),3866.94)</f>
        <v>3866.94</v>
      </c>
      <c r="J1883" s="5">
        <f>IFERROR(__xludf.DUMMYFUNCTION("""COMPUTED_VALUE"""),894.77)</f>
        <v>894.77</v>
      </c>
      <c r="K1883" s="5">
        <f>IFERROR(__xludf.DUMMYFUNCTION("""COMPUTED_VALUE"""),7966.94)</f>
        <v>7966.94</v>
      </c>
      <c r="L1883" s="4">
        <f>IFERROR(__xludf.DUMMYFUNCTION("""COMPUTED_VALUE"""),20.0)</f>
        <v>20</v>
      </c>
      <c r="M1883" s="4">
        <f>IFERROR(__xludf.DUMMYFUNCTION("""COMPUTED_VALUE"""),85.0)</f>
        <v>85</v>
      </c>
      <c r="N1883" s="2" t="str">
        <f>IFERROR(__xludf.DUMMYFUNCTION("""COMPUTED_VALUE"""),"FALSO")</f>
        <v>FALSO</v>
      </c>
    </row>
    <row r="1884">
      <c r="A1884" s="2">
        <f>IFERROR(__xludf.DUMMYFUNCTION("""COMPUTED_VALUE"""),1883.0)</f>
        <v>1883</v>
      </c>
      <c r="B1884" s="2" t="str">
        <f>IFERROR(__xludf.DUMMYFUNCTION("""COMPUTED_VALUE"""),"Binny Novotne")</f>
        <v>Binny Novotne</v>
      </c>
      <c r="C1884" s="2" t="str">
        <f>IFERROR(__xludf.DUMMYFUNCTION("""COMPUTED_VALUE"""),"bnovotneoj@rambler.ru")</f>
        <v>bnovotneoj@rambler.ru</v>
      </c>
      <c r="D1884" s="4">
        <f>IFERROR(__xludf.DUMMYFUNCTION("""COMPUTED_VALUE"""),2.0)</f>
        <v>2</v>
      </c>
      <c r="E1884" s="4">
        <f>IFERROR(__xludf.DUMMYFUNCTION("""COMPUTED_VALUE"""),35.0)</f>
        <v>35</v>
      </c>
      <c r="F1884" s="4">
        <f>IFERROR(__xludf.DUMMYFUNCTION("""COMPUTED_VALUE"""),10.0)</f>
        <v>10</v>
      </c>
      <c r="G1884" s="4">
        <f>IFERROR(__xludf.DUMMYFUNCTION("""COMPUTED_VALUE"""),163.0)</f>
        <v>163</v>
      </c>
      <c r="H1884" s="5">
        <f>IFERROR(__xludf.DUMMYFUNCTION("""COMPUTED_VALUE"""),5250.8)</f>
        <v>5250.8</v>
      </c>
      <c r="I1884" s="5">
        <f>IFERROR(__xludf.DUMMYFUNCTION("""COMPUTED_VALUE"""),9665.81)</f>
        <v>9665.81</v>
      </c>
      <c r="J1884" s="5">
        <f>IFERROR(__xludf.DUMMYFUNCTION("""COMPUTED_VALUE"""),4479.29)</f>
        <v>4479.29</v>
      </c>
      <c r="K1884" s="5">
        <f>IFERROR(__xludf.DUMMYFUNCTION("""COMPUTED_VALUE"""),7018.82)</f>
        <v>7018.82</v>
      </c>
      <c r="L1884" s="4">
        <f>IFERROR(__xludf.DUMMYFUNCTION("""COMPUTED_VALUE"""),17.0)</f>
        <v>17</v>
      </c>
      <c r="M1884" s="4">
        <f>IFERROR(__xludf.DUMMYFUNCTION("""COMPUTED_VALUE"""),58.0)</f>
        <v>58</v>
      </c>
      <c r="N1884" s="2" t="str">
        <f>IFERROR(__xludf.DUMMYFUNCTION("""COMPUTED_VALUE"""),"FALSO")</f>
        <v>FALSO</v>
      </c>
    </row>
    <row r="1885">
      <c r="A1885" s="2">
        <f>IFERROR(__xludf.DUMMYFUNCTION("""COMPUTED_VALUE"""),1884.0)</f>
        <v>1884</v>
      </c>
      <c r="B1885" s="2" t="str">
        <f>IFERROR(__xludf.DUMMYFUNCTION("""COMPUTED_VALUE"""),"Charo Howlett")</f>
        <v>Charo Howlett</v>
      </c>
      <c r="C1885" s="2" t="str">
        <f>IFERROR(__xludf.DUMMYFUNCTION("""COMPUTED_VALUE"""),"chowlettok@hud.gov")</f>
        <v>chowlettok@hud.gov</v>
      </c>
      <c r="D1885" s="4">
        <f>IFERROR(__xludf.DUMMYFUNCTION("""COMPUTED_VALUE"""),29.0)</f>
        <v>29</v>
      </c>
      <c r="E1885" s="4">
        <f>IFERROR(__xludf.DUMMYFUNCTION("""COMPUTED_VALUE"""),29.0)</f>
        <v>29</v>
      </c>
      <c r="F1885" s="4">
        <f>IFERROR(__xludf.DUMMYFUNCTION("""COMPUTED_VALUE"""),11.0)</f>
        <v>11</v>
      </c>
      <c r="G1885" s="4">
        <f>IFERROR(__xludf.DUMMYFUNCTION("""COMPUTED_VALUE"""),911.0)</f>
        <v>911</v>
      </c>
      <c r="H1885" s="5">
        <f>IFERROR(__xludf.DUMMYFUNCTION("""COMPUTED_VALUE"""),2837.11)</f>
        <v>2837.11</v>
      </c>
      <c r="I1885" s="5">
        <f>IFERROR(__xludf.DUMMYFUNCTION("""COMPUTED_VALUE"""),9469.01)</f>
        <v>9469.01</v>
      </c>
      <c r="J1885" s="5">
        <f>IFERROR(__xludf.DUMMYFUNCTION("""COMPUTED_VALUE"""),9419.45)</f>
        <v>9419.45</v>
      </c>
      <c r="K1885" s="5">
        <f>IFERROR(__xludf.DUMMYFUNCTION("""COMPUTED_VALUE"""),2823.86)</f>
        <v>2823.86</v>
      </c>
      <c r="L1885" s="4">
        <f>IFERROR(__xludf.DUMMYFUNCTION("""COMPUTED_VALUE"""),17.0)</f>
        <v>17</v>
      </c>
      <c r="M1885" s="4">
        <f>IFERROR(__xludf.DUMMYFUNCTION("""COMPUTED_VALUE"""),78.0)</f>
        <v>78</v>
      </c>
      <c r="N1885" s="2" t="str">
        <f>IFERROR(__xludf.DUMMYFUNCTION("""COMPUTED_VALUE"""),"VERDADERO")</f>
        <v>VERDADERO</v>
      </c>
    </row>
    <row r="1886">
      <c r="A1886" s="2">
        <f>IFERROR(__xludf.DUMMYFUNCTION("""COMPUTED_VALUE"""),1885.0)</f>
        <v>1885</v>
      </c>
      <c r="B1886" s="2" t="str">
        <f>IFERROR(__xludf.DUMMYFUNCTION("""COMPUTED_VALUE"""),"Dell Stabler")</f>
        <v>Dell Stabler</v>
      </c>
      <c r="C1886" s="2" t="str">
        <f>IFERROR(__xludf.DUMMYFUNCTION("""COMPUTED_VALUE"""),"dstablerol@hugedomains.com")</f>
        <v>dstablerol@hugedomains.com</v>
      </c>
      <c r="D1886" s="4">
        <f>IFERROR(__xludf.DUMMYFUNCTION("""COMPUTED_VALUE"""),65.0)</f>
        <v>65</v>
      </c>
      <c r="E1886" s="4">
        <f>IFERROR(__xludf.DUMMYFUNCTION("""COMPUTED_VALUE"""),12.0)</f>
        <v>12</v>
      </c>
      <c r="F1886" s="4">
        <f>IFERROR(__xludf.DUMMYFUNCTION("""COMPUTED_VALUE"""),6.0)</f>
        <v>6</v>
      </c>
      <c r="G1886" s="4">
        <f>IFERROR(__xludf.DUMMYFUNCTION("""COMPUTED_VALUE"""),146.0)</f>
        <v>146</v>
      </c>
      <c r="H1886" s="5">
        <f>IFERROR(__xludf.DUMMYFUNCTION("""COMPUTED_VALUE"""),2432.11)</f>
        <v>2432.11</v>
      </c>
      <c r="I1886" s="5">
        <f>IFERROR(__xludf.DUMMYFUNCTION("""COMPUTED_VALUE"""),3556.85)</f>
        <v>3556.85</v>
      </c>
      <c r="J1886" s="5">
        <f>IFERROR(__xludf.DUMMYFUNCTION("""COMPUTED_VALUE"""),2884.85)</f>
        <v>2884.85</v>
      </c>
      <c r="K1886" s="5">
        <f>IFERROR(__xludf.DUMMYFUNCTION("""COMPUTED_VALUE"""),2974.86)</f>
        <v>2974.86</v>
      </c>
      <c r="L1886" s="4">
        <f>IFERROR(__xludf.DUMMYFUNCTION("""COMPUTED_VALUE"""),3.0)</f>
        <v>3</v>
      </c>
      <c r="M1886" s="4">
        <f>IFERROR(__xludf.DUMMYFUNCTION("""COMPUTED_VALUE"""),47.0)</f>
        <v>47</v>
      </c>
      <c r="N1886" s="2" t="str">
        <f>IFERROR(__xludf.DUMMYFUNCTION("""COMPUTED_VALUE"""),"VERDADERO")</f>
        <v>VERDADERO</v>
      </c>
    </row>
    <row r="1887">
      <c r="A1887" s="2">
        <f>IFERROR(__xludf.DUMMYFUNCTION("""COMPUTED_VALUE"""),1886.0)</f>
        <v>1886</v>
      </c>
      <c r="B1887" s="2" t="str">
        <f>IFERROR(__xludf.DUMMYFUNCTION("""COMPUTED_VALUE"""),"Cara Gobeau")</f>
        <v>Cara Gobeau</v>
      </c>
      <c r="C1887" s="2" t="str">
        <f>IFERROR(__xludf.DUMMYFUNCTION("""COMPUTED_VALUE"""),"cgobeauom@apple.com")</f>
        <v>cgobeauom@apple.com</v>
      </c>
      <c r="D1887" s="4">
        <f>IFERROR(__xludf.DUMMYFUNCTION("""COMPUTED_VALUE"""),29.0)</f>
        <v>29</v>
      </c>
      <c r="E1887" s="4">
        <f>IFERROR(__xludf.DUMMYFUNCTION("""COMPUTED_VALUE"""),64.0)</f>
        <v>64</v>
      </c>
      <c r="F1887" s="4">
        <f>IFERROR(__xludf.DUMMYFUNCTION("""COMPUTED_VALUE"""),4.0)</f>
        <v>4</v>
      </c>
      <c r="G1887" s="4">
        <f>IFERROR(__xludf.DUMMYFUNCTION("""COMPUTED_VALUE"""),173.0)</f>
        <v>173</v>
      </c>
      <c r="H1887" s="5">
        <f>IFERROR(__xludf.DUMMYFUNCTION("""COMPUTED_VALUE"""),9476.48)</f>
        <v>9476.48</v>
      </c>
      <c r="I1887" s="5">
        <f>IFERROR(__xludf.DUMMYFUNCTION("""COMPUTED_VALUE"""),1672.89)</f>
        <v>1672.89</v>
      </c>
      <c r="J1887" s="5">
        <f>IFERROR(__xludf.DUMMYFUNCTION("""COMPUTED_VALUE"""),6406.45)</f>
        <v>6406.45</v>
      </c>
      <c r="K1887" s="5">
        <f>IFERROR(__xludf.DUMMYFUNCTION("""COMPUTED_VALUE"""),2555.44)</f>
        <v>2555.44</v>
      </c>
      <c r="L1887" s="4">
        <f>IFERROR(__xludf.DUMMYFUNCTION("""COMPUTED_VALUE"""),10.0)</f>
        <v>10</v>
      </c>
      <c r="M1887" s="4">
        <f>IFERROR(__xludf.DUMMYFUNCTION("""COMPUTED_VALUE"""),18.0)</f>
        <v>18</v>
      </c>
      <c r="N1887" s="2" t="str">
        <f>IFERROR(__xludf.DUMMYFUNCTION("""COMPUTED_VALUE"""),"VERDADERO")</f>
        <v>VERDADERO</v>
      </c>
    </row>
    <row r="1888">
      <c r="A1888" s="2">
        <f>IFERROR(__xludf.DUMMYFUNCTION("""COMPUTED_VALUE"""),1887.0)</f>
        <v>1887</v>
      </c>
      <c r="B1888" s="2" t="str">
        <f>IFERROR(__xludf.DUMMYFUNCTION("""COMPUTED_VALUE"""),"Marney Harverson")</f>
        <v>Marney Harverson</v>
      </c>
      <c r="C1888" s="2" t="str">
        <f>IFERROR(__xludf.DUMMYFUNCTION("""COMPUTED_VALUE"""),"mharversonon@vimeo.com")</f>
        <v>mharversonon@vimeo.com</v>
      </c>
      <c r="D1888" s="4">
        <f>IFERROR(__xludf.DUMMYFUNCTION("""COMPUTED_VALUE"""),124.0)</f>
        <v>124</v>
      </c>
      <c r="E1888" s="4">
        <f>IFERROR(__xludf.DUMMYFUNCTION("""COMPUTED_VALUE"""),81.0)</f>
        <v>81</v>
      </c>
      <c r="F1888" s="4">
        <f>IFERROR(__xludf.DUMMYFUNCTION("""COMPUTED_VALUE"""),2.0)</f>
        <v>2</v>
      </c>
      <c r="G1888" s="4">
        <f>IFERROR(__xludf.DUMMYFUNCTION("""COMPUTED_VALUE"""),164.0)</f>
        <v>164</v>
      </c>
      <c r="H1888" s="5">
        <f>IFERROR(__xludf.DUMMYFUNCTION("""COMPUTED_VALUE"""),1023.75)</f>
        <v>1023.75</v>
      </c>
      <c r="I1888" s="5">
        <f>IFERROR(__xludf.DUMMYFUNCTION("""COMPUTED_VALUE"""),8562.38)</f>
        <v>8562.38</v>
      </c>
      <c r="J1888" s="5">
        <f>IFERROR(__xludf.DUMMYFUNCTION("""COMPUTED_VALUE"""),1349.93)</f>
        <v>1349.93</v>
      </c>
      <c r="K1888" s="5">
        <f>IFERROR(__xludf.DUMMYFUNCTION("""COMPUTED_VALUE"""),7816.41)</f>
        <v>7816.41</v>
      </c>
      <c r="L1888" s="4">
        <f>IFERROR(__xludf.DUMMYFUNCTION("""COMPUTED_VALUE"""),20.0)</f>
        <v>20</v>
      </c>
      <c r="M1888" s="4">
        <f>IFERROR(__xludf.DUMMYFUNCTION("""COMPUTED_VALUE"""),92.0)</f>
        <v>92</v>
      </c>
      <c r="N1888" s="2" t="str">
        <f>IFERROR(__xludf.DUMMYFUNCTION("""COMPUTED_VALUE"""),"VERDADERO")</f>
        <v>VERDADERO</v>
      </c>
    </row>
    <row r="1889">
      <c r="A1889" s="2">
        <f>IFERROR(__xludf.DUMMYFUNCTION("""COMPUTED_VALUE"""),1888.0)</f>
        <v>1888</v>
      </c>
      <c r="B1889" s="2" t="str">
        <f>IFERROR(__xludf.DUMMYFUNCTION("""COMPUTED_VALUE"""),"Dylan Brounfield")</f>
        <v>Dylan Brounfield</v>
      </c>
      <c r="C1889" s="2" t="str">
        <f>IFERROR(__xludf.DUMMYFUNCTION("""COMPUTED_VALUE"""),"dbrounfieldoo@clickbank.net")</f>
        <v>dbrounfieldoo@clickbank.net</v>
      </c>
      <c r="D1889" s="4">
        <f>IFERROR(__xludf.DUMMYFUNCTION("""COMPUTED_VALUE"""),121.0)</f>
        <v>121</v>
      </c>
      <c r="E1889" s="4">
        <f>IFERROR(__xludf.DUMMYFUNCTION("""COMPUTED_VALUE"""),21.0)</f>
        <v>21</v>
      </c>
      <c r="F1889" s="4">
        <f>IFERROR(__xludf.DUMMYFUNCTION("""COMPUTED_VALUE"""),4.0)</f>
        <v>4</v>
      </c>
      <c r="G1889" s="4">
        <f>IFERROR(__xludf.DUMMYFUNCTION("""COMPUTED_VALUE"""),844.0)</f>
        <v>844</v>
      </c>
      <c r="H1889" s="5">
        <f>IFERROR(__xludf.DUMMYFUNCTION("""COMPUTED_VALUE"""),1089.82)</f>
        <v>1089.82</v>
      </c>
      <c r="I1889" s="5">
        <f>IFERROR(__xludf.DUMMYFUNCTION("""COMPUTED_VALUE"""),5764.14)</f>
        <v>5764.14</v>
      </c>
      <c r="J1889" s="5">
        <f>IFERROR(__xludf.DUMMYFUNCTION("""COMPUTED_VALUE"""),8037.39)</f>
        <v>8037.39</v>
      </c>
      <c r="K1889" s="5">
        <f>IFERROR(__xludf.DUMMYFUNCTION("""COMPUTED_VALUE"""),3823.13)</f>
        <v>3823.13</v>
      </c>
      <c r="L1889" s="4">
        <f>IFERROR(__xludf.DUMMYFUNCTION("""COMPUTED_VALUE"""),18.0)</f>
        <v>18</v>
      </c>
      <c r="M1889" s="4">
        <f>IFERROR(__xludf.DUMMYFUNCTION("""COMPUTED_VALUE"""),91.0)</f>
        <v>91</v>
      </c>
      <c r="N1889" s="2" t="str">
        <f>IFERROR(__xludf.DUMMYFUNCTION("""COMPUTED_VALUE"""),"FALSO")</f>
        <v>FALSO</v>
      </c>
    </row>
    <row r="1890">
      <c r="A1890" s="2">
        <f>IFERROR(__xludf.DUMMYFUNCTION("""COMPUTED_VALUE"""),1889.0)</f>
        <v>1889</v>
      </c>
      <c r="B1890" s="2" t="str">
        <f>IFERROR(__xludf.DUMMYFUNCTION("""COMPUTED_VALUE"""),"Hilde Galfour")</f>
        <v>Hilde Galfour</v>
      </c>
      <c r="C1890" s="2" t="str">
        <f>IFERROR(__xludf.DUMMYFUNCTION("""COMPUTED_VALUE"""),"hgalfourop@yale.edu")</f>
        <v>hgalfourop@yale.edu</v>
      </c>
      <c r="D1890" s="4">
        <f>IFERROR(__xludf.DUMMYFUNCTION("""COMPUTED_VALUE"""),44.0)</f>
        <v>44</v>
      </c>
      <c r="E1890" s="4">
        <f>IFERROR(__xludf.DUMMYFUNCTION("""COMPUTED_VALUE"""),107.0)</f>
        <v>107</v>
      </c>
      <c r="F1890" s="4">
        <f>IFERROR(__xludf.DUMMYFUNCTION("""COMPUTED_VALUE"""),5.0)</f>
        <v>5</v>
      </c>
      <c r="G1890" s="4">
        <f>IFERROR(__xludf.DUMMYFUNCTION("""COMPUTED_VALUE"""),506.0)</f>
        <v>506</v>
      </c>
      <c r="H1890" s="5">
        <f>IFERROR(__xludf.DUMMYFUNCTION("""COMPUTED_VALUE"""),875.23)</f>
        <v>875.23</v>
      </c>
      <c r="I1890" s="5">
        <f>IFERROR(__xludf.DUMMYFUNCTION("""COMPUTED_VALUE"""),5378.09)</f>
        <v>5378.09</v>
      </c>
      <c r="J1890" s="5">
        <f>IFERROR(__xludf.DUMMYFUNCTION("""COMPUTED_VALUE"""),6910.78)</f>
        <v>6910.78</v>
      </c>
      <c r="K1890" s="5">
        <f>IFERROR(__xludf.DUMMYFUNCTION("""COMPUTED_VALUE"""),888.83)</f>
        <v>888.83</v>
      </c>
      <c r="L1890" s="4">
        <f>IFERROR(__xludf.DUMMYFUNCTION("""COMPUTED_VALUE"""),6.0)</f>
        <v>6</v>
      </c>
      <c r="M1890" s="4">
        <f>IFERROR(__xludf.DUMMYFUNCTION("""COMPUTED_VALUE"""),52.0)</f>
        <v>52</v>
      </c>
      <c r="N1890" s="2" t="str">
        <f>IFERROR(__xludf.DUMMYFUNCTION("""COMPUTED_VALUE"""),"FALSO")</f>
        <v>FALSO</v>
      </c>
    </row>
    <row r="1891">
      <c r="A1891" s="2">
        <f>IFERROR(__xludf.DUMMYFUNCTION("""COMPUTED_VALUE"""),1890.0)</f>
        <v>1890</v>
      </c>
      <c r="B1891" s="2" t="str">
        <f>IFERROR(__xludf.DUMMYFUNCTION("""COMPUTED_VALUE"""),"Heath Bugler")</f>
        <v>Heath Bugler</v>
      </c>
      <c r="C1891" s="2" t="str">
        <f>IFERROR(__xludf.DUMMYFUNCTION("""COMPUTED_VALUE"""),"hbugleroq@un.org")</f>
        <v>hbugleroq@un.org</v>
      </c>
      <c r="D1891" s="4">
        <f>IFERROR(__xludf.DUMMYFUNCTION("""COMPUTED_VALUE"""),122.0)</f>
        <v>122</v>
      </c>
      <c r="E1891" s="4">
        <f>IFERROR(__xludf.DUMMYFUNCTION("""COMPUTED_VALUE"""),48.0)</f>
        <v>48</v>
      </c>
      <c r="F1891" s="4">
        <f>IFERROR(__xludf.DUMMYFUNCTION("""COMPUTED_VALUE"""),4.0)</f>
        <v>4</v>
      </c>
      <c r="G1891" s="4">
        <f>IFERROR(__xludf.DUMMYFUNCTION("""COMPUTED_VALUE"""),143.0)</f>
        <v>143</v>
      </c>
      <c r="H1891" s="5">
        <f>IFERROR(__xludf.DUMMYFUNCTION("""COMPUTED_VALUE"""),4952.12)</f>
        <v>4952.12</v>
      </c>
      <c r="I1891" s="5">
        <f>IFERROR(__xludf.DUMMYFUNCTION("""COMPUTED_VALUE"""),9559.17)</f>
        <v>9559.17</v>
      </c>
      <c r="J1891" s="5">
        <f>IFERROR(__xludf.DUMMYFUNCTION("""COMPUTED_VALUE"""),9088.61)</f>
        <v>9088.61</v>
      </c>
      <c r="K1891" s="5">
        <f>IFERROR(__xludf.DUMMYFUNCTION("""COMPUTED_VALUE"""),9786.98)</f>
        <v>9786.98</v>
      </c>
      <c r="L1891" s="4">
        <f>IFERROR(__xludf.DUMMYFUNCTION("""COMPUTED_VALUE"""),1.0)</f>
        <v>1</v>
      </c>
      <c r="M1891" s="4">
        <f>IFERROR(__xludf.DUMMYFUNCTION("""COMPUTED_VALUE"""),51.0)</f>
        <v>51</v>
      </c>
      <c r="N1891" s="2" t="str">
        <f>IFERROR(__xludf.DUMMYFUNCTION("""COMPUTED_VALUE"""),"VERDADERO")</f>
        <v>VERDADERO</v>
      </c>
    </row>
    <row r="1892">
      <c r="A1892" s="2">
        <f>IFERROR(__xludf.DUMMYFUNCTION("""COMPUTED_VALUE"""),1891.0)</f>
        <v>1891</v>
      </c>
      <c r="B1892" s="2" t="str">
        <f>IFERROR(__xludf.DUMMYFUNCTION("""COMPUTED_VALUE"""),"Alanah Jean")</f>
        <v>Alanah Jean</v>
      </c>
      <c r="C1892" s="2" t="str">
        <f>IFERROR(__xludf.DUMMYFUNCTION("""COMPUTED_VALUE"""),"ajeanor@slideshare.net")</f>
        <v>ajeanor@slideshare.net</v>
      </c>
      <c r="D1892" s="4">
        <f>IFERROR(__xludf.DUMMYFUNCTION("""COMPUTED_VALUE"""),49.0)</f>
        <v>49</v>
      </c>
      <c r="E1892" s="4">
        <f>IFERROR(__xludf.DUMMYFUNCTION("""COMPUTED_VALUE"""),61.0)</f>
        <v>61</v>
      </c>
      <c r="F1892" s="4">
        <f>IFERROR(__xludf.DUMMYFUNCTION("""COMPUTED_VALUE"""),4.0)</f>
        <v>4</v>
      </c>
      <c r="G1892" s="4">
        <f>IFERROR(__xludf.DUMMYFUNCTION("""COMPUTED_VALUE"""),1595.0)</f>
        <v>1595</v>
      </c>
      <c r="H1892" s="5">
        <f>IFERROR(__xludf.DUMMYFUNCTION("""COMPUTED_VALUE"""),9190.46)</f>
        <v>9190.46</v>
      </c>
      <c r="I1892" s="5">
        <f>IFERROR(__xludf.DUMMYFUNCTION("""COMPUTED_VALUE"""),8963.79)</f>
        <v>8963.79</v>
      </c>
      <c r="J1892" s="5">
        <f>IFERROR(__xludf.DUMMYFUNCTION("""COMPUTED_VALUE"""),6041.6)</f>
        <v>6041.6</v>
      </c>
      <c r="K1892" s="5">
        <f>IFERROR(__xludf.DUMMYFUNCTION("""COMPUTED_VALUE"""),3926.72)</f>
        <v>3926.72</v>
      </c>
      <c r="L1892" s="4">
        <f>IFERROR(__xludf.DUMMYFUNCTION("""COMPUTED_VALUE"""),6.0)</f>
        <v>6</v>
      </c>
      <c r="M1892" s="4">
        <f>IFERROR(__xludf.DUMMYFUNCTION("""COMPUTED_VALUE"""),23.0)</f>
        <v>23</v>
      </c>
      <c r="N1892" s="2" t="str">
        <f>IFERROR(__xludf.DUMMYFUNCTION("""COMPUTED_VALUE"""),"VERDADERO")</f>
        <v>VERDADERO</v>
      </c>
    </row>
    <row r="1893">
      <c r="A1893" s="2">
        <f>IFERROR(__xludf.DUMMYFUNCTION("""COMPUTED_VALUE"""),1892.0)</f>
        <v>1892</v>
      </c>
      <c r="B1893" s="2" t="str">
        <f>IFERROR(__xludf.DUMMYFUNCTION("""COMPUTED_VALUE"""),"Guido Covelle")</f>
        <v>Guido Covelle</v>
      </c>
      <c r="C1893" s="2" t="str">
        <f>IFERROR(__xludf.DUMMYFUNCTION("""COMPUTED_VALUE"""),"gcovelleos@cbc.ca")</f>
        <v>gcovelleos@cbc.ca</v>
      </c>
      <c r="D1893" s="4">
        <f>IFERROR(__xludf.DUMMYFUNCTION("""COMPUTED_VALUE"""),119.0)</f>
        <v>119</v>
      </c>
      <c r="E1893" s="4">
        <f>IFERROR(__xludf.DUMMYFUNCTION("""COMPUTED_VALUE"""),64.0)</f>
        <v>64</v>
      </c>
      <c r="F1893" s="4">
        <f>IFERROR(__xludf.DUMMYFUNCTION("""COMPUTED_VALUE"""),4.0)</f>
        <v>4</v>
      </c>
      <c r="G1893" s="4">
        <f>IFERROR(__xludf.DUMMYFUNCTION("""COMPUTED_VALUE"""),179.0)</f>
        <v>179</v>
      </c>
      <c r="H1893" s="5">
        <f>IFERROR(__xludf.DUMMYFUNCTION("""COMPUTED_VALUE"""),963.26)</f>
        <v>963.26</v>
      </c>
      <c r="I1893" s="5">
        <f>IFERROR(__xludf.DUMMYFUNCTION("""COMPUTED_VALUE"""),2691.46)</f>
        <v>2691.46</v>
      </c>
      <c r="J1893" s="5">
        <f>IFERROR(__xludf.DUMMYFUNCTION("""COMPUTED_VALUE"""),2409.48)</f>
        <v>2409.48</v>
      </c>
      <c r="K1893" s="5">
        <f>IFERROR(__xludf.DUMMYFUNCTION("""COMPUTED_VALUE"""),1339.54)</f>
        <v>1339.54</v>
      </c>
      <c r="L1893" s="4">
        <f>IFERROR(__xludf.DUMMYFUNCTION("""COMPUTED_VALUE"""),6.0)</f>
        <v>6</v>
      </c>
      <c r="M1893" s="4">
        <f>IFERROR(__xludf.DUMMYFUNCTION("""COMPUTED_VALUE"""),86.0)</f>
        <v>86</v>
      </c>
      <c r="N1893" s="2" t="str">
        <f>IFERROR(__xludf.DUMMYFUNCTION("""COMPUTED_VALUE"""),"FALSO")</f>
        <v>FALSO</v>
      </c>
    </row>
    <row r="1894">
      <c r="A1894" s="2">
        <f>IFERROR(__xludf.DUMMYFUNCTION("""COMPUTED_VALUE"""),1893.0)</f>
        <v>1893</v>
      </c>
      <c r="B1894" s="2" t="str">
        <f>IFERROR(__xludf.DUMMYFUNCTION("""COMPUTED_VALUE"""),"Bary Tiebe")</f>
        <v>Bary Tiebe</v>
      </c>
      <c r="C1894" s="2" t="str">
        <f>IFERROR(__xludf.DUMMYFUNCTION("""COMPUTED_VALUE"""),"btiebeot@archive.org")</f>
        <v>btiebeot@archive.org</v>
      </c>
      <c r="D1894" s="4">
        <f>IFERROR(__xludf.DUMMYFUNCTION("""COMPUTED_VALUE"""),124.0)</f>
        <v>124</v>
      </c>
      <c r="E1894" s="4">
        <f>IFERROR(__xludf.DUMMYFUNCTION("""COMPUTED_VALUE"""),59.0)</f>
        <v>59</v>
      </c>
      <c r="F1894" s="4">
        <f>IFERROR(__xludf.DUMMYFUNCTION("""COMPUTED_VALUE"""),6.0)</f>
        <v>6</v>
      </c>
      <c r="G1894" s="4">
        <f>IFERROR(__xludf.DUMMYFUNCTION("""COMPUTED_VALUE"""),1584.0)</f>
        <v>1584</v>
      </c>
      <c r="H1894" s="5">
        <f>IFERROR(__xludf.DUMMYFUNCTION("""COMPUTED_VALUE"""),9066.85)</f>
        <v>9066.85</v>
      </c>
      <c r="I1894" s="5">
        <f>IFERROR(__xludf.DUMMYFUNCTION("""COMPUTED_VALUE"""),7270.4)</f>
        <v>7270.4</v>
      </c>
      <c r="J1894" s="5">
        <f>IFERROR(__xludf.DUMMYFUNCTION("""COMPUTED_VALUE"""),9898.5)</f>
        <v>9898.5</v>
      </c>
      <c r="K1894" s="5">
        <f>IFERROR(__xludf.DUMMYFUNCTION("""COMPUTED_VALUE"""),5072.81)</f>
        <v>5072.81</v>
      </c>
      <c r="L1894" s="4">
        <f>IFERROR(__xludf.DUMMYFUNCTION("""COMPUTED_VALUE"""),9.0)</f>
        <v>9</v>
      </c>
      <c r="M1894" s="4">
        <f>IFERROR(__xludf.DUMMYFUNCTION("""COMPUTED_VALUE"""),62.0)</f>
        <v>62</v>
      </c>
      <c r="N1894" s="2" t="str">
        <f>IFERROR(__xludf.DUMMYFUNCTION("""COMPUTED_VALUE"""),"VERDADERO")</f>
        <v>VERDADERO</v>
      </c>
    </row>
    <row r="1895">
      <c r="A1895" s="2">
        <f>IFERROR(__xludf.DUMMYFUNCTION("""COMPUTED_VALUE"""),1894.0)</f>
        <v>1894</v>
      </c>
      <c r="B1895" s="2" t="str">
        <f>IFERROR(__xludf.DUMMYFUNCTION("""COMPUTED_VALUE"""),"Nissy Kempston")</f>
        <v>Nissy Kempston</v>
      </c>
      <c r="C1895" s="2" t="str">
        <f>IFERROR(__xludf.DUMMYFUNCTION("""COMPUTED_VALUE"""),"nkempstonou@parallels.com")</f>
        <v>nkempstonou@parallels.com</v>
      </c>
      <c r="D1895" s="4">
        <f>IFERROR(__xludf.DUMMYFUNCTION("""COMPUTED_VALUE"""),55.0)</f>
        <v>55</v>
      </c>
      <c r="E1895" s="4">
        <f>IFERROR(__xludf.DUMMYFUNCTION("""COMPUTED_VALUE"""),81.0)</f>
        <v>81</v>
      </c>
      <c r="F1895" s="4">
        <f>IFERROR(__xludf.DUMMYFUNCTION("""COMPUTED_VALUE"""),2.0)</f>
        <v>2</v>
      </c>
      <c r="G1895" s="4">
        <f>IFERROR(__xludf.DUMMYFUNCTION("""COMPUTED_VALUE"""),1232.0)</f>
        <v>1232</v>
      </c>
      <c r="H1895" s="5">
        <f>IFERROR(__xludf.DUMMYFUNCTION("""COMPUTED_VALUE"""),9430.72)</f>
        <v>9430.72</v>
      </c>
      <c r="I1895" s="5">
        <f>IFERROR(__xludf.DUMMYFUNCTION("""COMPUTED_VALUE"""),5951.17)</f>
        <v>5951.17</v>
      </c>
      <c r="J1895" s="5">
        <f>IFERROR(__xludf.DUMMYFUNCTION("""COMPUTED_VALUE"""),8415.45)</f>
        <v>8415.45</v>
      </c>
      <c r="K1895" s="5">
        <f>IFERROR(__xludf.DUMMYFUNCTION("""COMPUTED_VALUE"""),788.71)</f>
        <v>788.71</v>
      </c>
      <c r="L1895" s="4">
        <f>IFERROR(__xludf.DUMMYFUNCTION("""COMPUTED_VALUE"""),15.0)</f>
        <v>15</v>
      </c>
      <c r="M1895" s="4">
        <f>IFERROR(__xludf.DUMMYFUNCTION("""COMPUTED_VALUE"""),26.0)</f>
        <v>26</v>
      </c>
      <c r="N1895" s="2" t="str">
        <f>IFERROR(__xludf.DUMMYFUNCTION("""COMPUTED_VALUE"""),"VERDADERO")</f>
        <v>VERDADERO</v>
      </c>
    </row>
    <row r="1896">
      <c r="A1896" s="2">
        <f>IFERROR(__xludf.DUMMYFUNCTION("""COMPUTED_VALUE"""),1895.0)</f>
        <v>1895</v>
      </c>
      <c r="B1896" s="2" t="str">
        <f>IFERROR(__xludf.DUMMYFUNCTION("""COMPUTED_VALUE"""),"Lara Cartmell")</f>
        <v>Lara Cartmell</v>
      </c>
      <c r="C1896" s="2" t="str">
        <f>IFERROR(__xludf.DUMMYFUNCTION("""COMPUTED_VALUE"""),"lcartmellov@slate.com")</f>
        <v>lcartmellov@slate.com</v>
      </c>
      <c r="D1896" s="4">
        <f>IFERROR(__xludf.DUMMYFUNCTION("""COMPUTED_VALUE"""),65.0)</f>
        <v>65</v>
      </c>
      <c r="E1896" s="4">
        <f>IFERROR(__xludf.DUMMYFUNCTION("""COMPUTED_VALUE"""),73.0)</f>
        <v>73</v>
      </c>
      <c r="F1896" s="4">
        <f>IFERROR(__xludf.DUMMYFUNCTION("""COMPUTED_VALUE"""),9.0)</f>
        <v>9</v>
      </c>
      <c r="G1896" s="4">
        <f>IFERROR(__xludf.DUMMYFUNCTION("""COMPUTED_VALUE"""),1242.0)</f>
        <v>1242</v>
      </c>
      <c r="H1896" s="5">
        <f>IFERROR(__xludf.DUMMYFUNCTION("""COMPUTED_VALUE"""),6898.01)</f>
        <v>6898.01</v>
      </c>
      <c r="I1896" s="5">
        <f>IFERROR(__xludf.DUMMYFUNCTION("""COMPUTED_VALUE"""),1321.96)</f>
        <v>1321.96</v>
      </c>
      <c r="J1896" s="5">
        <f>IFERROR(__xludf.DUMMYFUNCTION("""COMPUTED_VALUE"""),8427.58)</f>
        <v>8427.58</v>
      </c>
      <c r="K1896" s="5">
        <f>IFERROR(__xludf.DUMMYFUNCTION("""COMPUTED_VALUE"""),9638.46)</f>
        <v>9638.46</v>
      </c>
      <c r="L1896" s="4">
        <f>IFERROR(__xludf.DUMMYFUNCTION("""COMPUTED_VALUE"""),13.0)</f>
        <v>13</v>
      </c>
      <c r="M1896" s="4">
        <f>IFERROR(__xludf.DUMMYFUNCTION("""COMPUTED_VALUE"""),23.0)</f>
        <v>23</v>
      </c>
      <c r="N1896" s="2" t="str">
        <f>IFERROR(__xludf.DUMMYFUNCTION("""COMPUTED_VALUE"""),"FALSO")</f>
        <v>FALSO</v>
      </c>
    </row>
    <row r="1897">
      <c r="A1897" s="2">
        <f>IFERROR(__xludf.DUMMYFUNCTION("""COMPUTED_VALUE"""),1896.0)</f>
        <v>1896</v>
      </c>
      <c r="B1897" s="2" t="str">
        <f>IFERROR(__xludf.DUMMYFUNCTION("""COMPUTED_VALUE"""),"Gualterio Domek")</f>
        <v>Gualterio Domek</v>
      </c>
      <c r="C1897" s="2" t="str">
        <f>IFERROR(__xludf.DUMMYFUNCTION("""COMPUTED_VALUE"""),"gdomekow@apple.com")</f>
        <v>gdomekow@apple.com</v>
      </c>
      <c r="D1897" s="4">
        <f>IFERROR(__xludf.DUMMYFUNCTION("""COMPUTED_VALUE"""),73.0)</f>
        <v>73</v>
      </c>
      <c r="E1897" s="4">
        <f>IFERROR(__xludf.DUMMYFUNCTION("""COMPUTED_VALUE"""),81.0)</f>
        <v>81</v>
      </c>
      <c r="F1897" s="4">
        <f>IFERROR(__xludf.DUMMYFUNCTION("""COMPUTED_VALUE"""),2.0)</f>
        <v>2</v>
      </c>
      <c r="G1897" s="4">
        <f>IFERROR(__xludf.DUMMYFUNCTION("""COMPUTED_VALUE"""),1441.0)</f>
        <v>1441</v>
      </c>
      <c r="H1897" s="5">
        <f>IFERROR(__xludf.DUMMYFUNCTION("""COMPUTED_VALUE"""),3824.59)</f>
        <v>3824.59</v>
      </c>
      <c r="I1897" s="5">
        <f>IFERROR(__xludf.DUMMYFUNCTION("""COMPUTED_VALUE"""),9573.24)</f>
        <v>9573.24</v>
      </c>
      <c r="J1897" s="5">
        <f>IFERROR(__xludf.DUMMYFUNCTION("""COMPUTED_VALUE"""),5966.18)</f>
        <v>5966.18</v>
      </c>
      <c r="K1897" s="5">
        <f>IFERROR(__xludf.DUMMYFUNCTION("""COMPUTED_VALUE"""),1177.13)</f>
        <v>1177.13</v>
      </c>
      <c r="L1897" s="4">
        <f>IFERROR(__xludf.DUMMYFUNCTION("""COMPUTED_VALUE"""),8.0)</f>
        <v>8</v>
      </c>
      <c r="M1897" s="4">
        <f>IFERROR(__xludf.DUMMYFUNCTION("""COMPUTED_VALUE"""),100.0)</f>
        <v>100</v>
      </c>
      <c r="N1897" s="2" t="str">
        <f>IFERROR(__xludf.DUMMYFUNCTION("""COMPUTED_VALUE"""),"VERDADERO")</f>
        <v>VERDADERO</v>
      </c>
    </row>
    <row r="1898">
      <c r="A1898" s="2">
        <f>IFERROR(__xludf.DUMMYFUNCTION("""COMPUTED_VALUE"""),1897.0)</f>
        <v>1897</v>
      </c>
      <c r="B1898" s="2" t="str">
        <f>IFERROR(__xludf.DUMMYFUNCTION("""COMPUTED_VALUE"""),"Florie Chatan")</f>
        <v>Florie Chatan</v>
      </c>
      <c r="C1898" s="2" t="str">
        <f>IFERROR(__xludf.DUMMYFUNCTION("""COMPUTED_VALUE"""),"fchatanox@usa.gov")</f>
        <v>fchatanox@usa.gov</v>
      </c>
      <c r="D1898" s="4">
        <f>IFERROR(__xludf.DUMMYFUNCTION("""COMPUTED_VALUE"""),49.0)</f>
        <v>49</v>
      </c>
      <c r="E1898" s="4">
        <f>IFERROR(__xludf.DUMMYFUNCTION("""COMPUTED_VALUE"""),4.0)</f>
        <v>4</v>
      </c>
      <c r="F1898" s="4">
        <f>IFERROR(__xludf.DUMMYFUNCTION("""COMPUTED_VALUE"""),9.0)</f>
        <v>9</v>
      </c>
      <c r="G1898" s="4">
        <f>IFERROR(__xludf.DUMMYFUNCTION("""COMPUTED_VALUE"""),110.0)</f>
        <v>110</v>
      </c>
      <c r="H1898" s="5">
        <f>IFERROR(__xludf.DUMMYFUNCTION("""COMPUTED_VALUE"""),9468.89)</f>
        <v>9468.89</v>
      </c>
      <c r="I1898" s="5">
        <f>IFERROR(__xludf.DUMMYFUNCTION("""COMPUTED_VALUE"""),186.58)</f>
        <v>186.58</v>
      </c>
      <c r="J1898" s="5">
        <f>IFERROR(__xludf.DUMMYFUNCTION("""COMPUTED_VALUE"""),7345.3)</f>
        <v>7345.3</v>
      </c>
      <c r="K1898" s="5">
        <f>IFERROR(__xludf.DUMMYFUNCTION("""COMPUTED_VALUE"""),5365.17)</f>
        <v>5365.17</v>
      </c>
      <c r="L1898" s="4">
        <f>IFERROR(__xludf.DUMMYFUNCTION("""COMPUTED_VALUE"""),5.0)</f>
        <v>5</v>
      </c>
      <c r="M1898" s="4">
        <f>IFERROR(__xludf.DUMMYFUNCTION("""COMPUTED_VALUE"""),67.0)</f>
        <v>67</v>
      </c>
      <c r="N1898" s="2" t="str">
        <f>IFERROR(__xludf.DUMMYFUNCTION("""COMPUTED_VALUE"""),"FALSO")</f>
        <v>FALSO</v>
      </c>
    </row>
    <row r="1899">
      <c r="A1899" s="2">
        <f>IFERROR(__xludf.DUMMYFUNCTION("""COMPUTED_VALUE"""),1898.0)</f>
        <v>1898</v>
      </c>
      <c r="B1899" s="2" t="str">
        <f>IFERROR(__xludf.DUMMYFUNCTION("""COMPUTED_VALUE"""),"Guinevere Backe")</f>
        <v>Guinevere Backe</v>
      </c>
      <c r="C1899" s="2" t="str">
        <f>IFERROR(__xludf.DUMMYFUNCTION("""COMPUTED_VALUE"""),"gbackeoy@aboutads.info")</f>
        <v>gbackeoy@aboutads.info</v>
      </c>
      <c r="D1899" s="4">
        <f>IFERROR(__xludf.DUMMYFUNCTION("""COMPUTED_VALUE"""),29.0)</f>
        <v>29</v>
      </c>
      <c r="E1899" s="4">
        <f>IFERROR(__xludf.DUMMYFUNCTION("""COMPUTED_VALUE"""),31.0)</f>
        <v>31</v>
      </c>
      <c r="F1899" s="4">
        <f>IFERROR(__xludf.DUMMYFUNCTION("""COMPUTED_VALUE"""),8.0)</f>
        <v>8</v>
      </c>
      <c r="G1899" s="4">
        <f>IFERROR(__xludf.DUMMYFUNCTION("""COMPUTED_VALUE"""),455.0)</f>
        <v>455</v>
      </c>
      <c r="H1899" s="5">
        <f>IFERROR(__xludf.DUMMYFUNCTION("""COMPUTED_VALUE"""),380.15)</f>
        <v>380.15</v>
      </c>
      <c r="I1899" s="5">
        <f>IFERROR(__xludf.DUMMYFUNCTION("""COMPUTED_VALUE"""),3381.44)</f>
        <v>3381.44</v>
      </c>
      <c r="J1899" s="5">
        <f>IFERROR(__xludf.DUMMYFUNCTION("""COMPUTED_VALUE"""),1315.45)</f>
        <v>1315.45</v>
      </c>
      <c r="K1899" s="5">
        <f>IFERROR(__xludf.DUMMYFUNCTION("""COMPUTED_VALUE"""),6261.86)</f>
        <v>6261.86</v>
      </c>
      <c r="L1899" s="4">
        <f>IFERROR(__xludf.DUMMYFUNCTION("""COMPUTED_VALUE"""),7.0)</f>
        <v>7</v>
      </c>
      <c r="M1899" s="4">
        <f>IFERROR(__xludf.DUMMYFUNCTION("""COMPUTED_VALUE"""),61.0)</f>
        <v>61</v>
      </c>
      <c r="N1899" s="2" t="str">
        <f>IFERROR(__xludf.DUMMYFUNCTION("""COMPUTED_VALUE"""),"VERDADERO")</f>
        <v>VERDADERO</v>
      </c>
    </row>
    <row r="1900">
      <c r="A1900" s="2">
        <f>IFERROR(__xludf.DUMMYFUNCTION("""COMPUTED_VALUE"""),1899.0)</f>
        <v>1899</v>
      </c>
      <c r="B1900" s="2" t="str">
        <f>IFERROR(__xludf.DUMMYFUNCTION("""COMPUTED_VALUE"""),"Sergent Nattriss")</f>
        <v>Sergent Nattriss</v>
      </c>
      <c r="C1900" s="2" t="str">
        <f>IFERROR(__xludf.DUMMYFUNCTION("""COMPUTED_VALUE"""),"snattrissoz@taobao.com")</f>
        <v>snattrissoz@taobao.com</v>
      </c>
      <c r="D1900" s="4">
        <f>IFERROR(__xludf.DUMMYFUNCTION("""COMPUTED_VALUE"""),29.0)</f>
        <v>29</v>
      </c>
      <c r="E1900" s="4">
        <f>IFERROR(__xludf.DUMMYFUNCTION("""COMPUTED_VALUE"""),66.0)</f>
        <v>66</v>
      </c>
      <c r="F1900" s="4">
        <f>IFERROR(__xludf.DUMMYFUNCTION("""COMPUTED_VALUE"""),6.0)</f>
        <v>6</v>
      </c>
      <c r="G1900" s="4">
        <f>IFERROR(__xludf.DUMMYFUNCTION("""COMPUTED_VALUE"""),294.0)</f>
        <v>294</v>
      </c>
      <c r="H1900" s="5">
        <f>IFERROR(__xludf.DUMMYFUNCTION("""COMPUTED_VALUE"""),2807.18)</f>
        <v>2807.18</v>
      </c>
      <c r="I1900" s="5">
        <f>IFERROR(__xludf.DUMMYFUNCTION("""COMPUTED_VALUE"""),692.16)</f>
        <v>692.16</v>
      </c>
      <c r="J1900" s="5">
        <f>IFERROR(__xludf.DUMMYFUNCTION("""COMPUTED_VALUE"""),8533.11)</f>
        <v>8533.11</v>
      </c>
      <c r="K1900" s="5">
        <f>IFERROR(__xludf.DUMMYFUNCTION("""COMPUTED_VALUE"""),9143.24)</f>
        <v>9143.24</v>
      </c>
      <c r="L1900" s="4">
        <f>IFERROR(__xludf.DUMMYFUNCTION("""COMPUTED_VALUE"""),16.0)</f>
        <v>16</v>
      </c>
      <c r="M1900" s="4">
        <f>IFERROR(__xludf.DUMMYFUNCTION("""COMPUTED_VALUE"""),4.0)</f>
        <v>4</v>
      </c>
      <c r="N1900" s="2" t="str">
        <f>IFERROR(__xludf.DUMMYFUNCTION("""COMPUTED_VALUE"""),"FALSO")</f>
        <v>FALSO</v>
      </c>
    </row>
    <row r="1901">
      <c r="A1901" s="2">
        <f>IFERROR(__xludf.DUMMYFUNCTION("""COMPUTED_VALUE"""),1900.0)</f>
        <v>1900</v>
      </c>
      <c r="B1901" s="2" t="str">
        <f>IFERROR(__xludf.DUMMYFUNCTION("""COMPUTED_VALUE"""),"Lucia McArte")</f>
        <v>Lucia McArte</v>
      </c>
      <c r="C1901" s="2" t="str">
        <f>IFERROR(__xludf.DUMMYFUNCTION("""COMPUTED_VALUE"""),"lmcartep0@patch.com")</f>
        <v>lmcartep0@patch.com</v>
      </c>
      <c r="D1901" s="4">
        <f>IFERROR(__xludf.DUMMYFUNCTION("""COMPUTED_VALUE"""),120.0)</f>
        <v>120</v>
      </c>
      <c r="E1901" s="4">
        <f>IFERROR(__xludf.DUMMYFUNCTION("""COMPUTED_VALUE"""),119.0)</f>
        <v>119</v>
      </c>
      <c r="F1901" s="4">
        <f>IFERROR(__xludf.DUMMYFUNCTION("""COMPUTED_VALUE"""),1.0)</f>
        <v>1</v>
      </c>
      <c r="G1901" s="4">
        <f>IFERROR(__xludf.DUMMYFUNCTION("""COMPUTED_VALUE"""),915.0)</f>
        <v>915</v>
      </c>
      <c r="H1901" s="5">
        <f>IFERROR(__xludf.DUMMYFUNCTION("""COMPUTED_VALUE"""),7331.85)</f>
        <v>7331.85</v>
      </c>
      <c r="I1901" s="5">
        <f>IFERROR(__xludf.DUMMYFUNCTION("""COMPUTED_VALUE"""),9205.12)</f>
        <v>9205.12</v>
      </c>
      <c r="J1901" s="5">
        <f>IFERROR(__xludf.DUMMYFUNCTION("""COMPUTED_VALUE"""),6172.66)</f>
        <v>6172.66</v>
      </c>
      <c r="K1901" s="5">
        <f>IFERROR(__xludf.DUMMYFUNCTION("""COMPUTED_VALUE"""),7289.48)</f>
        <v>7289.48</v>
      </c>
      <c r="L1901" s="4">
        <f>IFERROR(__xludf.DUMMYFUNCTION("""COMPUTED_VALUE"""),1.0)</f>
        <v>1</v>
      </c>
      <c r="M1901" s="4">
        <f>IFERROR(__xludf.DUMMYFUNCTION("""COMPUTED_VALUE"""),89.0)</f>
        <v>89</v>
      </c>
      <c r="N1901" s="2" t="str">
        <f>IFERROR(__xludf.DUMMYFUNCTION("""COMPUTED_VALUE"""),"FALSO")</f>
        <v>FALSO</v>
      </c>
    </row>
    <row r="1902">
      <c r="A1902" s="2">
        <f>IFERROR(__xludf.DUMMYFUNCTION("""COMPUTED_VALUE"""),1901.0)</f>
        <v>1901</v>
      </c>
      <c r="B1902" s="2" t="str">
        <f>IFERROR(__xludf.DUMMYFUNCTION("""COMPUTED_VALUE"""),"Feodora Fotitt")</f>
        <v>Feodora Fotitt</v>
      </c>
      <c r="C1902" s="2" t="str">
        <f>IFERROR(__xludf.DUMMYFUNCTION("""COMPUTED_VALUE"""),"ffotittp1@epa.gov")</f>
        <v>ffotittp1@epa.gov</v>
      </c>
      <c r="D1902" s="4">
        <f>IFERROR(__xludf.DUMMYFUNCTION("""COMPUTED_VALUE"""),65.0)</f>
        <v>65</v>
      </c>
      <c r="E1902" s="4">
        <f>IFERROR(__xludf.DUMMYFUNCTION("""COMPUTED_VALUE"""),107.0)</f>
        <v>107</v>
      </c>
      <c r="F1902" s="4">
        <f>IFERROR(__xludf.DUMMYFUNCTION("""COMPUTED_VALUE"""),5.0)</f>
        <v>5</v>
      </c>
      <c r="G1902" s="4">
        <f>IFERROR(__xludf.DUMMYFUNCTION("""COMPUTED_VALUE"""),886.0)</f>
        <v>886</v>
      </c>
      <c r="H1902" s="5">
        <f>IFERROR(__xludf.DUMMYFUNCTION("""COMPUTED_VALUE"""),7402.11)</f>
        <v>7402.11</v>
      </c>
      <c r="I1902" s="5">
        <f>IFERROR(__xludf.DUMMYFUNCTION("""COMPUTED_VALUE"""),5886.1)</f>
        <v>5886.1</v>
      </c>
      <c r="J1902" s="5">
        <f>IFERROR(__xludf.DUMMYFUNCTION("""COMPUTED_VALUE"""),8643.67)</f>
        <v>8643.67</v>
      </c>
      <c r="K1902" s="5">
        <f>IFERROR(__xludf.DUMMYFUNCTION("""COMPUTED_VALUE"""),8637.69)</f>
        <v>8637.69</v>
      </c>
      <c r="L1902" s="4">
        <f>IFERROR(__xludf.DUMMYFUNCTION("""COMPUTED_VALUE"""),17.0)</f>
        <v>17</v>
      </c>
      <c r="M1902" s="4">
        <f>IFERROR(__xludf.DUMMYFUNCTION("""COMPUTED_VALUE"""),90.0)</f>
        <v>90</v>
      </c>
      <c r="N1902" s="2" t="str">
        <f>IFERROR(__xludf.DUMMYFUNCTION("""COMPUTED_VALUE"""),"FALSO")</f>
        <v>FALSO</v>
      </c>
    </row>
    <row r="1903">
      <c r="A1903" s="2">
        <f>IFERROR(__xludf.DUMMYFUNCTION("""COMPUTED_VALUE"""),1902.0)</f>
        <v>1902</v>
      </c>
      <c r="B1903" s="2" t="str">
        <f>IFERROR(__xludf.DUMMYFUNCTION("""COMPUTED_VALUE"""),"Manuel Mathews")</f>
        <v>Manuel Mathews</v>
      </c>
      <c r="C1903" s="2" t="str">
        <f>IFERROR(__xludf.DUMMYFUNCTION("""COMPUTED_VALUE"""),"mmathewsp2@techcrunch.com")</f>
        <v>mmathewsp2@techcrunch.com</v>
      </c>
      <c r="D1903" s="4">
        <f>IFERROR(__xludf.DUMMYFUNCTION("""COMPUTED_VALUE"""),153.0)</f>
        <v>153</v>
      </c>
      <c r="E1903" s="4">
        <f>IFERROR(__xludf.DUMMYFUNCTION("""COMPUTED_VALUE"""),111.0)</f>
        <v>111</v>
      </c>
      <c r="F1903" s="4">
        <f>IFERROR(__xludf.DUMMYFUNCTION("""COMPUTED_VALUE"""),4.0)</f>
        <v>4</v>
      </c>
      <c r="G1903" s="4">
        <f>IFERROR(__xludf.DUMMYFUNCTION("""COMPUTED_VALUE"""),540.0)</f>
        <v>540</v>
      </c>
      <c r="H1903" s="5">
        <f>IFERROR(__xludf.DUMMYFUNCTION("""COMPUTED_VALUE"""),7813.75)</f>
        <v>7813.75</v>
      </c>
      <c r="I1903" s="5">
        <f>IFERROR(__xludf.DUMMYFUNCTION("""COMPUTED_VALUE"""),6094.64)</f>
        <v>6094.64</v>
      </c>
      <c r="J1903" s="5">
        <f>IFERROR(__xludf.DUMMYFUNCTION("""COMPUTED_VALUE"""),4029.08)</f>
        <v>4029.08</v>
      </c>
      <c r="K1903" s="5">
        <f>IFERROR(__xludf.DUMMYFUNCTION("""COMPUTED_VALUE"""),2601.27)</f>
        <v>2601.27</v>
      </c>
      <c r="L1903" s="4">
        <f>IFERROR(__xludf.DUMMYFUNCTION("""COMPUTED_VALUE"""),5.0)</f>
        <v>5</v>
      </c>
      <c r="M1903" s="4">
        <f>IFERROR(__xludf.DUMMYFUNCTION("""COMPUTED_VALUE"""),8.0)</f>
        <v>8</v>
      </c>
      <c r="N1903" s="2" t="str">
        <f>IFERROR(__xludf.DUMMYFUNCTION("""COMPUTED_VALUE"""),"FALSO")</f>
        <v>FALSO</v>
      </c>
    </row>
    <row r="1904">
      <c r="A1904" s="2">
        <f>IFERROR(__xludf.DUMMYFUNCTION("""COMPUTED_VALUE"""),1903.0)</f>
        <v>1903</v>
      </c>
      <c r="B1904" s="2" t="str">
        <f>IFERROR(__xludf.DUMMYFUNCTION("""COMPUTED_VALUE"""),"Dale Biaggioli")</f>
        <v>Dale Biaggioli</v>
      </c>
      <c r="C1904" s="2" t="str">
        <f>IFERROR(__xludf.DUMMYFUNCTION("""COMPUTED_VALUE"""),"dbiaggiolip3@google.co.uk")</f>
        <v>dbiaggiolip3@google.co.uk</v>
      </c>
      <c r="D1904" s="4">
        <f>IFERROR(__xludf.DUMMYFUNCTION("""COMPUTED_VALUE"""),29.0)</f>
        <v>29</v>
      </c>
      <c r="E1904" s="4">
        <f>IFERROR(__xludf.DUMMYFUNCTION("""COMPUTED_VALUE"""),62.0)</f>
        <v>62</v>
      </c>
      <c r="F1904" s="4">
        <f>IFERROR(__xludf.DUMMYFUNCTION("""COMPUTED_VALUE"""),4.0)</f>
        <v>4</v>
      </c>
      <c r="G1904" s="4">
        <f>IFERROR(__xludf.DUMMYFUNCTION("""COMPUTED_VALUE"""),81.0)</f>
        <v>81</v>
      </c>
      <c r="H1904" s="5">
        <f>IFERROR(__xludf.DUMMYFUNCTION("""COMPUTED_VALUE"""),9653.46)</f>
        <v>9653.46</v>
      </c>
      <c r="I1904" s="5">
        <f>IFERROR(__xludf.DUMMYFUNCTION("""COMPUTED_VALUE"""),3911.64)</f>
        <v>3911.64</v>
      </c>
      <c r="J1904" s="5">
        <f>IFERROR(__xludf.DUMMYFUNCTION("""COMPUTED_VALUE"""),5621.83)</f>
        <v>5621.83</v>
      </c>
      <c r="K1904" s="5">
        <f>IFERROR(__xludf.DUMMYFUNCTION("""COMPUTED_VALUE"""),2689.84)</f>
        <v>2689.84</v>
      </c>
      <c r="L1904" s="4">
        <f>IFERROR(__xludf.DUMMYFUNCTION("""COMPUTED_VALUE"""),11.0)</f>
        <v>11</v>
      </c>
      <c r="M1904" s="4">
        <f>IFERROR(__xludf.DUMMYFUNCTION("""COMPUTED_VALUE"""),45.0)</f>
        <v>45</v>
      </c>
      <c r="N1904" s="2" t="str">
        <f>IFERROR(__xludf.DUMMYFUNCTION("""COMPUTED_VALUE"""),"VERDADERO")</f>
        <v>VERDADERO</v>
      </c>
    </row>
    <row r="1905">
      <c r="A1905" s="2">
        <f>IFERROR(__xludf.DUMMYFUNCTION("""COMPUTED_VALUE"""),1904.0)</f>
        <v>1904</v>
      </c>
      <c r="B1905" s="2" t="str">
        <f>IFERROR(__xludf.DUMMYFUNCTION("""COMPUTED_VALUE"""),"Darb Neem")</f>
        <v>Darb Neem</v>
      </c>
      <c r="C1905" s="2" t="str">
        <f>IFERROR(__xludf.DUMMYFUNCTION("""COMPUTED_VALUE"""),"dneemp4@posterous.com")</f>
        <v>dneemp4@posterous.com</v>
      </c>
      <c r="D1905" s="4">
        <f>IFERROR(__xludf.DUMMYFUNCTION("""COMPUTED_VALUE"""),150.0)</f>
        <v>150</v>
      </c>
      <c r="E1905" s="4">
        <f>IFERROR(__xludf.DUMMYFUNCTION("""COMPUTED_VALUE"""),40.0)</f>
        <v>40</v>
      </c>
      <c r="F1905" s="4">
        <f>IFERROR(__xludf.DUMMYFUNCTION("""COMPUTED_VALUE"""),1.0)</f>
        <v>1</v>
      </c>
      <c r="G1905" s="4">
        <f>IFERROR(__xludf.DUMMYFUNCTION("""COMPUTED_VALUE"""),520.0)</f>
        <v>520</v>
      </c>
      <c r="H1905" s="5">
        <f>IFERROR(__xludf.DUMMYFUNCTION("""COMPUTED_VALUE"""),4824.93)</f>
        <v>4824.93</v>
      </c>
      <c r="I1905" s="5">
        <f>IFERROR(__xludf.DUMMYFUNCTION("""COMPUTED_VALUE"""),2942.15)</f>
        <v>2942.15</v>
      </c>
      <c r="J1905" s="5">
        <f>IFERROR(__xludf.DUMMYFUNCTION("""COMPUTED_VALUE"""),3967.43)</f>
        <v>3967.43</v>
      </c>
      <c r="K1905" s="5">
        <f>IFERROR(__xludf.DUMMYFUNCTION("""COMPUTED_VALUE"""),6407.75)</f>
        <v>6407.75</v>
      </c>
      <c r="L1905" s="4">
        <f>IFERROR(__xludf.DUMMYFUNCTION("""COMPUTED_VALUE"""),20.0)</f>
        <v>20</v>
      </c>
      <c r="M1905" s="4">
        <f>IFERROR(__xludf.DUMMYFUNCTION("""COMPUTED_VALUE"""),65.0)</f>
        <v>65</v>
      </c>
      <c r="N1905" s="2" t="str">
        <f>IFERROR(__xludf.DUMMYFUNCTION("""COMPUTED_VALUE"""),"FALSO")</f>
        <v>FALSO</v>
      </c>
    </row>
    <row r="1906">
      <c r="A1906" s="2">
        <f>IFERROR(__xludf.DUMMYFUNCTION("""COMPUTED_VALUE"""),1905.0)</f>
        <v>1905</v>
      </c>
      <c r="B1906" s="2" t="str">
        <f>IFERROR(__xludf.DUMMYFUNCTION("""COMPUTED_VALUE"""),"Roderigo Hynd")</f>
        <v>Roderigo Hynd</v>
      </c>
      <c r="C1906" s="2" t="str">
        <f>IFERROR(__xludf.DUMMYFUNCTION("""COMPUTED_VALUE"""),"rhyndp5@reddit.com")</f>
        <v>rhyndp5@reddit.com</v>
      </c>
      <c r="D1906" s="4">
        <f>IFERROR(__xludf.DUMMYFUNCTION("""COMPUTED_VALUE"""),29.0)</f>
        <v>29</v>
      </c>
      <c r="E1906" s="4">
        <f>IFERROR(__xludf.DUMMYFUNCTION("""COMPUTED_VALUE"""),107.0)</f>
        <v>107</v>
      </c>
      <c r="F1906" s="4">
        <f>IFERROR(__xludf.DUMMYFUNCTION("""COMPUTED_VALUE"""),5.0)</f>
        <v>5</v>
      </c>
      <c r="G1906" s="4">
        <f>IFERROR(__xludf.DUMMYFUNCTION("""COMPUTED_VALUE"""),1178.0)</f>
        <v>1178</v>
      </c>
      <c r="H1906" s="5">
        <f>IFERROR(__xludf.DUMMYFUNCTION("""COMPUTED_VALUE"""),1564.4)</f>
        <v>1564.4</v>
      </c>
      <c r="I1906" s="5">
        <f>IFERROR(__xludf.DUMMYFUNCTION("""COMPUTED_VALUE"""),7012.93)</f>
        <v>7012.93</v>
      </c>
      <c r="J1906" s="5">
        <f>IFERROR(__xludf.DUMMYFUNCTION("""COMPUTED_VALUE"""),723.05)</f>
        <v>723.05</v>
      </c>
      <c r="K1906" s="5">
        <f>IFERROR(__xludf.DUMMYFUNCTION("""COMPUTED_VALUE"""),3173.26)</f>
        <v>3173.26</v>
      </c>
      <c r="L1906" s="4">
        <f>IFERROR(__xludf.DUMMYFUNCTION("""COMPUTED_VALUE"""),20.0)</f>
        <v>20</v>
      </c>
      <c r="M1906" s="4">
        <f>IFERROR(__xludf.DUMMYFUNCTION("""COMPUTED_VALUE"""),58.0)</f>
        <v>58</v>
      </c>
      <c r="N1906" s="2" t="str">
        <f>IFERROR(__xludf.DUMMYFUNCTION("""COMPUTED_VALUE"""),"VERDADERO")</f>
        <v>VERDADERO</v>
      </c>
    </row>
    <row r="1907">
      <c r="A1907" s="2">
        <f>IFERROR(__xludf.DUMMYFUNCTION("""COMPUTED_VALUE"""),1906.0)</f>
        <v>1906</v>
      </c>
      <c r="B1907" s="2" t="str">
        <f>IFERROR(__xludf.DUMMYFUNCTION("""COMPUTED_VALUE"""),"Lissa Tourne")</f>
        <v>Lissa Tourne</v>
      </c>
      <c r="C1907" s="2" t="str">
        <f>IFERROR(__xludf.DUMMYFUNCTION("""COMPUTED_VALUE"""),"ltournep6@telegraph.co.uk")</f>
        <v>ltournep6@telegraph.co.uk</v>
      </c>
      <c r="D1907" s="4">
        <f>IFERROR(__xludf.DUMMYFUNCTION("""COMPUTED_VALUE"""),65.0)</f>
        <v>65</v>
      </c>
      <c r="E1907" s="4">
        <f>IFERROR(__xludf.DUMMYFUNCTION("""COMPUTED_VALUE"""),90.0)</f>
        <v>90</v>
      </c>
      <c r="F1907" s="4">
        <f>IFERROR(__xludf.DUMMYFUNCTION("""COMPUTED_VALUE"""),5.0)</f>
        <v>5</v>
      </c>
      <c r="G1907" s="4">
        <f>IFERROR(__xludf.DUMMYFUNCTION("""COMPUTED_VALUE"""),398.0)</f>
        <v>398</v>
      </c>
      <c r="H1907" s="5">
        <f>IFERROR(__xludf.DUMMYFUNCTION("""COMPUTED_VALUE"""),1780.64)</f>
        <v>1780.64</v>
      </c>
      <c r="I1907" s="5">
        <f>IFERROR(__xludf.DUMMYFUNCTION("""COMPUTED_VALUE"""),3711.94)</f>
        <v>3711.94</v>
      </c>
      <c r="J1907" s="5">
        <f>IFERROR(__xludf.DUMMYFUNCTION("""COMPUTED_VALUE"""),1682.52)</f>
        <v>1682.52</v>
      </c>
      <c r="K1907" s="5">
        <f>IFERROR(__xludf.DUMMYFUNCTION("""COMPUTED_VALUE"""),8447.5)</f>
        <v>8447.5</v>
      </c>
      <c r="L1907" s="4">
        <f>IFERROR(__xludf.DUMMYFUNCTION("""COMPUTED_VALUE"""),3.0)</f>
        <v>3</v>
      </c>
      <c r="M1907" s="4">
        <f>IFERROR(__xludf.DUMMYFUNCTION("""COMPUTED_VALUE"""),78.0)</f>
        <v>78</v>
      </c>
      <c r="N1907" s="2" t="str">
        <f>IFERROR(__xludf.DUMMYFUNCTION("""COMPUTED_VALUE"""),"FALSO")</f>
        <v>FALSO</v>
      </c>
    </row>
    <row r="1908">
      <c r="A1908" s="2">
        <f>IFERROR(__xludf.DUMMYFUNCTION("""COMPUTED_VALUE"""),1907.0)</f>
        <v>1907</v>
      </c>
      <c r="B1908" s="2" t="str">
        <f>IFERROR(__xludf.DUMMYFUNCTION("""COMPUTED_VALUE"""),"Lynnett Josephsen")</f>
        <v>Lynnett Josephsen</v>
      </c>
      <c r="C1908" s="2" t="str">
        <f>IFERROR(__xludf.DUMMYFUNCTION("""COMPUTED_VALUE"""),"ljosephsenp7@vistaprint.com")</f>
        <v>ljosephsenp7@vistaprint.com</v>
      </c>
      <c r="D1908" s="4">
        <f>IFERROR(__xludf.DUMMYFUNCTION("""COMPUTED_VALUE"""),153.0)</f>
        <v>153</v>
      </c>
      <c r="E1908" s="4">
        <f>IFERROR(__xludf.DUMMYFUNCTION("""COMPUTED_VALUE"""),39.0)</f>
        <v>39</v>
      </c>
      <c r="F1908" s="4">
        <f>IFERROR(__xludf.DUMMYFUNCTION("""COMPUTED_VALUE"""),11.0)</f>
        <v>11</v>
      </c>
      <c r="G1908" s="4">
        <f>IFERROR(__xludf.DUMMYFUNCTION("""COMPUTED_VALUE"""),751.0)</f>
        <v>751</v>
      </c>
      <c r="H1908" s="5">
        <f>IFERROR(__xludf.DUMMYFUNCTION("""COMPUTED_VALUE"""),1827.73)</f>
        <v>1827.73</v>
      </c>
      <c r="I1908" s="5">
        <f>IFERROR(__xludf.DUMMYFUNCTION("""COMPUTED_VALUE"""),1741.56)</f>
        <v>1741.56</v>
      </c>
      <c r="J1908" s="5">
        <f>IFERROR(__xludf.DUMMYFUNCTION("""COMPUTED_VALUE"""),4499.02)</f>
        <v>4499.02</v>
      </c>
      <c r="K1908" s="5">
        <f>IFERROR(__xludf.DUMMYFUNCTION("""COMPUTED_VALUE"""),7612.77)</f>
        <v>7612.77</v>
      </c>
      <c r="L1908" s="4">
        <f>IFERROR(__xludf.DUMMYFUNCTION("""COMPUTED_VALUE"""),10.0)</f>
        <v>10</v>
      </c>
      <c r="M1908" s="4">
        <f>IFERROR(__xludf.DUMMYFUNCTION("""COMPUTED_VALUE"""),89.0)</f>
        <v>89</v>
      </c>
      <c r="N1908" s="2" t="str">
        <f>IFERROR(__xludf.DUMMYFUNCTION("""COMPUTED_VALUE"""),"FALSO")</f>
        <v>FALSO</v>
      </c>
    </row>
    <row r="1909">
      <c r="A1909" s="2">
        <f>IFERROR(__xludf.DUMMYFUNCTION("""COMPUTED_VALUE"""),1908.0)</f>
        <v>1908</v>
      </c>
      <c r="B1909" s="2" t="str">
        <f>IFERROR(__xludf.DUMMYFUNCTION("""COMPUTED_VALUE"""),"Guss Imloch")</f>
        <v>Guss Imloch</v>
      </c>
      <c r="C1909" s="2" t="str">
        <f>IFERROR(__xludf.DUMMYFUNCTION("""COMPUTED_VALUE"""),"gimlochp8@wikispaces.com")</f>
        <v>gimlochp8@wikispaces.com</v>
      </c>
      <c r="D1909" s="4">
        <f>IFERROR(__xludf.DUMMYFUNCTION("""COMPUTED_VALUE"""),30.0)</f>
        <v>30</v>
      </c>
      <c r="E1909" s="4">
        <f>IFERROR(__xludf.DUMMYFUNCTION("""COMPUTED_VALUE"""),72.0)</f>
        <v>72</v>
      </c>
      <c r="F1909" s="4">
        <f>IFERROR(__xludf.DUMMYFUNCTION("""COMPUTED_VALUE"""),6.0)</f>
        <v>6</v>
      </c>
      <c r="G1909" s="4">
        <f>IFERROR(__xludf.DUMMYFUNCTION("""COMPUTED_VALUE"""),1111.0)</f>
        <v>1111</v>
      </c>
      <c r="H1909" s="5">
        <f>IFERROR(__xludf.DUMMYFUNCTION("""COMPUTED_VALUE"""),1954.9)</f>
        <v>1954.9</v>
      </c>
      <c r="I1909" s="5">
        <f>IFERROR(__xludf.DUMMYFUNCTION("""COMPUTED_VALUE"""),4590.97)</f>
        <v>4590.97</v>
      </c>
      <c r="J1909" s="5">
        <f>IFERROR(__xludf.DUMMYFUNCTION("""COMPUTED_VALUE"""),5124.44)</f>
        <v>5124.44</v>
      </c>
      <c r="K1909" s="5">
        <f>IFERROR(__xludf.DUMMYFUNCTION("""COMPUTED_VALUE"""),9963.9)</f>
        <v>9963.9</v>
      </c>
      <c r="L1909" s="4">
        <f>IFERROR(__xludf.DUMMYFUNCTION("""COMPUTED_VALUE"""),2.0)</f>
        <v>2</v>
      </c>
      <c r="M1909" s="4">
        <f>IFERROR(__xludf.DUMMYFUNCTION("""COMPUTED_VALUE"""),22.0)</f>
        <v>22</v>
      </c>
      <c r="N1909" s="2" t="str">
        <f>IFERROR(__xludf.DUMMYFUNCTION("""COMPUTED_VALUE"""),"FALSO")</f>
        <v>FALSO</v>
      </c>
    </row>
    <row r="1910">
      <c r="A1910" s="2">
        <f>IFERROR(__xludf.DUMMYFUNCTION("""COMPUTED_VALUE"""),1909.0)</f>
        <v>1909</v>
      </c>
      <c r="B1910" s="2" t="str">
        <f>IFERROR(__xludf.DUMMYFUNCTION("""COMPUTED_VALUE"""),"Idette Renac")</f>
        <v>Idette Renac</v>
      </c>
      <c r="C1910" s="2" t="str">
        <f>IFERROR(__xludf.DUMMYFUNCTION("""COMPUTED_VALUE"""),"irenacp9@wp.com")</f>
        <v>irenacp9@wp.com</v>
      </c>
      <c r="D1910" s="4">
        <f>IFERROR(__xludf.DUMMYFUNCTION("""COMPUTED_VALUE"""),121.0)</f>
        <v>121</v>
      </c>
      <c r="E1910" s="4">
        <f>IFERROR(__xludf.DUMMYFUNCTION("""COMPUTED_VALUE"""),81.0)</f>
        <v>81</v>
      </c>
      <c r="F1910" s="4">
        <f>IFERROR(__xludf.DUMMYFUNCTION("""COMPUTED_VALUE"""),2.0)</f>
        <v>2</v>
      </c>
      <c r="G1910" s="4">
        <f>IFERROR(__xludf.DUMMYFUNCTION("""COMPUTED_VALUE"""),93.0)</f>
        <v>93</v>
      </c>
      <c r="H1910" s="5">
        <f>IFERROR(__xludf.DUMMYFUNCTION("""COMPUTED_VALUE"""),971.92)</f>
        <v>971.92</v>
      </c>
      <c r="I1910" s="5">
        <f>IFERROR(__xludf.DUMMYFUNCTION("""COMPUTED_VALUE"""),4957.34)</f>
        <v>4957.34</v>
      </c>
      <c r="J1910" s="5">
        <f>IFERROR(__xludf.DUMMYFUNCTION("""COMPUTED_VALUE"""),7629.99)</f>
        <v>7629.99</v>
      </c>
      <c r="K1910" s="5">
        <f>IFERROR(__xludf.DUMMYFUNCTION("""COMPUTED_VALUE"""),4204.96)</f>
        <v>4204.96</v>
      </c>
      <c r="L1910" s="4">
        <f>IFERROR(__xludf.DUMMYFUNCTION("""COMPUTED_VALUE"""),4.0)</f>
        <v>4</v>
      </c>
      <c r="M1910" s="4">
        <f>IFERROR(__xludf.DUMMYFUNCTION("""COMPUTED_VALUE"""),94.0)</f>
        <v>94</v>
      </c>
      <c r="N1910" s="2" t="str">
        <f>IFERROR(__xludf.DUMMYFUNCTION("""COMPUTED_VALUE"""),"FALSO")</f>
        <v>FALSO</v>
      </c>
    </row>
    <row r="1911">
      <c r="A1911" s="2">
        <f>IFERROR(__xludf.DUMMYFUNCTION("""COMPUTED_VALUE"""),1910.0)</f>
        <v>1910</v>
      </c>
      <c r="B1911" s="2" t="str">
        <f>IFERROR(__xludf.DUMMYFUNCTION("""COMPUTED_VALUE"""),"Elmer Semper")</f>
        <v>Elmer Semper</v>
      </c>
      <c r="C1911" s="2" t="str">
        <f>IFERROR(__xludf.DUMMYFUNCTION("""COMPUTED_VALUE"""),"esemperpa@ning.com")</f>
        <v>esemperpa@ning.com</v>
      </c>
      <c r="D1911" s="4">
        <f>IFERROR(__xludf.DUMMYFUNCTION("""COMPUTED_VALUE"""),108.0)</f>
        <v>108</v>
      </c>
      <c r="E1911" s="4">
        <f>IFERROR(__xludf.DUMMYFUNCTION("""COMPUTED_VALUE"""),120.0)</f>
        <v>120</v>
      </c>
      <c r="F1911" s="4">
        <f>IFERROR(__xludf.DUMMYFUNCTION("""COMPUTED_VALUE"""),5.0)</f>
        <v>5</v>
      </c>
      <c r="G1911" s="4">
        <f>IFERROR(__xludf.DUMMYFUNCTION("""COMPUTED_VALUE"""),1284.0)</f>
        <v>1284</v>
      </c>
      <c r="H1911" s="5">
        <f>IFERROR(__xludf.DUMMYFUNCTION("""COMPUTED_VALUE"""),5914.34)</f>
        <v>5914.34</v>
      </c>
      <c r="I1911" s="5">
        <f>IFERROR(__xludf.DUMMYFUNCTION("""COMPUTED_VALUE"""),9653.59)</f>
        <v>9653.59</v>
      </c>
      <c r="J1911" s="5">
        <f>IFERROR(__xludf.DUMMYFUNCTION("""COMPUTED_VALUE"""),437.71)</f>
        <v>437.71</v>
      </c>
      <c r="K1911" s="5">
        <f>IFERROR(__xludf.DUMMYFUNCTION("""COMPUTED_VALUE"""),3224.5)</f>
        <v>3224.5</v>
      </c>
      <c r="L1911" s="4">
        <f>IFERROR(__xludf.DUMMYFUNCTION("""COMPUTED_VALUE"""),16.0)</f>
        <v>16</v>
      </c>
      <c r="M1911" s="4">
        <f>IFERROR(__xludf.DUMMYFUNCTION("""COMPUTED_VALUE"""),46.0)</f>
        <v>46</v>
      </c>
      <c r="N1911" s="2" t="str">
        <f>IFERROR(__xludf.DUMMYFUNCTION("""COMPUTED_VALUE"""),"VERDADERO")</f>
        <v>VERDADERO</v>
      </c>
    </row>
    <row r="1912">
      <c r="A1912" s="2">
        <f>IFERROR(__xludf.DUMMYFUNCTION("""COMPUTED_VALUE"""),1911.0)</f>
        <v>1911</v>
      </c>
      <c r="B1912" s="2" t="str">
        <f>IFERROR(__xludf.DUMMYFUNCTION("""COMPUTED_VALUE"""),"Etienne D'Ambrosi")</f>
        <v>Etienne D'Ambrosi</v>
      </c>
      <c r="C1912" s="2" t="str">
        <f>IFERROR(__xludf.DUMMYFUNCTION("""COMPUTED_VALUE"""),"edambrosipb@wikispaces.com")</f>
        <v>edambrosipb@wikispaces.com</v>
      </c>
      <c r="D1912" s="4">
        <f>IFERROR(__xludf.DUMMYFUNCTION("""COMPUTED_VALUE"""),29.0)</f>
        <v>29</v>
      </c>
      <c r="E1912" s="4">
        <f>IFERROR(__xludf.DUMMYFUNCTION("""COMPUTED_VALUE"""),64.0)</f>
        <v>64</v>
      </c>
      <c r="F1912" s="4">
        <f>IFERROR(__xludf.DUMMYFUNCTION("""COMPUTED_VALUE"""),4.0)</f>
        <v>4</v>
      </c>
      <c r="G1912" s="4">
        <f>IFERROR(__xludf.DUMMYFUNCTION("""COMPUTED_VALUE"""),974.0)</f>
        <v>974</v>
      </c>
      <c r="H1912" s="5">
        <f>IFERROR(__xludf.DUMMYFUNCTION("""COMPUTED_VALUE"""),5823.85)</f>
        <v>5823.85</v>
      </c>
      <c r="I1912" s="5">
        <f>IFERROR(__xludf.DUMMYFUNCTION("""COMPUTED_VALUE"""),5628.73)</f>
        <v>5628.73</v>
      </c>
      <c r="J1912" s="5">
        <f>IFERROR(__xludf.DUMMYFUNCTION("""COMPUTED_VALUE"""),9360.81)</f>
        <v>9360.81</v>
      </c>
      <c r="K1912" s="5">
        <f>IFERROR(__xludf.DUMMYFUNCTION("""COMPUTED_VALUE"""),4257.69)</f>
        <v>4257.69</v>
      </c>
      <c r="L1912" s="4">
        <f>IFERROR(__xludf.DUMMYFUNCTION("""COMPUTED_VALUE"""),2.0)</f>
        <v>2</v>
      </c>
      <c r="M1912" s="4">
        <f>IFERROR(__xludf.DUMMYFUNCTION("""COMPUTED_VALUE"""),12.0)</f>
        <v>12</v>
      </c>
      <c r="N1912" s="2" t="str">
        <f>IFERROR(__xludf.DUMMYFUNCTION("""COMPUTED_VALUE"""),"VERDADERO")</f>
        <v>VERDADERO</v>
      </c>
    </row>
    <row r="1913">
      <c r="A1913" s="2">
        <f>IFERROR(__xludf.DUMMYFUNCTION("""COMPUTED_VALUE"""),1912.0)</f>
        <v>1912</v>
      </c>
      <c r="B1913" s="2" t="str">
        <f>IFERROR(__xludf.DUMMYFUNCTION("""COMPUTED_VALUE"""),"Kinna Scryne")</f>
        <v>Kinna Scryne</v>
      </c>
      <c r="C1913" s="2" t="str">
        <f>IFERROR(__xludf.DUMMYFUNCTION("""COMPUTED_VALUE"""),"kscrynepc@taobao.com")</f>
        <v>kscrynepc@taobao.com</v>
      </c>
      <c r="D1913" s="4">
        <f>IFERROR(__xludf.DUMMYFUNCTION("""COMPUTED_VALUE"""),157.0)</f>
        <v>157</v>
      </c>
      <c r="E1913" s="4">
        <f>IFERROR(__xludf.DUMMYFUNCTION("""COMPUTED_VALUE"""),112.0)</f>
        <v>112</v>
      </c>
      <c r="F1913" s="4">
        <f>IFERROR(__xludf.DUMMYFUNCTION("""COMPUTED_VALUE"""),11.0)</f>
        <v>11</v>
      </c>
      <c r="G1913" s="4">
        <f>IFERROR(__xludf.DUMMYFUNCTION("""COMPUTED_VALUE"""),838.0)</f>
        <v>838</v>
      </c>
      <c r="H1913" s="5">
        <f>IFERROR(__xludf.DUMMYFUNCTION("""COMPUTED_VALUE"""),2463.55)</f>
        <v>2463.55</v>
      </c>
      <c r="I1913" s="5">
        <f>IFERROR(__xludf.DUMMYFUNCTION("""COMPUTED_VALUE"""),5067.74)</f>
        <v>5067.74</v>
      </c>
      <c r="J1913" s="5">
        <f>IFERROR(__xludf.DUMMYFUNCTION("""COMPUTED_VALUE"""),8748.35)</f>
        <v>8748.35</v>
      </c>
      <c r="K1913" s="5">
        <f>IFERROR(__xludf.DUMMYFUNCTION("""COMPUTED_VALUE"""),6348.39)</f>
        <v>6348.39</v>
      </c>
      <c r="L1913" s="4">
        <f>IFERROR(__xludf.DUMMYFUNCTION("""COMPUTED_VALUE"""),6.0)</f>
        <v>6</v>
      </c>
      <c r="M1913" s="4">
        <f>IFERROR(__xludf.DUMMYFUNCTION("""COMPUTED_VALUE"""),62.0)</f>
        <v>62</v>
      </c>
      <c r="N1913" s="2" t="str">
        <f>IFERROR(__xludf.DUMMYFUNCTION("""COMPUTED_VALUE"""),"VERDADERO")</f>
        <v>VERDADERO</v>
      </c>
    </row>
    <row r="1914">
      <c r="A1914" s="2">
        <f>IFERROR(__xludf.DUMMYFUNCTION("""COMPUTED_VALUE"""),1913.0)</f>
        <v>1913</v>
      </c>
      <c r="B1914" s="2" t="str">
        <f>IFERROR(__xludf.DUMMYFUNCTION("""COMPUTED_VALUE"""),"Kinna Klaggeman")</f>
        <v>Kinna Klaggeman</v>
      </c>
      <c r="C1914" s="2" t="str">
        <f>IFERROR(__xludf.DUMMYFUNCTION("""COMPUTED_VALUE"""),"kklaggemanpd@ucoz.ru")</f>
        <v>kklaggemanpd@ucoz.ru</v>
      </c>
      <c r="D1914" s="4">
        <f>IFERROR(__xludf.DUMMYFUNCTION("""COMPUTED_VALUE"""),65.0)</f>
        <v>65</v>
      </c>
      <c r="E1914" s="4">
        <f>IFERROR(__xludf.DUMMYFUNCTION("""COMPUTED_VALUE"""),29.0)</f>
        <v>29</v>
      </c>
      <c r="F1914" s="4">
        <f>IFERROR(__xludf.DUMMYFUNCTION("""COMPUTED_VALUE"""),11.0)</f>
        <v>11</v>
      </c>
      <c r="G1914" s="4">
        <f>IFERROR(__xludf.DUMMYFUNCTION("""COMPUTED_VALUE"""),501.0)</f>
        <v>501</v>
      </c>
      <c r="H1914" s="5">
        <f>IFERROR(__xludf.DUMMYFUNCTION("""COMPUTED_VALUE"""),4389.1)</f>
        <v>4389.1</v>
      </c>
      <c r="I1914" s="5">
        <f>IFERROR(__xludf.DUMMYFUNCTION("""COMPUTED_VALUE"""),6036.31)</f>
        <v>6036.31</v>
      </c>
      <c r="J1914" s="5">
        <f>IFERROR(__xludf.DUMMYFUNCTION("""COMPUTED_VALUE"""),4062.83)</f>
        <v>4062.83</v>
      </c>
      <c r="K1914" s="5">
        <f>IFERROR(__xludf.DUMMYFUNCTION("""COMPUTED_VALUE"""),5969.84)</f>
        <v>5969.84</v>
      </c>
      <c r="L1914" s="4">
        <f>IFERROR(__xludf.DUMMYFUNCTION("""COMPUTED_VALUE"""),3.0)</f>
        <v>3</v>
      </c>
      <c r="M1914" s="4">
        <f>IFERROR(__xludf.DUMMYFUNCTION("""COMPUTED_VALUE"""),4.0)</f>
        <v>4</v>
      </c>
      <c r="N1914" s="2" t="str">
        <f>IFERROR(__xludf.DUMMYFUNCTION("""COMPUTED_VALUE"""),"VERDADERO")</f>
        <v>VERDADERO</v>
      </c>
    </row>
    <row r="1915">
      <c r="A1915" s="2">
        <f>IFERROR(__xludf.DUMMYFUNCTION("""COMPUTED_VALUE"""),1914.0)</f>
        <v>1914</v>
      </c>
      <c r="B1915" s="2" t="str">
        <f>IFERROR(__xludf.DUMMYFUNCTION("""COMPUTED_VALUE"""),"Joseito MacVean")</f>
        <v>Joseito MacVean</v>
      </c>
      <c r="C1915" s="2" t="str">
        <f>IFERROR(__xludf.DUMMYFUNCTION("""COMPUTED_VALUE"""),"jmacveanpe@taobao.com")</f>
        <v>jmacveanpe@taobao.com</v>
      </c>
      <c r="D1915" s="4">
        <f>IFERROR(__xludf.DUMMYFUNCTION("""COMPUTED_VALUE"""),65.0)</f>
        <v>65</v>
      </c>
      <c r="E1915" s="4">
        <f>IFERROR(__xludf.DUMMYFUNCTION("""COMPUTED_VALUE"""),29.0)</f>
        <v>29</v>
      </c>
      <c r="F1915" s="4">
        <f>IFERROR(__xludf.DUMMYFUNCTION("""COMPUTED_VALUE"""),11.0)</f>
        <v>11</v>
      </c>
      <c r="G1915" s="4">
        <f>IFERROR(__xludf.DUMMYFUNCTION("""COMPUTED_VALUE"""),537.0)</f>
        <v>537</v>
      </c>
      <c r="H1915" s="5">
        <f>IFERROR(__xludf.DUMMYFUNCTION("""COMPUTED_VALUE"""),2757.73)</f>
        <v>2757.73</v>
      </c>
      <c r="I1915" s="5">
        <f>IFERROR(__xludf.DUMMYFUNCTION("""COMPUTED_VALUE"""),5531.0)</f>
        <v>5531</v>
      </c>
      <c r="J1915" s="5">
        <f>IFERROR(__xludf.DUMMYFUNCTION("""COMPUTED_VALUE"""),3365.96)</f>
        <v>3365.96</v>
      </c>
      <c r="K1915" s="5">
        <f>IFERROR(__xludf.DUMMYFUNCTION("""COMPUTED_VALUE"""),172.24)</f>
        <v>172.24</v>
      </c>
      <c r="L1915" s="4">
        <f>IFERROR(__xludf.DUMMYFUNCTION("""COMPUTED_VALUE"""),19.0)</f>
        <v>19</v>
      </c>
      <c r="M1915" s="4">
        <f>IFERROR(__xludf.DUMMYFUNCTION("""COMPUTED_VALUE"""),72.0)</f>
        <v>72</v>
      </c>
      <c r="N1915" s="2" t="str">
        <f>IFERROR(__xludf.DUMMYFUNCTION("""COMPUTED_VALUE"""),"FALSO")</f>
        <v>FALSO</v>
      </c>
    </row>
    <row r="1916">
      <c r="A1916" s="2">
        <f>IFERROR(__xludf.DUMMYFUNCTION("""COMPUTED_VALUE"""),1915.0)</f>
        <v>1915</v>
      </c>
      <c r="B1916" s="2" t="str">
        <f>IFERROR(__xludf.DUMMYFUNCTION("""COMPUTED_VALUE"""),"Davie Asey")</f>
        <v>Davie Asey</v>
      </c>
      <c r="C1916" s="2" t="str">
        <f>IFERROR(__xludf.DUMMYFUNCTION("""COMPUTED_VALUE"""),"daseypf@cbsnews.com")</f>
        <v>daseypf@cbsnews.com</v>
      </c>
      <c r="D1916" s="4">
        <f>IFERROR(__xludf.DUMMYFUNCTION("""COMPUTED_VALUE"""),150.0)</f>
        <v>150</v>
      </c>
      <c r="E1916" s="4">
        <f>IFERROR(__xludf.DUMMYFUNCTION("""COMPUTED_VALUE"""),64.0)</f>
        <v>64</v>
      </c>
      <c r="F1916" s="4">
        <f>IFERROR(__xludf.DUMMYFUNCTION("""COMPUTED_VALUE"""),4.0)</f>
        <v>4</v>
      </c>
      <c r="G1916" s="4">
        <f>IFERROR(__xludf.DUMMYFUNCTION("""COMPUTED_VALUE"""),607.0)</f>
        <v>607</v>
      </c>
      <c r="H1916" s="5">
        <f>IFERROR(__xludf.DUMMYFUNCTION("""COMPUTED_VALUE"""),5425.14)</f>
        <v>5425.14</v>
      </c>
      <c r="I1916" s="5">
        <f>IFERROR(__xludf.DUMMYFUNCTION("""COMPUTED_VALUE"""),6883.24)</f>
        <v>6883.24</v>
      </c>
      <c r="J1916" s="5">
        <f>IFERROR(__xludf.DUMMYFUNCTION("""COMPUTED_VALUE"""),1126.38)</f>
        <v>1126.38</v>
      </c>
      <c r="K1916" s="5">
        <f>IFERROR(__xludf.DUMMYFUNCTION("""COMPUTED_VALUE"""),4674.13)</f>
        <v>4674.13</v>
      </c>
      <c r="L1916" s="4">
        <f>IFERROR(__xludf.DUMMYFUNCTION("""COMPUTED_VALUE"""),5.0)</f>
        <v>5</v>
      </c>
      <c r="M1916" s="4">
        <f>IFERROR(__xludf.DUMMYFUNCTION("""COMPUTED_VALUE"""),87.0)</f>
        <v>87</v>
      </c>
      <c r="N1916" s="2" t="str">
        <f>IFERROR(__xludf.DUMMYFUNCTION("""COMPUTED_VALUE"""),"VERDADERO")</f>
        <v>VERDADERO</v>
      </c>
    </row>
    <row r="1917">
      <c r="A1917" s="2">
        <f>IFERROR(__xludf.DUMMYFUNCTION("""COMPUTED_VALUE"""),1916.0)</f>
        <v>1916</v>
      </c>
      <c r="B1917" s="2" t="str">
        <f>IFERROR(__xludf.DUMMYFUNCTION("""COMPUTED_VALUE"""),"Arlin Monckton")</f>
        <v>Arlin Monckton</v>
      </c>
      <c r="C1917" s="2" t="str">
        <f>IFERROR(__xludf.DUMMYFUNCTION("""COMPUTED_VALUE"""),"amoncktonpg@ca.gov")</f>
        <v>amoncktonpg@ca.gov</v>
      </c>
      <c r="D1917" s="4">
        <f>IFERROR(__xludf.DUMMYFUNCTION("""COMPUTED_VALUE"""),49.0)</f>
        <v>49</v>
      </c>
      <c r="E1917" s="4">
        <f>IFERROR(__xludf.DUMMYFUNCTION("""COMPUTED_VALUE"""),71.0)</f>
        <v>71</v>
      </c>
      <c r="F1917" s="4">
        <f>IFERROR(__xludf.DUMMYFUNCTION("""COMPUTED_VALUE"""),6.0)</f>
        <v>6</v>
      </c>
      <c r="G1917" s="4">
        <f>IFERROR(__xludf.DUMMYFUNCTION("""COMPUTED_VALUE"""),644.0)</f>
        <v>644</v>
      </c>
      <c r="H1917" s="5">
        <f>IFERROR(__xludf.DUMMYFUNCTION("""COMPUTED_VALUE"""),5683.31)</f>
        <v>5683.31</v>
      </c>
      <c r="I1917" s="5">
        <f>IFERROR(__xludf.DUMMYFUNCTION("""COMPUTED_VALUE"""),2575.98)</f>
        <v>2575.98</v>
      </c>
      <c r="J1917" s="5">
        <f>IFERROR(__xludf.DUMMYFUNCTION("""COMPUTED_VALUE"""),7587.43)</f>
        <v>7587.43</v>
      </c>
      <c r="K1917" s="5">
        <f>IFERROR(__xludf.DUMMYFUNCTION("""COMPUTED_VALUE"""),4637.32)</f>
        <v>4637.32</v>
      </c>
      <c r="L1917" s="4">
        <f>IFERROR(__xludf.DUMMYFUNCTION("""COMPUTED_VALUE"""),17.0)</f>
        <v>17</v>
      </c>
      <c r="M1917" s="4">
        <f>IFERROR(__xludf.DUMMYFUNCTION("""COMPUTED_VALUE"""),4.0)</f>
        <v>4</v>
      </c>
      <c r="N1917" s="2" t="str">
        <f>IFERROR(__xludf.DUMMYFUNCTION("""COMPUTED_VALUE"""),"VERDADERO")</f>
        <v>VERDADERO</v>
      </c>
    </row>
    <row r="1918">
      <c r="A1918" s="2">
        <f>IFERROR(__xludf.DUMMYFUNCTION("""COMPUTED_VALUE"""),1917.0)</f>
        <v>1917</v>
      </c>
      <c r="B1918" s="2" t="str">
        <f>IFERROR(__xludf.DUMMYFUNCTION("""COMPUTED_VALUE"""),"Binky Aires")</f>
        <v>Binky Aires</v>
      </c>
      <c r="C1918" s="2" t="str">
        <f>IFERROR(__xludf.DUMMYFUNCTION("""COMPUTED_VALUE"""),"bairesph@addtoany.com")</f>
        <v>bairesph@addtoany.com</v>
      </c>
      <c r="D1918" s="4">
        <f>IFERROR(__xludf.DUMMYFUNCTION("""COMPUTED_VALUE"""),29.0)</f>
        <v>29</v>
      </c>
      <c r="E1918" s="4">
        <f>IFERROR(__xludf.DUMMYFUNCTION("""COMPUTED_VALUE"""),81.0)</f>
        <v>81</v>
      </c>
      <c r="F1918" s="4">
        <f>IFERROR(__xludf.DUMMYFUNCTION("""COMPUTED_VALUE"""),2.0)</f>
        <v>2</v>
      </c>
      <c r="G1918" s="4">
        <f>IFERROR(__xludf.DUMMYFUNCTION("""COMPUTED_VALUE"""),1142.0)</f>
        <v>1142</v>
      </c>
      <c r="H1918" s="5">
        <f>IFERROR(__xludf.DUMMYFUNCTION("""COMPUTED_VALUE"""),6199.15)</f>
        <v>6199.15</v>
      </c>
      <c r="I1918" s="5">
        <f>IFERROR(__xludf.DUMMYFUNCTION("""COMPUTED_VALUE"""),8080.26)</f>
        <v>8080.26</v>
      </c>
      <c r="J1918" s="5">
        <f>IFERROR(__xludf.DUMMYFUNCTION("""COMPUTED_VALUE"""),9993.32)</f>
        <v>9993.32</v>
      </c>
      <c r="K1918" s="5">
        <f>IFERROR(__xludf.DUMMYFUNCTION("""COMPUTED_VALUE"""),4065.46)</f>
        <v>4065.46</v>
      </c>
      <c r="L1918" s="4">
        <f>IFERROR(__xludf.DUMMYFUNCTION("""COMPUTED_VALUE"""),7.0)</f>
        <v>7</v>
      </c>
      <c r="M1918" s="4">
        <f>IFERROR(__xludf.DUMMYFUNCTION("""COMPUTED_VALUE"""),20.0)</f>
        <v>20</v>
      </c>
      <c r="N1918" s="2" t="str">
        <f>IFERROR(__xludf.DUMMYFUNCTION("""COMPUTED_VALUE"""),"VERDADERO")</f>
        <v>VERDADERO</v>
      </c>
    </row>
    <row r="1919">
      <c r="A1919" s="2">
        <f>IFERROR(__xludf.DUMMYFUNCTION("""COMPUTED_VALUE"""),1918.0)</f>
        <v>1918</v>
      </c>
      <c r="B1919" s="2" t="str">
        <f>IFERROR(__xludf.DUMMYFUNCTION("""COMPUTED_VALUE"""),"Quincy Dobrowski")</f>
        <v>Quincy Dobrowski</v>
      </c>
      <c r="C1919" s="2" t="str">
        <f>IFERROR(__xludf.DUMMYFUNCTION("""COMPUTED_VALUE"""),"qdobrowskipi@usgs.gov")</f>
        <v>qdobrowskipi@usgs.gov</v>
      </c>
      <c r="D1919" s="4">
        <f>IFERROR(__xludf.DUMMYFUNCTION("""COMPUTED_VALUE"""),124.0)</f>
        <v>124</v>
      </c>
      <c r="E1919" s="4">
        <f>IFERROR(__xludf.DUMMYFUNCTION("""COMPUTED_VALUE"""),107.0)</f>
        <v>107</v>
      </c>
      <c r="F1919" s="4">
        <f>IFERROR(__xludf.DUMMYFUNCTION("""COMPUTED_VALUE"""),5.0)</f>
        <v>5</v>
      </c>
      <c r="G1919" s="4">
        <f>IFERROR(__xludf.DUMMYFUNCTION("""COMPUTED_VALUE"""),880.0)</f>
        <v>880</v>
      </c>
      <c r="H1919" s="5">
        <f>IFERROR(__xludf.DUMMYFUNCTION("""COMPUTED_VALUE"""),5587.31)</f>
        <v>5587.31</v>
      </c>
      <c r="I1919" s="5">
        <f>IFERROR(__xludf.DUMMYFUNCTION("""COMPUTED_VALUE"""),4209.95)</f>
        <v>4209.95</v>
      </c>
      <c r="J1919" s="5">
        <f>IFERROR(__xludf.DUMMYFUNCTION("""COMPUTED_VALUE"""),6604.08)</f>
        <v>6604.08</v>
      </c>
      <c r="K1919" s="5">
        <f>IFERROR(__xludf.DUMMYFUNCTION("""COMPUTED_VALUE"""),9910.79)</f>
        <v>9910.79</v>
      </c>
      <c r="L1919" s="4">
        <f>IFERROR(__xludf.DUMMYFUNCTION("""COMPUTED_VALUE"""),17.0)</f>
        <v>17</v>
      </c>
      <c r="M1919" s="4">
        <f>IFERROR(__xludf.DUMMYFUNCTION("""COMPUTED_VALUE"""),24.0)</f>
        <v>24</v>
      </c>
      <c r="N1919" s="2" t="str">
        <f>IFERROR(__xludf.DUMMYFUNCTION("""COMPUTED_VALUE"""),"FALSO")</f>
        <v>FALSO</v>
      </c>
    </row>
    <row r="1920">
      <c r="A1920" s="2">
        <f>IFERROR(__xludf.DUMMYFUNCTION("""COMPUTED_VALUE"""),1919.0)</f>
        <v>1919</v>
      </c>
      <c r="B1920" s="2" t="str">
        <f>IFERROR(__xludf.DUMMYFUNCTION("""COMPUTED_VALUE"""),"Luigi Ivie")</f>
        <v>Luigi Ivie</v>
      </c>
      <c r="C1920" s="2" t="str">
        <f>IFERROR(__xludf.DUMMYFUNCTION("""COMPUTED_VALUE"""),"liviepj@buzzfeed.com")</f>
        <v>liviepj@buzzfeed.com</v>
      </c>
      <c r="D1920" s="4">
        <f>IFERROR(__xludf.DUMMYFUNCTION("""COMPUTED_VALUE"""),49.0)</f>
        <v>49</v>
      </c>
      <c r="E1920" s="4">
        <f>IFERROR(__xludf.DUMMYFUNCTION("""COMPUTED_VALUE"""),42.0)</f>
        <v>42</v>
      </c>
      <c r="F1920" s="4">
        <f>IFERROR(__xludf.DUMMYFUNCTION("""COMPUTED_VALUE"""),13.0)</f>
        <v>13</v>
      </c>
      <c r="G1920" s="4">
        <f>IFERROR(__xludf.DUMMYFUNCTION("""COMPUTED_VALUE"""),1360.0)</f>
        <v>1360</v>
      </c>
      <c r="H1920" s="5">
        <f>IFERROR(__xludf.DUMMYFUNCTION("""COMPUTED_VALUE"""),7419.0)</f>
        <v>7419</v>
      </c>
      <c r="I1920" s="5">
        <f>IFERROR(__xludf.DUMMYFUNCTION("""COMPUTED_VALUE"""),4339.49)</f>
        <v>4339.49</v>
      </c>
      <c r="J1920" s="5">
        <f>IFERROR(__xludf.DUMMYFUNCTION("""COMPUTED_VALUE"""),9419.82)</f>
        <v>9419.82</v>
      </c>
      <c r="K1920" s="5">
        <f>IFERROR(__xludf.DUMMYFUNCTION("""COMPUTED_VALUE"""),2263.24)</f>
        <v>2263.24</v>
      </c>
      <c r="L1920" s="4">
        <f>IFERROR(__xludf.DUMMYFUNCTION("""COMPUTED_VALUE"""),7.0)</f>
        <v>7</v>
      </c>
      <c r="M1920" s="4">
        <f>IFERROR(__xludf.DUMMYFUNCTION("""COMPUTED_VALUE"""),52.0)</f>
        <v>52</v>
      </c>
      <c r="N1920" s="2" t="str">
        <f>IFERROR(__xludf.DUMMYFUNCTION("""COMPUTED_VALUE"""),"FALSO")</f>
        <v>FALSO</v>
      </c>
    </row>
    <row r="1921">
      <c r="A1921" s="2">
        <f>IFERROR(__xludf.DUMMYFUNCTION("""COMPUTED_VALUE"""),1920.0)</f>
        <v>1920</v>
      </c>
      <c r="B1921" s="2" t="str">
        <f>IFERROR(__xludf.DUMMYFUNCTION("""COMPUTED_VALUE"""),"Golda Mityashev")</f>
        <v>Golda Mityashev</v>
      </c>
      <c r="C1921" s="2" t="str">
        <f>IFERROR(__xludf.DUMMYFUNCTION("""COMPUTED_VALUE"""),"gmityashevpk@google.com.hk")</f>
        <v>gmityashevpk@google.com.hk</v>
      </c>
      <c r="D1921" s="4">
        <f>IFERROR(__xludf.DUMMYFUNCTION("""COMPUTED_VALUE"""),150.0)</f>
        <v>150</v>
      </c>
      <c r="E1921" s="4">
        <f>IFERROR(__xludf.DUMMYFUNCTION("""COMPUTED_VALUE"""),64.0)</f>
        <v>64</v>
      </c>
      <c r="F1921" s="4">
        <f>IFERROR(__xludf.DUMMYFUNCTION("""COMPUTED_VALUE"""),4.0)</f>
        <v>4</v>
      </c>
      <c r="G1921" s="4">
        <f>IFERROR(__xludf.DUMMYFUNCTION("""COMPUTED_VALUE"""),1539.0)</f>
        <v>1539</v>
      </c>
      <c r="H1921" s="5">
        <f>IFERROR(__xludf.DUMMYFUNCTION("""COMPUTED_VALUE"""),2242.5)</f>
        <v>2242.5</v>
      </c>
      <c r="I1921" s="5">
        <f>IFERROR(__xludf.DUMMYFUNCTION("""COMPUTED_VALUE"""),4542.91)</f>
        <v>4542.91</v>
      </c>
      <c r="J1921" s="5">
        <f>IFERROR(__xludf.DUMMYFUNCTION("""COMPUTED_VALUE"""),8249.0)</f>
        <v>8249</v>
      </c>
      <c r="K1921" s="5">
        <f>IFERROR(__xludf.DUMMYFUNCTION("""COMPUTED_VALUE"""),301.5)</f>
        <v>301.5</v>
      </c>
      <c r="L1921" s="4">
        <f>IFERROR(__xludf.DUMMYFUNCTION("""COMPUTED_VALUE"""),17.0)</f>
        <v>17</v>
      </c>
      <c r="M1921" s="4">
        <f>IFERROR(__xludf.DUMMYFUNCTION("""COMPUTED_VALUE"""),50.0)</f>
        <v>50</v>
      </c>
      <c r="N1921" s="2" t="str">
        <f>IFERROR(__xludf.DUMMYFUNCTION("""COMPUTED_VALUE"""),"FALSO")</f>
        <v>FALSO</v>
      </c>
    </row>
    <row r="1922">
      <c r="A1922" s="2">
        <f>IFERROR(__xludf.DUMMYFUNCTION("""COMPUTED_VALUE"""),1921.0)</f>
        <v>1921</v>
      </c>
      <c r="B1922" s="2" t="str">
        <f>IFERROR(__xludf.DUMMYFUNCTION("""COMPUTED_VALUE"""),"Teodoro Vasilyevski")</f>
        <v>Teodoro Vasilyevski</v>
      </c>
      <c r="C1922" s="2" t="str">
        <f>IFERROR(__xludf.DUMMYFUNCTION("""COMPUTED_VALUE"""),"tvasilyevskipl@sakura.ne.jp")</f>
        <v>tvasilyevskipl@sakura.ne.jp</v>
      </c>
      <c r="D1922" s="4">
        <f>IFERROR(__xludf.DUMMYFUNCTION("""COMPUTED_VALUE"""),85.0)</f>
        <v>85</v>
      </c>
      <c r="E1922" s="4">
        <f>IFERROR(__xludf.DUMMYFUNCTION("""COMPUTED_VALUE"""),66.0)</f>
        <v>66</v>
      </c>
      <c r="F1922" s="4">
        <f>IFERROR(__xludf.DUMMYFUNCTION("""COMPUTED_VALUE"""),6.0)</f>
        <v>6</v>
      </c>
      <c r="G1922" s="4">
        <f>IFERROR(__xludf.DUMMYFUNCTION("""COMPUTED_VALUE"""),125.0)</f>
        <v>125</v>
      </c>
      <c r="H1922" s="5">
        <f>IFERROR(__xludf.DUMMYFUNCTION("""COMPUTED_VALUE"""),6832.95)</f>
        <v>6832.95</v>
      </c>
      <c r="I1922" s="5">
        <f>IFERROR(__xludf.DUMMYFUNCTION("""COMPUTED_VALUE"""),9437.68)</f>
        <v>9437.68</v>
      </c>
      <c r="J1922" s="5">
        <f>IFERROR(__xludf.DUMMYFUNCTION("""COMPUTED_VALUE"""),1862.93)</f>
        <v>1862.93</v>
      </c>
      <c r="K1922" s="5">
        <f>IFERROR(__xludf.DUMMYFUNCTION("""COMPUTED_VALUE"""),8733.76)</f>
        <v>8733.76</v>
      </c>
      <c r="L1922" s="4">
        <f>IFERROR(__xludf.DUMMYFUNCTION("""COMPUTED_VALUE"""),18.0)</f>
        <v>18</v>
      </c>
      <c r="M1922" s="4">
        <f>IFERROR(__xludf.DUMMYFUNCTION("""COMPUTED_VALUE"""),93.0)</f>
        <v>93</v>
      </c>
      <c r="N1922" s="2" t="str">
        <f>IFERROR(__xludf.DUMMYFUNCTION("""COMPUTED_VALUE"""),"VERDADERO")</f>
        <v>VERDADERO</v>
      </c>
    </row>
    <row r="1923">
      <c r="A1923" s="2">
        <f>IFERROR(__xludf.DUMMYFUNCTION("""COMPUTED_VALUE"""),1922.0)</f>
        <v>1922</v>
      </c>
      <c r="B1923" s="2" t="str">
        <f>IFERROR(__xludf.DUMMYFUNCTION("""COMPUTED_VALUE"""),"Jorgan Heskin")</f>
        <v>Jorgan Heskin</v>
      </c>
      <c r="C1923" s="2" t="str">
        <f>IFERROR(__xludf.DUMMYFUNCTION("""COMPUTED_VALUE"""),"jheskinpm@hugedomains.com")</f>
        <v>jheskinpm@hugedomains.com</v>
      </c>
      <c r="D1923" s="4">
        <f>IFERROR(__xludf.DUMMYFUNCTION("""COMPUTED_VALUE"""),65.0)</f>
        <v>65</v>
      </c>
      <c r="E1923" s="4">
        <f>IFERROR(__xludf.DUMMYFUNCTION("""COMPUTED_VALUE"""),58.0)</f>
        <v>58</v>
      </c>
      <c r="F1923" s="4">
        <f>IFERROR(__xludf.DUMMYFUNCTION("""COMPUTED_VALUE"""),8.0)</f>
        <v>8</v>
      </c>
      <c r="G1923" s="4">
        <f>IFERROR(__xludf.DUMMYFUNCTION("""COMPUTED_VALUE"""),1521.0)</f>
        <v>1521</v>
      </c>
      <c r="H1923" s="5">
        <f>IFERROR(__xludf.DUMMYFUNCTION("""COMPUTED_VALUE"""),6984.89)</f>
        <v>6984.89</v>
      </c>
      <c r="I1923" s="5">
        <f>IFERROR(__xludf.DUMMYFUNCTION("""COMPUTED_VALUE"""),233.99)</f>
        <v>233.99</v>
      </c>
      <c r="J1923" s="5">
        <f>IFERROR(__xludf.DUMMYFUNCTION("""COMPUTED_VALUE"""),7519.14)</f>
        <v>7519.14</v>
      </c>
      <c r="K1923" s="5">
        <f>IFERROR(__xludf.DUMMYFUNCTION("""COMPUTED_VALUE"""),5567.7)</f>
        <v>5567.7</v>
      </c>
      <c r="L1923" s="4">
        <f>IFERROR(__xludf.DUMMYFUNCTION("""COMPUTED_VALUE"""),2.0)</f>
        <v>2</v>
      </c>
      <c r="M1923" s="4">
        <f>IFERROR(__xludf.DUMMYFUNCTION("""COMPUTED_VALUE"""),75.0)</f>
        <v>75</v>
      </c>
      <c r="N1923" s="2" t="str">
        <f>IFERROR(__xludf.DUMMYFUNCTION("""COMPUTED_VALUE"""),"FALSO")</f>
        <v>FALSO</v>
      </c>
    </row>
    <row r="1924">
      <c r="A1924" s="2">
        <f>IFERROR(__xludf.DUMMYFUNCTION("""COMPUTED_VALUE"""),1923.0)</f>
        <v>1923</v>
      </c>
      <c r="B1924" s="2" t="str">
        <f>IFERROR(__xludf.DUMMYFUNCTION("""COMPUTED_VALUE"""),"Reeta Dearlove")</f>
        <v>Reeta Dearlove</v>
      </c>
      <c r="C1924" s="2" t="str">
        <f>IFERROR(__xludf.DUMMYFUNCTION("""COMPUTED_VALUE"""),"rdearlovepn@unc.edu")</f>
        <v>rdearlovepn@unc.edu</v>
      </c>
      <c r="D1924" s="4">
        <f>IFERROR(__xludf.DUMMYFUNCTION("""COMPUTED_VALUE"""),73.0)</f>
        <v>73</v>
      </c>
      <c r="E1924" s="4">
        <f>IFERROR(__xludf.DUMMYFUNCTION("""COMPUTED_VALUE"""),61.0)</f>
        <v>61</v>
      </c>
      <c r="F1924" s="4">
        <f>IFERROR(__xludf.DUMMYFUNCTION("""COMPUTED_VALUE"""),4.0)</f>
        <v>4</v>
      </c>
      <c r="G1924" s="4">
        <f>IFERROR(__xludf.DUMMYFUNCTION("""COMPUTED_VALUE"""),760.0)</f>
        <v>760</v>
      </c>
      <c r="H1924" s="5">
        <f>IFERROR(__xludf.DUMMYFUNCTION("""COMPUTED_VALUE"""),3907.69)</f>
        <v>3907.69</v>
      </c>
      <c r="I1924" s="5">
        <f>IFERROR(__xludf.DUMMYFUNCTION("""COMPUTED_VALUE"""),4544.53)</f>
        <v>4544.53</v>
      </c>
      <c r="J1924" s="5">
        <f>IFERROR(__xludf.DUMMYFUNCTION("""COMPUTED_VALUE"""),4662.04)</f>
        <v>4662.04</v>
      </c>
      <c r="K1924" s="5">
        <f>IFERROR(__xludf.DUMMYFUNCTION("""COMPUTED_VALUE"""),5498.91)</f>
        <v>5498.91</v>
      </c>
      <c r="L1924" s="4">
        <f>IFERROR(__xludf.DUMMYFUNCTION("""COMPUTED_VALUE"""),10.0)</f>
        <v>10</v>
      </c>
      <c r="M1924" s="4">
        <f>IFERROR(__xludf.DUMMYFUNCTION("""COMPUTED_VALUE"""),56.0)</f>
        <v>56</v>
      </c>
      <c r="N1924" s="2" t="str">
        <f>IFERROR(__xludf.DUMMYFUNCTION("""COMPUTED_VALUE"""),"VERDADERO")</f>
        <v>VERDADERO</v>
      </c>
    </row>
    <row r="1925">
      <c r="A1925" s="2">
        <f>IFERROR(__xludf.DUMMYFUNCTION("""COMPUTED_VALUE"""),1924.0)</f>
        <v>1924</v>
      </c>
      <c r="B1925" s="2" t="str">
        <f>IFERROR(__xludf.DUMMYFUNCTION("""COMPUTED_VALUE"""),"Nanice Kynnd")</f>
        <v>Nanice Kynnd</v>
      </c>
      <c r="C1925" s="2" t="str">
        <f>IFERROR(__xludf.DUMMYFUNCTION("""COMPUTED_VALUE"""),"nkynndpo@ning.com")</f>
        <v>nkynndpo@ning.com</v>
      </c>
      <c r="D1925" s="4">
        <f>IFERROR(__xludf.DUMMYFUNCTION("""COMPUTED_VALUE"""),65.0)</f>
        <v>65</v>
      </c>
      <c r="E1925" s="4">
        <f>IFERROR(__xludf.DUMMYFUNCTION("""COMPUTED_VALUE"""),81.0)</f>
        <v>81</v>
      </c>
      <c r="F1925" s="4">
        <f>IFERROR(__xludf.DUMMYFUNCTION("""COMPUTED_VALUE"""),2.0)</f>
        <v>2</v>
      </c>
      <c r="G1925" s="4">
        <f>IFERROR(__xludf.DUMMYFUNCTION("""COMPUTED_VALUE"""),788.0)</f>
        <v>788</v>
      </c>
      <c r="H1925" s="5">
        <f>IFERROR(__xludf.DUMMYFUNCTION("""COMPUTED_VALUE"""),7047.57)</f>
        <v>7047.57</v>
      </c>
      <c r="I1925" s="5">
        <f>IFERROR(__xludf.DUMMYFUNCTION("""COMPUTED_VALUE"""),4276.72)</f>
        <v>4276.72</v>
      </c>
      <c r="J1925" s="5">
        <f>IFERROR(__xludf.DUMMYFUNCTION("""COMPUTED_VALUE"""),3429.71)</f>
        <v>3429.71</v>
      </c>
      <c r="K1925" s="5">
        <f>IFERROR(__xludf.DUMMYFUNCTION("""COMPUTED_VALUE"""),5673.43)</f>
        <v>5673.43</v>
      </c>
      <c r="L1925" s="4">
        <f>IFERROR(__xludf.DUMMYFUNCTION("""COMPUTED_VALUE"""),9.0)</f>
        <v>9</v>
      </c>
      <c r="M1925" s="4">
        <f>IFERROR(__xludf.DUMMYFUNCTION("""COMPUTED_VALUE"""),34.0)</f>
        <v>34</v>
      </c>
      <c r="N1925" s="2" t="str">
        <f>IFERROR(__xludf.DUMMYFUNCTION("""COMPUTED_VALUE"""),"FALSO")</f>
        <v>FALSO</v>
      </c>
    </row>
    <row r="1926">
      <c r="A1926" s="2">
        <f>IFERROR(__xludf.DUMMYFUNCTION("""COMPUTED_VALUE"""),1925.0)</f>
        <v>1925</v>
      </c>
      <c r="B1926" s="2" t="str">
        <f>IFERROR(__xludf.DUMMYFUNCTION("""COMPUTED_VALUE"""),"Rutledge Cuttelar")</f>
        <v>Rutledge Cuttelar</v>
      </c>
      <c r="C1926" s="2" t="str">
        <f>IFERROR(__xludf.DUMMYFUNCTION("""COMPUTED_VALUE"""),"rcuttelarpp@telegraph.co.uk")</f>
        <v>rcuttelarpp@telegraph.co.uk</v>
      </c>
      <c r="D1926" s="4">
        <f>IFERROR(__xludf.DUMMYFUNCTION("""COMPUTED_VALUE"""),150.0)</f>
        <v>150</v>
      </c>
      <c r="E1926" s="4">
        <f>IFERROR(__xludf.DUMMYFUNCTION("""COMPUTED_VALUE"""),59.0)</f>
        <v>59</v>
      </c>
      <c r="F1926" s="4">
        <f>IFERROR(__xludf.DUMMYFUNCTION("""COMPUTED_VALUE"""),6.0)</f>
        <v>6</v>
      </c>
      <c r="G1926" s="4">
        <f>IFERROR(__xludf.DUMMYFUNCTION("""COMPUTED_VALUE"""),48.0)</f>
        <v>48</v>
      </c>
      <c r="H1926" s="5">
        <f>IFERROR(__xludf.DUMMYFUNCTION("""COMPUTED_VALUE"""),3030.81)</f>
        <v>3030.81</v>
      </c>
      <c r="I1926" s="5">
        <f>IFERROR(__xludf.DUMMYFUNCTION("""COMPUTED_VALUE"""),2646.37)</f>
        <v>2646.37</v>
      </c>
      <c r="J1926" s="5">
        <f>IFERROR(__xludf.DUMMYFUNCTION("""COMPUTED_VALUE"""),8588.25)</f>
        <v>8588.25</v>
      </c>
      <c r="K1926" s="5">
        <f>IFERROR(__xludf.DUMMYFUNCTION("""COMPUTED_VALUE"""),8064.45)</f>
        <v>8064.45</v>
      </c>
      <c r="L1926" s="4">
        <f>IFERROR(__xludf.DUMMYFUNCTION("""COMPUTED_VALUE"""),15.0)</f>
        <v>15</v>
      </c>
      <c r="M1926" s="4">
        <f>IFERROR(__xludf.DUMMYFUNCTION("""COMPUTED_VALUE"""),95.0)</f>
        <v>95</v>
      </c>
      <c r="N1926" s="2" t="str">
        <f>IFERROR(__xludf.DUMMYFUNCTION("""COMPUTED_VALUE"""),"VERDADERO")</f>
        <v>VERDADERO</v>
      </c>
    </row>
    <row r="1927">
      <c r="A1927" s="2">
        <f>IFERROR(__xludf.DUMMYFUNCTION("""COMPUTED_VALUE"""),1926.0)</f>
        <v>1926</v>
      </c>
      <c r="B1927" s="2" t="str">
        <f>IFERROR(__xludf.DUMMYFUNCTION("""COMPUTED_VALUE"""),"Hildy Aldersley")</f>
        <v>Hildy Aldersley</v>
      </c>
      <c r="C1927" s="2" t="str">
        <f>IFERROR(__xludf.DUMMYFUNCTION("""COMPUTED_VALUE"""),"haldersleypq@newyorker.com")</f>
        <v>haldersleypq@newyorker.com</v>
      </c>
      <c r="D1927" s="4">
        <f>IFERROR(__xludf.DUMMYFUNCTION("""COMPUTED_VALUE"""),120.0)</f>
        <v>120</v>
      </c>
      <c r="E1927" s="4">
        <f>IFERROR(__xludf.DUMMYFUNCTION("""COMPUTED_VALUE"""),12.0)</f>
        <v>12</v>
      </c>
      <c r="F1927" s="4">
        <f>IFERROR(__xludf.DUMMYFUNCTION("""COMPUTED_VALUE"""),6.0)</f>
        <v>6</v>
      </c>
      <c r="G1927" s="4">
        <f>IFERROR(__xludf.DUMMYFUNCTION("""COMPUTED_VALUE"""),11.0)</f>
        <v>11</v>
      </c>
      <c r="H1927" s="5">
        <f>IFERROR(__xludf.DUMMYFUNCTION("""COMPUTED_VALUE"""),550.63)</f>
        <v>550.63</v>
      </c>
      <c r="I1927" s="5">
        <f>IFERROR(__xludf.DUMMYFUNCTION("""COMPUTED_VALUE"""),8465.02)</f>
        <v>8465.02</v>
      </c>
      <c r="J1927" s="5">
        <f>IFERROR(__xludf.DUMMYFUNCTION("""COMPUTED_VALUE"""),946.79)</f>
        <v>946.79</v>
      </c>
      <c r="K1927" s="5">
        <f>IFERROR(__xludf.DUMMYFUNCTION("""COMPUTED_VALUE"""),4646.87)</f>
        <v>4646.87</v>
      </c>
      <c r="L1927" s="4">
        <f>IFERROR(__xludf.DUMMYFUNCTION("""COMPUTED_VALUE"""),7.0)</f>
        <v>7</v>
      </c>
      <c r="M1927" s="4">
        <f>IFERROR(__xludf.DUMMYFUNCTION("""COMPUTED_VALUE"""),91.0)</f>
        <v>91</v>
      </c>
      <c r="N1927" s="2" t="str">
        <f>IFERROR(__xludf.DUMMYFUNCTION("""COMPUTED_VALUE"""),"VERDADERO")</f>
        <v>VERDADERO</v>
      </c>
    </row>
    <row r="1928">
      <c r="A1928" s="2">
        <f>IFERROR(__xludf.DUMMYFUNCTION("""COMPUTED_VALUE"""),1927.0)</f>
        <v>1927</v>
      </c>
      <c r="B1928" s="2" t="str">
        <f>IFERROR(__xludf.DUMMYFUNCTION("""COMPUTED_VALUE"""),"Peta Orpen")</f>
        <v>Peta Orpen</v>
      </c>
      <c r="C1928" s="2" t="str">
        <f>IFERROR(__xludf.DUMMYFUNCTION("""COMPUTED_VALUE"""),"porpenpr@google.com")</f>
        <v>porpenpr@google.com</v>
      </c>
      <c r="D1928" s="4">
        <f>IFERROR(__xludf.DUMMYFUNCTION("""COMPUTED_VALUE"""),119.0)</f>
        <v>119</v>
      </c>
      <c r="E1928" s="4">
        <f>IFERROR(__xludf.DUMMYFUNCTION("""COMPUTED_VALUE"""),12.0)</f>
        <v>12</v>
      </c>
      <c r="F1928" s="4">
        <f>IFERROR(__xludf.DUMMYFUNCTION("""COMPUTED_VALUE"""),6.0)</f>
        <v>6</v>
      </c>
      <c r="G1928" s="4">
        <f>IFERROR(__xludf.DUMMYFUNCTION("""COMPUTED_VALUE"""),365.0)</f>
        <v>365</v>
      </c>
      <c r="H1928" s="5">
        <f>IFERROR(__xludf.DUMMYFUNCTION("""COMPUTED_VALUE"""),9202.2)</f>
        <v>9202.2</v>
      </c>
      <c r="I1928" s="5">
        <f>IFERROR(__xludf.DUMMYFUNCTION("""COMPUTED_VALUE"""),481.02)</f>
        <v>481.02</v>
      </c>
      <c r="J1928" s="5">
        <f>IFERROR(__xludf.DUMMYFUNCTION("""COMPUTED_VALUE"""),8404.23)</f>
        <v>8404.23</v>
      </c>
      <c r="K1928" s="5">
        <f>IFERROR(__xludf.DUMMYFUNCTION("""COMPUTED_VALUE"""),7732.05)</f>
        <v>7732.05</v>
      </c>
      <c r="L1928" s="4">
        <f>IFERROR(__xludf.DUMMYFUNCTION("""COMPUTED_VALUE"""),15.0)</f>
        <v>15</v>
      </c>
      <c r="M1928" s="4">
        <f>IFERROR(__xludf.DUMMYFUNCTION("""COMPUTED_VALUE"""),30.0)</f>
        <v>30</v>
      </c>
      <c r="N1928" s="2" t="str">
        <f>IFERROR(__xludf.DUMMYFUNCTION("""COMPUTED_VALUE"""),"FALSO")</f>
        <v>FALSO</v>
      </c>
    </row>
    <row r="1929">
      <c r="A1929" s="2">
        <f>IFERROR(__xludf.DUMMYFUNCTION("""COMPUTED_VALUE"""),1928.0)</f>
        <v>1928</v>
      </c>
      <c r="B1929" s="2" t="str">
        <f>IFERROR(__xludf.DUMMYFUNCTION("""COMPUTED_VALUE"""),"Reinwald Puddephatt")</f>
        <v>Reinwald Puddephatt</v>
      </c>
      <c r="C1929" s="2" t="str">
        <f>IFERROR(__xludf.DUMMYFUNCTION("""COMPUTED_VALUE"""),"rpuddephattps@sphinn.com")</f>
        <v>rpuddephattps@sphinn.com</v>
      </c>
      <c r="D1929" s="4">
        <f>IFERROR(__xludf.DUMMYFUNCTION("""COMPUTED_VALUE"""),66.0)</f>
        <v>66</v>
      </c>
      <c r="E1929" s="4">
        <f>IFERROR(__xludf.DUMMYFUNCTION("""COMPUTED_VALUE"""),90.0)</f>
        <v>90</v>
      </c>
      <c r="F1929" s="4">
        <f>IFERROR(__xludf.DUMMYFUNCTION("""COMPUTED_VALUE"""),5.0)</f>
        <v>5</v>
      </c>
      <c r="G1929" s="4">
        <f>IFERROR(__xludf.DUMMYFUNCTION("""COMPUTED_VALUE"""),900.0)</f>
        <v>900</v>
      </c>
      <c r="H1929" s="5">
        <f>IFERROR(__xludf.DUMMYFUNCTION("""COMPUTED_VALUE"""),807.0)</f>
        <v>807</v>
      </c>
      <c r="I1929" s="5">
        <f>IFERROR(__xludf.DUMMYFUNCTION("""COMPUTED_VALUE"""),7902.56)</f>
        <v>7902.56</v>
      </c>
      <c r="J1929" s="5">
        <f>IFERROR(__xludf.DUMMYFUNCTION("""COMPUTED_VALUE"""),7414.01)</f>
        <v>7414.01</v>
      </c>
      <c r="K1929" s="5">
        <f>IFERROR(__xludf.DUMMYFUNCTION("""COMPUTED_VALUE"""),4544.2)</f>
        <v>4544.2</v>
      </c>
      <c r="L1929" s="4">
        <f>IFERROR(__xludf.DUMMYFUNCTION("""COMPUTED_VALUE"""),16.0)</f>
        <v>16</v>
      </c>
      <c r="M1929" s="4">
        <f>IFERROR(__xludf.DUMMYFUNCTION("""COMPUTED_VALUE"""),40.0)</f>
        <v>40</v>
      </c>
      <c r="N1929" s="2" t="str">
        <f>IFERROR(__xludf.DUMMYFUNCTION("""COMPUTED_VALUE"""),"FALSO")</f>
        <v>FALSO</v>
      </c>
    </row>
    <row r="1930">
      <c r="A1930" s="2">
        <f>IFERROR(__xludf.DUMMYFUNCTION("""COMPUTED_VALUE"""),1929.0)</f>
        <v>1929</v>
      </c>
      <c r="B1930" s="2" t="str">
        <f>IFERROR(__xludf.DUMMYFUNCTION("""COMPUTED_VALUE"""),"Costanza Chestney")</f>
        <v>Costanza Chestney</v>
      </c>
      <c r="C1930" s="2" t="str">
        <f>IFERROR(__xludf.DUMMYFUNCTION("""COMPUTED_VALUE"""),"cchestneypt@geocities.com")</f>
        <v>cchestneypt@geocities.com</v>
      </c>
      <c r="D1930" s="4">
        <f>IFERROR(__xludf.DUMMYFUNCTION("""COMPUTED_VALUE"""),65.0)</f>
        <v>65</v>
      </c>
      <c r="E1930" s="4">
        <f>IFERROR(__xludf.DUMMYFUNCTION("""COMPUTED_VALUE"""),55.0)</f>
        <v>55</v>
      </c>
      <c r="F1930" s="4">
        <f>IFERROR(__xludf.DUMMYFUNCTION("""COMPUTED_VALUE"""),8.0)</f>
        <v>8</v>
      </c>
      <c r="G1930" s="4">
        <f>IFERROR(__xludf.DUMMYFUNCTION("""COMPUTED_VALUE"""),1434.0)</f>
        <v>1434</v>
      </c>
      <c r="H1930" s="5">
        <f>IFERROR(__xludf.DUMMYFUNCTION("""COMPUTED_VALUE"""),7863.98)</f>
        <v>7863.98</v>
      </c>
      <c r="I1930" s="5">
        <f>IFERROR(__xludf.DUMMYFUNCTION("""COMPUTED_VALUE"""),3211.7)</f>
        <v>3211.7</v>
      </c>
      <c r="J1930" s="5">
        <f>IFERROR(__xludf.DUMMYFUNCTION("""COMPUTED_VALUE"""),8110.56)</f>
        <v>8110.56</v>
      </c>
      <c r="K1930" s="5">
        <f>IFERROR(__xludf.DUMMYFUNCTION("""COMPUTED_VALUE"""),7242.69)</f>
        <v>7242.69</v>
      </c>
      <c r="L1930" s="4">
        <f>IFERROR(__xludf.DUMMYFUNCTION("""COMPUTED_VALUE"""),20.0)</f>
        <v>20</v>
      </c>
      <c r="M1930" s="4">
        <f>IFERROR(__xludf.DUMMYFUNCTION("""COMPUTED_VALUE"""),21.0)</f>
        <v>21</v>
      </c>
      <c r="N1930" s="2" t="str">
        <f>IFERROR(__xludf.DUMMYFUNCTION("""COMPUTED_VALUE"""),"FALSO")</f>
        <v>FALSO</v>
      </c>
    </row>
    <row r="1931">
      <c r="A1931" s="2">
        <f>IFERROR(__xludf.DUMMYFUNCTION("""COMPUTED_VALUE"""),1930.0)</f>
        <v>1930</v>
      </c>
      <c r="B1931" s="2" t="str">
        <f>IFERROR(__xludf.DUMMYFUNCTION("""COMPUTED_VALUE"""),"Gaspard Waterstone")</f>
        <v>Gaspard Waterstone</v>
      </c>
      <c r="C1931" s="2" t="str">
        <f>IFERROR(__xludf.DUMMYFUNCTION("""COMPUTED_VALUE"""),"gwaterstonepu@mapy.cz")</f>
        <v>gwaterstonepu@mapy.cz</v>
      </c>
      <c r="D1931" s="4">
        <f>IFERROR(__xludf.DUMMYFUNCTION("""COMPUTED_VALUE"""),119.0)</f>
        <v>119</v>
      </c>
      <c r="E1931" s="4">
        <f>IFERROR(__xludf.DUMMYFUNCTION("""COMPUTED_VALUE"""),58.0)</f>
        <v>58</v>
      </c>
      <c r="F1931" s="4">
        <f>IFERROR(__xludf.DUMMYFUNCTION("""COMPUTED_VALUE"""),8.0)</f>
        <v>8</v>
      </c>
      <c r="G1931" s="4">
        <f>IFERROR(__xludf.DUMMYFUNCTION("""COMPUTED_VALUE"""),1493.0)</f>
        <v>1493</v>
      </c>
      <c r="H1931" s="5">
        <f>IFERROR(__xludf.DUMMYFUNCTION("""COMPUTED_VALUE"""),3220.44)</f>
        <v>3220.44</v>
      </c>
      <c r="I1931" s="5">
        <f>IFERROR(__xludf.DUMMYFUNCTION("""COMPUTED_VALUE"""),7462.96)</f>
        <v>7462.96</v>
      </c>
      <c r="J1931" s="5">
        <f>IFERROR(__xludf.DUMMYFUNCTION("""COMPUTED_VALUE"""),8544.7)</f>
        <v>8544.7</v>
      </c>
      <c r="K1931" s="5">
        <f>IFERROR(__xludf.DUMMYFUNCTION("""COMPUTED_VALUE"""),9618.23)</f>
        <v>9618.23</v>
      </c>
      <c r="L1931" s="4">
        <f>IFERROR(__xludf.DUMMYFUNCTION("""COMPUTED_VALUE"""),3.0)</f>
        <v>3</v>
      </c>
      <c r="M1931" s="4">
        <f>IFERROR(__xludf.DUMMYFUNCTION("""COMPUTED_VALUE"""),15.0)</f>
        <v>15</v>
      </c>
      <c r="N1931" s="2" t="str">
        <f>IFERROR(__xludf.DUMMYFUNCTION("""COMPUTED_VALUE"""),"FALSO")</f>
        <v>FALSO</v>
      </c>
    </row>
    <row r="1932">
      <c r="A1932" s="2">
        <f>IFERROR(__xludf.DUMMYFUNCTION("""COMPUTED_VALUE"""),1931.0)</f>
        <v>1931</v>
      </c>
      <c r="B1932" s="2" t="str">
        <f>IFERROR(__xludf.DUMMYFUNCTION("""COMPUTED_VALUE"""),"Lorettalorna Pinching")</f>
        <v>Lorettalorna Pinching</v>
      </c>
      <c r="C1932" s="2" t="str">
        <f>IFERROR(__xludf.DUMMYFUNCTION("""COMPUTED_VALUE"""),"lpinchingpv@baidu.com")</f>
        <v>lpinchingpv@baidu.com</v>
      </c>
      <c r="D1932" s="4">
        <f>IFERROR(__xludf.DUMMYFUNCTION("""COMPUTED_VALUE"""),61.0)</f>
        <v>61</v>
      </c>
      <c r="E1932" s="4">
        <f>IFERROR(__xludf.DUMMYFUNCTION("""COMPUTED_VALUE"""),81.0)</f>
        <v>81</v>
      </c>
      <c r="F1932" s="4">
        <f>IFERROR(__xludf.DUMMYFUNCTION("""COMPUTED_VALUE"""),2.0)</f>
        <v>2</v>
      </c>
      <c r="G1932" s="4">
        <f>IFERROR(__xludf.DUMMYFUNCTION("""COMPUTED_VALUE"""),1369.0)</f>
        <v>1369</v>
      </c>
      <c r="H1932" s="5">
        <f>IFERROR(__xludf.DUMMYFUNCTION("""COMPUTED_VALUE"""),26.14)</f>
        <v>26.14</v>
      </c>
      <c r="I1932" s="5">
        <f>IFERROR(__xludf.DUMMYFUNCTION("""COMPUTED_VALUE"""),2540.46)</f>
        <v>2540.46</v>
      </c>
      <c r="J1932" s="5">
        <f>IFERROR(__xludf.DUMMYFUNCTION("""COMPUTED_VALUE"""),8094.91)</f>
        <v>8094.91</v>
      </c>
      <c r="K1932" s="5">
        <f>IFERROR(__xludf.DUMMYFUNCTION("""COMPUTED_VALUE"""),9310.4)</f>
        <v>9310.4</v>
      </c>
      <c r="L1932" s="4">
        <f>IFERROR(__xludf.DUMMYFUNCTION("""COMPUTED_VALUE"""),7.0)</f>
        <v>7</v>
      </c>
      <c r="M1932" s="4">
        <f>IFERROR(__xludf.DUMMYFUNCTION("""COMPUTED_VALUE"""),60.0)</f>
        <v>60</v>
      </c>
      <c r="N1932" s="2" t="str">
        <f>IFERROR(__xludf.DUMMYFUNCTION("""COMPUTED_VALUE"""),"FALSO")</f>
        <v>FALSO</v>
      </c>
    </row>
    <row r="1933">
      <c r="A1933" s="2">
        <f>IFERROR(__xludf.DUMMYFUNCTION("""COMPUTED_VALUE"""),1932.0)</f>
        <v>1932</v>
      </c>
      <c r="B1933" s="2" t="str">
        <f>IFERROR(__xludf.DUMMYFUNCTION("""COMPUTED_VALUE"""),"Lisha Reveley")</f>
        <v>Lisha Reveley</v>
      </c>
      <c r="C1933" s="2" t="str">
        <f>IFERROR(__xludf.DUMMYFUNCTION("""COMPUTED_VALUE"""),"lreveleypw@hatena.ne.jp")</f>
        <v>lreveleypw@hatena.ne.jp</v>
      </c>
      <c r="D1933" s="4">
        <f>IFERROR(__xludf.DUMMYFUNCTION("""COMPUTED_VALUE"""),153.0)</f>
        <v>153</v>
      </c>
      <c r="E1933" s="4">
        <f>IFERROR(__xludf.DUMMYFUNCTION("""COMPUTED_VALUE"""),112.0)</f>
        <v>112</v>
      </c>
      <c r="F1933" s="4">
        <f>IFERROR(__xludf.DUMMYFUNCTION("""COMPUTED_VALUE"""),11.0)</f>
        <v>11</v>
      </c>
      <c r="G1933" s="4">
        <f>IFERROR(__xludf.DUMMYFUNCTION("""COMPUTED_VALUE"""),1461.0)</f>
        <v>1461</v>
      </c>
      <c r="H1933" s="5">
        <f>IFERROR(__xludf.DUMMYFUNCTION("""COMPUTED_VALUE"""),9047.54)</f>
        <v>9047.54</v>
      </c>
      <c r="I1933" s="5">
        <f>IFERROR(__xludf.DUMMYFUNCTION("""COMPUTED_VALUE"""),465.15)</f>
        <v>465.15</v>
      </c>
      <c r="J1933" s="5">
        <f>IFERROR(__xludf.DUMMYFUNCTION("""COMPUTED_VALUE"""),5487.81)</f>
        <v>5487.81</v>
      </c>
      <c r="K1933" s="5">
        <f>IFERROR(__xludf.DUMMYFUNCTION("""COMPUTED_VALUE"""),2714.38)</f>
        <v>2714.38</v>
      </c>
      <c r="L1933" s="4">
        <f>IFERROR(__xludf.DUMMYFUNCTION("""COMPUTED_VALUE"""),13.0)</f>
        <v>13</v>
      </c>
      <c r="M1933" s="4">
        <f>IFERROR(__xludf.DUMMYFUNCTION("""COMPUTED_VALUE"""),40.0)</f>
        <v>40</v>
      </c>
      <c r="N1933" s="2" t="str">
        <f>IFERROR(__xludf.DUMMYFUNCTION("""COMPUTED_VALUE"""),"FALSO")</f>
        <v>FALSO</v>
      </c>
    </row>
    <row r="1934">
      <c r="A1934" s="2">
        <f>IFERROR(__xludf.DUMMYFUNCTION("""COMPUTED_VALUE"""),1933.0)</f>
        <v>1933</v>
      </c>
      <c r="B1934" s="2" t="str">
        <f>IFERROR(__xludf.DUMMYFUNCTION("""COMPUTED_VALUE"""),"Araldo Shakelade")</f>
        <v>Araldo Shakelade</v>
      </c>
      <c r="C1934" s="2" t="str">
        <f>IFERROR(__xludf.DUMMYFUNCTION("""COMPUTED_VALUE"""),"ashakeladepx@foxnews.com")</f>
        <v>ashakeladepx@foxnews.com</v>
      </c>
      <c r="D1934" s="4">
        <f>IFERROR(__xludf.DUMMYFUNCTION("""COMPUTED_VALUE"""),29.0)</f>
        <v>29</v>
      </c>
      <c r="E1934" s="4">
        <f>IFERROR(__xludf.DUMMYFUNCTION("""COMPUTED_VALUE"""),61.0)</f>
        <v>61</v>
      </c>
      <c r="F1934" s="4">
        <f>IFERROR(__xludf.DUMMYFUNCTION("""COMPUTED_VALUE"""),4.0)</f>
        <v>4</v>
      </c>
      <c r="G1934" s="4">
        <f>IFERROR(__xludf.DUMMYFUNCTION("""COMPUTED_VALUE"""),981.0)</f>
        <v>981</v>
      </c>
      <c r="H1934" s="5">
        <f>IFERROR(__xludf.DUMMYFUNCTION("""COMPUTED_VALUE"""),143.75)</f>
        <v>143.75</v>
      </c>
      <c r="I1934" s="5">
        <f>IFERROR(__xludf.DUMMYFUNCTION("""COMPUTED_VALUE"""),2129.1)</f>
        <v>2129.1</v>
      </c>
      <c r="J1934" s="5">
        <f>IFERROR(__xludf.DUMMYFUNCTION("""COMPUTED_VALUE"""),4936.83)</f>
        <v>4936.83</v>
      </c>
      <c r="K1934" s="5">
        <f>IFERROR(__xludf.DUMMYFUNCTION("""COMPUTED_VALUE"""),9227.34)</f>
        <v>9227.34</v>
      </c>
      <c r="L1934" s="4">
        <f>IFERROR(__xludf.DUMMYFUNCTION("""COMPUTED_VALUE"""),1.0)</f>
        <v>1</v>
      </c>
      <c r="M1934" s="4">
        <f>IFERROR(__xludf.DUMMYFUNCTION("""COMPUTED_VALUE"""),12.0)</f>
        <v>12</v>
      </c>
      <c r="N1934" s="2" t="str">
        <f>IFERROR(__xludf.DUMMYFUNCTION("""COMPUTED_VALUE"""),"VERDADERO")</f>
        <v>VERDADERO</v>
      </c>
    </row>
    <row r="1935">
      <c r="A1935" s="2">
        <f>IFERROR(__xludf.DUMMYFUNCTION("""COMPUTED_VALUE"""),1934.0)</f>
        <v>1934</v>
      </c>
      <c r="B1935" s="2" t="str">
        <f>IFERROR(__xludf.DUMMYFUNCTION("""COMPUTED_VALUE"""),"Brunhilde Maitland")</f>
        <v>Brunhilde Maitland</v>
      </c>
      <c r="C1935" s="2" t="str">
        <f>IFERROR(__xludf.DUMMYFUNCTION("""COMPUTED_VALUE"""),"bmaitlandpy@gnu.org")</f>
        <v>bmaitlandpy@gnu.org</v>
      </c>
      <c r="D1935" s="4">
        <f>IFERROR(__xludf.DUMMYFUNCTION("""COMPUTED_VALUE"""),31.0)</f>
        <v>31</v>
      </c>
      <c r="E1935" s="4">
        <f>IFERROR(__xludf.DUMMYFUNCTION("""COMPUTED_VALUE"""),81.0)</f>
        <v>81</v>
      </c>
      <c r="F1935" s="4">
        <f>IFERROR(__xludf.DUMMYFUNCTION("""COMPUTED_VALUE"""),2.0)</f>
        <v>2</v>
      </c>
      <c r="G1935" s="4">
        <f>IFERROR(__xludf.DUMMYFUNCTION("""COMPUTED_VALUE"""),565.0)</f>
        <v>565</v>
      </c>
      <c r="H1935" s="5">
        <f>IFERROR(__xludf.DUMMYFUNCTION("""COMPUTED_VALUE"""),3621.28)</f>
        <v>3621.28</v>
      </c>
      <c r="I1935" s="5">
        <f>IFERROR(__xludf.DUMMYFUNCTION("""COMPUTED_VALUE"""),7670.77)</f>
        <v>7670.77</v>
      </c>
      <c r="J1935" s="5">
        <f>IFERROR(__xludf.DUMMYFUNCTION("""COMPUTED_VALUE"""),3188.46)</f>
        <v>3188.46</v>
      </c>
      <c r="K1935" s="5">
        <f>IFERROR(__xludf.DUMMYFUNCTION("""COMPUTED_VALUE"""),9165.95)</f>
        <v>9165.95</v>
      </c>
      <c r="L1935" s="4">
        <f>IFERROR(__xludf.DUMMYFUNCTION("""COMPUTED_VALUE"""),19.0)</f>
        <v>19</v>
      </c>
      <c r="M1935" s="4">
        <f>IFERROR(__xludf.DUMMYFUNCTION("""COMPUTED_VALUE"""),17.0)</f>
        <v>17</v>
      </c>
      <c r="N1935" s="2" t="str">
        <f>IFERROR(__xludf.DUMMYFUNCTION("""COMPUTED_VALUE"""),"VERDADERO")</f>
        <v>VERDADERO</v>
      </c>
    </row>
    <row r="1936">
      <c r="A1936" s="2">
        <f>IFERROR(__xludf.DUMMYFUNCTION("""COMPUTED_VALUE"""),1935.0)</f>
        <v>1935</v>
      </c>
      <c r="B1936" s="2" t="str">
        <f>IFERROR(__xludf.DUMMYFUNCTION("""COMPUTED_VALUE"""),"Elliott Spacy")</f>
        <v>Elliott Spacy</v>
      </c>
      <c r="C1936" s="2" t="str">
        <f>IFERROR(__xludf.DUMMYFUNCTION("""COMPUTED_VALUE"""),"espacypz@phoca.cz")</f>
        <v>espacypz@phoca.cz</v>
      </c>
      <c r="D1936" s="4">
        <f>IFERROR(__xludf.DUMMYFUNCTION("""COMPUTED_VALUE"""),24.0)</f>
        <v>24</v>
      </c>
      <c r="E1936" s="4">
        <f>IFERROR(__xludf.DUMMYFUNCTION("""COMPUTED_VALUE"""),124.0)</f>
        <v>124</v>
      </c>
      <c r="F1936" s="4">
        <f>IFERROR(__xludf.DUMMYFUNCTION("""COMPUTED_VALUE"""),1.0)</f>
        <v>1</v>
      </c>
      <c r="G1936" s="4">
        <f>IFERROR(__xludf.DUMMYFUNCTION("""COMPUTED_VALUE"""),102.0)</f>
        <v>102</v>
      </c>
      <c r="H1936" s="5">
        <f>IFERROR(__xludf.DUMMYFUNCTION("""COMPUTED_VALUE"""),4148.2)</f>
        <v>4148.2</v>
      </c>
      <c r="I1936" s="5">
        <f>IFERROR(__xludf.DUMMYFUNCTION("""COMPUTED_VALUE"""),8864.97)</f>
        <v>8864.97</v>
      </c>
      <c r="J1936" s="5">
        <f>IFERROR(__xludf.DUMMYFUNCTION("""COMPUTED_VALUE"""),5294.08)</f>
        <v>5294.08</v>
      </c>
      <c r="K1936" s="5">
        <f>IFERROR(__xludf.DUMMYFUNCTION("""COMPUTED_VALUE"""),1262.47)</f>
        <v>1262.47</v>
      </c>
      <c r="L1936" s="4">
        <f>IFERROR(__xludf.DUMMYFUNCTION("""COMPUTED_VALUE"""),4.0)</f>
        <v>4</v>
      </c>
      <c r="M1936" s="4">
        <f>IFERROR(__xludf.DUMMYFUNCTION("""COMPUTED_VALUE"""),34.0)</f>
        <v>34</v>
      </c>
      <c r="N1936" s="2" t="str">
        <f>IFERROR(__xludf.DUMMYFUNCTION("""COMPUTED_VALUE"""),"VERDADERO")</f>
        <v>VERDADERO</v>
      </c>
    </row>
    <row r="1937">
      <c r="A1937" s="2">
        <f>IFERROR(__xludf.DUMMYFUNCTION("""COMPUTED_VALUE"""),1936.0)</f>
        <v>1936</v>
      </c>
      <c r="B1937" s="2" t="str">
        <f>IFERROR(__xludf.DUMMYFUNCTION("""COMPUTED_VALUE"""),"Urbain Riall")</f>
        <v>Urbain Riall</v>
      </c>
      <c r="C1937" s="2" t="str">
        <f>IFERROR(__xludf.DUMMYFUNCTION("""COMPUTED_VALUE"""),"uriallq0@pen.io")</f>
        <v>uriallq0@pen.io</v>
      </c>
      <c r="D1937" s="4">
        <f>IFERROR(__xludf.DUMMYFUNCTION("""COMPUTED_VALUE"""),97.0)</f>
        <v>97</v>
      </c>
      <c r="E1937" s="4">
        <f>IFERROR(__xludf.DUMMYFUNCTION("""COMPUTED_VALUE"""),65.0)</f>
        <v>65</v>
      </c>
      <c r="F1937" s="4">
        <f>IFERROR(__xludf.DUMMYFUNCTION("""COMPUTED_VALUE"""),9.0)</f>
        <v>9</v>
      </c>
      <c r="G1937" s="4">
        <f>IFERROR(__xludf.DUMMYFUNCTION("""COMPUTED_VALUE"""),593.0)</f>
        <v>593</v>
      </c>
      <c r="H1937" s="5">
        <f>IFERROR(__xludf.DUMMYFUNCTION("""COMPUTED_VALUE"""),7686.75)</f>
        <v>7686.75</v>
      </c>
      <c r="I1937" s="5">
        <f>IFERROR(__xludf.DUMMYFUNCTION("""COMPUTED_VALUE"""),6690.17)</f>
        <v>6690.17</v>
      </c>
      <c r="J1937" s="5">
        <f>IFERROR(__xludf.DUMMYFUNCTION("""COMPUTED_VALUE"""),7295.54)</f>
        <v>7295.54</v>
      </c>
      <c r="K1937" s="5">
        <f>IFERROR(__xludf.DUMMYFUNCTION("""COMPUTED_VALUE"""),2272.38)</f>
        <v>2272.38</v>
      </c>
      <c r="L1937" s="4">
        <f>IFERROR(__xludf.DUMMYFUNCTION("""COMPUTED_VALUE"""),13.0)</f>
        <v>13</v>
      </c>
      <c r="M1937" s="4">
        <f>IFERROR(__xludf.DUMMYFUNCTION("""COMPUTED_VALUE"""),3.0)</f>
        <v>3</v>
      </c>
      <c r="N1937" s="2" t="str">
        <f>IFERROR(__xludf.DUMMYFUNCTION("""COMPUTED_VALUE"""),"VERDADERO")</f>
        <v>VERDADERO</v>
      </c>
    </row>
    <row r="1938">
      <c r="A1938" s="2">
        <f>IFERROR(__xludf.DUMMYFUNCTION("""COMPUTED_VALUE"""),1937.0)</f>
        <v>1937</v>
      </c>
      <c r="B1938" s="2" t="str">
        <f>IFERROR(__xludf.DUMMYFUNCTION("""COMPUTED_VALUE"""),"Brooks Marks")</f>
        <v>Brooks Marks</v>
      </c>
      <c r="C1938" s="2" t="str">
        <f>IFERROR(__xludf.DUMMYFUNCTION("""COMPUTED_VALUE"""),"bmarksq1@java.com")</f>
        <v>bmarksq1@java.com</v>
      </c>
      <c r="D1938" s="4">
        <f>IFERROR(__xludf.DUMMYFUNCTION("""COMPUTED_VALUE"""),33.0)</f>
        <v>33</v>
      </c>
      <c r="E1938" s="4">
        <f>IFERROR(__xludf.DUMMYFUNCTION("""COMPUTED_VALUE"""),67.0)</f>
        <v>67</v>
      </c>
      <c r="F1938" s="4">
        <f>IFERROR(__xludf.DUMMYFUNCTION("""COMPUTED_VALUE"""),7.0)</f>
        <v>7</v>
      </c>
      <c r="G1938" s="4">
        <f>IFERROR(__xludf.DUMMYFUNCTION("""COMPUTED_VALUE"""),610.0)</f>
        <v>610</v>
      </c>
      <c r="H1938" s="5">
        <f>IFERROR(__xludf.DUMMYFUNCTION("""COMPUTED_VALUE"""),3762.73)</f>
        <v>3762.73</v>
      </c>
      <c r="I1938" s="5">
        <f>IFERROR(__xludf.DUMMYFUNCTION("""COMPUTED_VALUE"""),8265.53)</f>
        <v>8265.53</v>
      </c>
      <c r="J1938" s="5">
        <f>IFERROR(__xludf.DUMMYFUNCTION("""COMPUTED_VALUE"""),9256.6)</f>
        <v>9256.6</v>
      </c>
      <c r="K1938" s="5">
        <f>IFERROR(__xludf.DUMMYFUNCTION("""COMPUTED_VALUE"""),3280.54)</f>
        <v>3280.54</v>
      </c>
      <c r="L1938" s="4">
        <f>IFERROR(__xludf.DUMMYFUNCTION("""COMPUTED_VALUE"""),3.0)</f>
        <v>3</v>
      </c>
      <c r="M1938" s="4">
        <f>IFERROR(__xludf.DUMMYFUNCTION("""COMPUTED_VALUE"""),31.0)</f>
        <v>31</v>
      </c>
      <c r="N1938" s="2" t="str">
        <f>IFERROR(__xludf.DUMMYFUNCTION("""COMPUTED_VALUE"""),"FALSO")</f>
        <v>FALSO</v>
      </c>
    </row>
    <row r="1939">
      <c r="A1939" s="2">
        <f>IFERROR(__xludf.DUMMYFUNCTION("""COMPUTED_VALUE"""),1938.0)</f>
        <v>1938</v>
      </c>
      <c r="B1939" s="2" t="str">
        <f>IFERROR(__xludf.DUMMYFUNCTION("""COMPUTED_VALUE"""),"Kaila Pickance")</f>
        <v>Kaila Pickance</v>
      </c>
      <c r="C1939" s="2" t="str">
        <f>IFERROR(__xludf.DUMMYFUNCTION("""COMPUTED_VALUE"""),"kpickanceq2@microsoft.com")</f>
        <v>kpickanceq2@microsoft.com</v>
      </c>
      <c r="D1939" s="4">
        <f>IFERROR(__xludf.DUMMYFUNCTION("""COMPUTED_VALUE"""),120.0)</f>
        <v>120</v>
      </c>
      <c r="E1939" s="4">
        <f>IFERROR(__xludf.DUMMYFUNCTION("""COMPUTED_VALUE"""),81.0)</f>
        <v>81</v>
      </c>
      <c r="F1939" s="4">
        <f>IFERROR(__xludf.DUMMYFUNCTION("""COMPUTED_VALUE"""),2.0)</f>
        <v>2</v>
      </c>
      <c r="G1939" s="4">
        <f>IFERROR(__xludf.DUMMYFUNCTION("""COMPUTED_VALUE"""),1141.0)</f>
        <v>1141</v>
      </c>
      <c r="H1939" s="5">
        <f>IFERROR(__xludf.DUMMYFUNCTION("""COMPUTED_VALUE"""),2373.67)</f>
        <v>2373.67</v>
      </c>
      <c r="I1939" s="5">
        <f>IFERROR(__xludf.DUMMYFUNCTION("""COMPUTED_VALUE"""),6667.11)</f>
        <v>6667.11</v>
      </c>
      <c r="J1939" s="5">
        <f>IFERROR(__xludf.DUMMYFUNCTION("""COMPUTED_VALUE"""),4330.64)</f>
        <v>4330.64</v>
      </c>
      <c r="K1939" s="5">
        <f>IFERROR(__xludf.DUMMYFUNCTION("""COMPUTED_VALUE"""),2204.04)</f>
        <v>2204.04</v>
      </c>
      <c r="L1939" s="4">
        <f>IFERROR(__xludf.DUMMYFUNCTION("""COMPUTED_VALUE"""),1.0)</f>
        <v>1</v>
      </c>
      <c r="M1939" s="4">
        <f>IFERROR(__xludf.DUMMYFUNCTION("""COMPUTED_VALUE"""),93.0)</f>
        <v>93</v>
      </c>
      <c r="N1939" s="2" t="str">
        <f>IFERROR(__xludf.DUMMYFUNCTION("""COMPUTED_VALUE"""),"FALSO")</f>
        <v>FALSO</v>
      </c>
    </row>
    <row r="1940">
      <c r="A1940" s="2">
        <f>IFERROR(__xludf.DUMMYFUNCTION("""COMPUTED_VALUE"""),1939.0)</f>
        <v>1939</v>
      </c>
      <c r="B1940" s="2" t="str">
        <f>IFERROR(__xludf.DUMMYFUNCTION("""COMPUTED_VALUE"""),"Raquel Bourgaize")</f>
        <v>Raquel Bourgaize</v>
      </c>
      <c r="C1940" s="2" t="str">
        <f>IFERROR(__xludf.DUMMYFUNCTION("""COMPUTED_VALUE"""),"rbourgaizeq3@rakuten.co.jp")</f>
        <v>rbourgaizeq3@rakuten.co.jp</v>
      </c>
      <c r="D1940" s="4">
        <f>IFERROR(__xludf.DUMMYFUNCTION("""COMPUTED_VALUE"""),24.0)</f>
        <v>24</v>
      </c>
      <c r="E1940" s="4">
        <f>IFERROR(__xludf.DUMMYFUNCTION("""COMPUTED_VALUE"""),107.0)</f>
        <v>107</v>
      </c>
      <c r="F1940" s="4">
        <f>IFERROR(__xludf.DUMMYFUNCTION("""COMPUTED_VALUE"""),5.0)</f>
        <v>5</v>
      </c>
      <c r="G1940" s="4">
        <f>IFERROR(__xludf.DUMMYFUNCTION("""COMPUTED_VALUE"""),235.0)</f>
        <v>235</v>
      </c>
      <c r="H1940" s="5">
        <f>IFERROR(__xludf.DUMMYFUNCTION("""COMPUTED_VALUE"""),3774.79)</f>
        <v>3774.79</v>
      </c>
      <c r="I1940" s="5">
        <f>IFERROR(__xludf.DUMMYFUNCTION("""COMPUTED_VALUE"""),5750.83)</f>
        <v>5750.83</v>
      </c>
      <c r="J1940" s="5">
        <f>IFERROR(__xludf.DUMMYFUNCTION("""COMPUTED_VALUE"""),3882.14)</f>
        <v>3882.14</v>
      </c>
      <c r="K1940" s="5">
        <f>IFERROR(__xludf.DUMMYFUNCTION("""COMPUTED_VALUE"""),7462.43)</f>
        <v>7462.43</v>
      </c>
      <c r="L1940" s="4">
        <f>IFERROR(__xludf.DUMMYFUNCTION("""COMPUTED_VALUE"""),1.0)</f>
        <v>1</v>
      </c>
      <c r="M1940" s="4">
        <f>IFERROR(__xludf.DUMMYFUNCTION("""COMPUTED_VALUE"""),6.0)</f>
        <v>6</v>
      </c>
      <c r="N1940" s="2" t="str">
        <f>IFERROR(__xludf.DUMMYFUNCTION("""COMPUTED_VALUE"""),"VERDADERO")</f>
        <v>VERDADERO</v>
      </c>
    </row>
    <row r="1941">
      <c r="A1941" s="2">
        <f>IFERROR(__xludf.DUMMYFUNCTION("""COMPUTED_VALUE"""),1940.0)</f>
        <v>1940</v>
      </c>
      <c r="B1941" s="2" t="str">
        <f>IFERROR(__xludf.DUMMYFUNCTION("""COMPUTED_VALUE"""),"Jonathan Huxley")</f>
        <v>Jonathan Huxley</v>
      </c>
      <c r="C1941" s="2" t="str">
        <f>IFERROR(__xludf.DUMMYFUNCTION("""COMPUTED_VALUE"""),"jhuxleyq4@chron.com")</f>
        <v>jhuxleyq4@chron.com</v>
      </c>
      <c r="D1941" s="4">
        <f>IFERROR(__xludf.DUMMYFUNCTION("""COMPUTED_VALUE"""),24.0)</f>
        <v>24</v>
      </c>
      <c r="E1941" s="4">
        <f>IFERROR(__xludf.DUMMYFUNCTION("""COMPUTED_VALUE"""),58.0)</f>
        <v>58</v>
      </c>
      <c r="F1941" s="4">
        <f>IFERROR(__xludf.DUMMYFUNCTION("""COMPUTED_VALUE"""),8.0)</f>
        <v>8</v>
      </c>
      <c r="G1941" s="4">
        <f>IFERROR(__xludf.DUMMYFUNCTION("""COMPUTED_VALUE"""),31.0)</f>
        <v>31</v>
      </c>
      <c r="H1941" s="5">
        <f>IFERROR(__xludf.DUMMYFUNCTION("""COMPUTED_VALUE"""),313.86)</f>
        <v>313.86</v>
      </c>
      <c r="I1941" s="5">
        <f>IFERROR(__xludf.DUMMYFUNCTION("""COMPUTED_VALUE"""),1784.34)</f>
        <v>1784.34</v>
      </c>
      <c r="J1941" s="5">
        <f>IFERROR(__xludf.DUMMYFUNCTION("""COMPUTED_VALUE"""),269.67)</f>
        <v>269.67</v>
      </c>
      <c r="K1941" s="5">
        <f>IFERROR(__xludf.DUMMYFUNCTION("""COMPUTED_VALUE"""),3499.52)</f>
        <v>3499.52</v>
      </c>
      <c r="L1941" s="4">
        <f>IFERROR(__xludf.DUMMYFUNCTION("""COMPUTED_VALUE"""),7.0)</f>
        <v>7</v>
      </c>
      <c r="M1941" s="4">
        <f>IFERROR(__xludf.DUMMYFUNCTION("""COMPUTED_VALUE"""),14.0)</f>
        <v>14</v>
      </c>
      <c r="N1941" s="2" t="str">
        <f>IFERROR(__xludf.DUMMYFUNCTION("""COMPUTED_VALUE"""),"FALSO")</f>
        <v>FALSO</v>
      </c>
    </row>
    <row r="1942">
      <c r="A1942" s="2">
        <f>IFERROR(__xludf.DUMMYFUNCTION("""COMPUTED_VALUE"""),1941.0)</f>
        <v>1941</v>
      </c>
      <c r="B1942" s="2" t="str">
        <f>IFERROR(__xludf.DUMMYFUNCTION("""COMPUTED_VALUE"""),"Rahel Leimster")</f>
        <v>Rahel Leimster</v>
      </c>
      <c r="C1942" s="2" t="str">
        <f>IFERROR(__xludf.DUMMYFUNCTION("""COMPUTED_VALUE"""),"rleimsterq5@globo.com")</f>
        <v>rleimsterq5@globo.com</v>
      </c>
      <c r="D1942" s="4">
        <f>IFERROR(__xludf.DUMMYFUNCTION("""COMPUTED_VALUE"""),24.0)</f>
        <v>24</v>
      </c>
      <c r="E1942" s="4">
        <f>IFERROR(__xludf.DUMMYFUNCTION("""COMPUTED_VALUE"""),55.0)</f>
        <v>55</v>
      </c>
      <c r="F1942" s="4">
        <f>IFERROR(__xludf.DUMMYFUNCTION("""COMPUTED_VALUE"""),9.0)</f>
        <v>9</v>
      </c>
      <c r="G1942" s="4">
        <f>IFERROR(__xludf.DUMMYFUNCTION("""COMPUTED_VALUE"""),603.0)</f>
        <v>603</v>
      </c>
      <c r="H1942" s="5">
        <f>IFERROR(__xludf.DUMMYFUNCTION("""COMPUTED_VALUE"""),793.23)</f>
        <v>793.23</v>
      </c>
      <c r="I1942" s="5">
        <f>IFERROR(__xludf.DUMMYFUNCTION("""COMPUTED_VALUE"""),1988.52)</f>
        <v>1988.52</v>
      </c>
      <c r="J1942" s="5">
        <f>IFERROR(__xludf.DUMMYFUNCTION("""COMPUTED_VALUE"""),2285.33)</f>
        <v>2285.33</v>
      </c>
      <c r="K1942" s="5">
        <f>IFERROR(__xludf.DUMMYFUNCTION("""COMPUTED_VALUE"""),3700.57)</f>
        <v>3700.57</v>
      </c>
      <c r="L1942" s="4">
        <f>IFERROR(__xludf.DUMMYFUNCTION("""COMPUTED_VALUE"""),13.0)</f>
        <v>13</v>
      </c>
      <c r="M1942" s="4">
        <f>IFERROR(__xludf.DUMMYFUNCTION("""COMPUTED_VALUE"""),25.0)</f>
        <v>25</v>
      </c>
      <c r="N1942" s="2" t="str">
        <f>IFERROR(__xludf.DUMMYFUNCTION("""COMPUTED_VALUE"""),"VERDADERO")</f>
        <v>VERDADERO</v>
      </c>
    </row>
    <row r="1943">
      <c r="A1943" s="2">
        <f>IFERROR(__xludf.DUMMYFUNCTION("""COMPUTED_VALUE"""),1942.0)</f>
        <v>1942</v>
      </c>
      <c r="B1943" s="2" t="str">
        <f>IFERROR(__xludf.DUMMYFUNCTION("""COMPUTED_VALUE"""),"Joyann Petchey")</f>
        <v>Joyann Petchey</v>
      </c>
      <c r="C1943" s="2" t="str">
        <f>IFERROR(__xludf.DUMMYFUNCTION("""COMPUTED_VALUE"""),"jpetcheyq6@forbes.com")</f>
        <v>jpetcheyq6@forbes.com</v>
      </c>
      <c r="D1943" s="4">
        <f>IFERROR(__xludf.DUMMYFUNCTION("""COMPUTED_VALUE"""),61.0)</f>
        <v>61</v>
      </c>
      <c r="E1943" s="4">
        <f>IFERROR(__xludf.DUMMYFUNCTION("""COMPUTED_VALUE"""),66.0)</f>
        <v>66</v>
      </c>
      <c r="F1943" s="4">
        <f>IFERROR(__xludf.DUMMYFUNCTION("""COMPUTED_VALUE"""),6.0)</f>
        <v>6</v>
      </c>
      <c r="G1943" s="4">
        <f>IFERROR(__xludf.DUMMYFUNCTION("""COMPUTED_VALUE"""),957.0)</f>
        <v>957</v>
      </c>
      <c r="H1943" s="5">
        <f>IFERROR(__xludf.DUMMYFUNCTION("""COMPUTED_VALUE"""),3053.38)</f>
        <v>3053.38</v>
      </c>
      <c r="I1943" s="5">
        <f>IFERROR(__xludf.DUMMYFUNCTION("""COMPUTED_VALUE"""),427.36)</f>
        <v>427.36</v>
      </c>
      <c r="J1943" s="5">
        <f>IFERROR(__xludf.DUMMYFUNCTION("""COMPUTED_VALUE"""),8682.6)</f>
        <v>8682.6</v>
      </c>
      <c r="K1943" s="5">
        <f>IFERROR(__xludf.DUMMYFUNCTION("""COMPUTED_VALUE"""),2668.3)</f>
        <v>2668.3</v>
      </c>
      <c r="L1943" s="4">
        <f>IFERROR(__xludf.DUMMYFUNCTION("""COMPUTED_VALUE"""),14.0)</f>
        <v>14</v>
      </c>
      <c r="M1943" s="4">
        <f>IFERROR(__xludf.DUMMYFUNCTION("""COMPUTED_VALUE"""),79.0)</f>
        <v>79</v>
      </c>
      <c r="N1943" s="2" t="str">
        <f>IFERROR(__xludf.DUMMYFUNCTION("""COMPUTED_VALUE"""),"FALSO")</f>
        <v>FALSO</v>
      </c>
    </row>
    <row r="1944">
      <c r="A1944" s="2">
        <f>IFERROR(__xludf.DUMMYFUNCTION("""COMPUTED_VALUE"""),1943.0)</f>
        <v>1943</v>
      </c>
      <c r="B1944" s="2" t="str">
        <f>IFERROR(__xludf.DUMMYFUNCTION("""COMPUTED_VALUE"""),"Fae Pie")</f>
        <v>Fae Pie</v>
      </c>
      <c r="C1944" s="2" t="str">
        <f>IFERROR(__xludf.DUMMYFUNCTION("""COMPUTED_VALUE"""),"fpieq7@slashdot.org")</f>
        <v>fpieq7@slashdot.org</v>
      </c>
      <c r="D1944" s="4">
        <f>IFERROR(__xludf.DUMMYFUNCTION("""COMPUTED_VALUE"""),73.0)</f>
        <v>73</v>
      </c>
      <c r="E1944" s="4">
        <f>IFERROR(__xludf.DUMMYFUNCTION("""COMPUTED_VALUE"""),21.0)</f>
        <v>21</v>
      </c>
      <c r="F1944" s="4">
        <f>IFERROR(__xludf.DUMMYFUNCTION("""COMPUTED_VALUE"""),12.0)</f>
        <v>12</v>
      </c>
      <c r="G1944" s="4">
        <f>IFERROR(__xludf.DUMMYFUNCTION("""COMPUTED_VALUE"""),1545.0)</f>
        <v>1545</v>
      </c>
      <c r="H1944" s="5">
        <f>IFERROR(__xludf.DUMMYFUNCTION("""COMPUTED_VALUE"""),6846.78)</f>
        <v>6846.78</v>
      </c>
      <c r="I1944" s="5">
        <f>IFERROR(__xludf.DUMMYFUNCTION("""COMPUTED_VALUE"""),8952.66)</f>
        <v>8952.66</v>
      </c>
      <c r="J1944" s="5">
        <f>IFERROR(__xludf.DUMMYFUNCTION("""COMPUTED_VALUE"""),9512.4)</f>
        <v>9512.4</v>
      </c>
      <c r="K1944" s="5">
        <f>IFERROR(__xludf.DUMMYFUNCTION("""COMPUTED_VALUE"""),6762.62)</f>
        <v>6762.62</v>
      </c>
      <c r="L1944" s="4">
        <f>IFERROR(__xludf.DUMMYFUNCTION("""COMPUTED_VALUE"""),6.0)</f>
        <v>6</v>
      </c>
      <c r="M1944" s="4">
        <f>IFERROR(__xludf.DUMMYFUNCTION("""COMPUTED_VALUE"""),73.0)</f>
        <v>73</v>
      </c>
      <c r="N1944" s="2" t="str">
        <f>IFERROR(__xludf.DUMMYFUNCTION("""COMPUTED_VALUE"""),"VERDADERO")</f>
        <v>VERDADERO</v>
      </c>
    </row>
    <row r="1945">
      <c r="A1945" s="2">
        <f>IFERROR(__xludf.DUMMYFUNCTION("""COMPUTED_VALUE"""),1944.0)</f>
        <v>1944</v>
      </c>
      <c r="B1945" s="2" t="str">
        <f>IFERROR(__xludf.DUMMYFUNCTION("""COMPUTED_VALUE"""),"Edie Klaggeman")</f>
        <v>Edie Klaggeman</v>
      </c>
      <c r="C1945" s="2" t="str">
        <f>IFERROR(__xludf.DUMMYFUNCTION("""COMPUTED_VALUE"""),"eklaggemanq8@psu.edu")</f>
        <v>eklaggemanq8@psu.edu</v>
      </c>
      <c r="D1945" s="4">
        <f>IFERROR(__xludf.DUMMYFUNCTION("""COMPUTED_VALUE"""),65.0)</f>
        <v>65</v>
      </c>
      <c r="E1945" s="4">
        <f>IFERROR(__xludf.DUMMYFUNCTION("""COMPUTED_VALUE"""),61.0)</f>
        <v>61</v>
      </c>
      <c r="F1945" s="4">
        <f>IFERROR(__xludf.DUMMYFUNCTION("""COMPUTED_VALUE"""),4.0)</f>
        <v>4</v>
      </c>
      <c r="G1945" s="4">
        <f>IFERROR(__xludf.DUMMYFUNCTION("""COMPUTED_VALUE"""),1496.0)</f>
        <v>1496</v>
      </c>
      <c r="H1945" s="5">
        <f>IFERROR(__xludf.DUMMYFUNCTION("""COMPUTED_VALUE"""),1446.3)</f>
        <v>1446.3</v>
      </c>
      <c r="I1945" s="5">
        <f>IFERROR(__xludf.DUMMYFUNCTION("""COMPUTED_VALUE"""),9134.44)</f>
        <v>9134.44</v>
      </c>
      <c r="J1945" s="5">
        <f>IFERROR(__xludf.DUMMYFUNCTION("""COMPUTED_VALUE"""),1450.08)</f>
        <v>1450.08</v>
      </c>
      <c r="K1945" s="5">
        <f>IFERROR(__xludf.DUMMYFUNCTION("""COMPUTED_VALUE"""),6279.66)</f>
        <v>6279.66</v>
      </c>
      <c r="L1945" s="4">
        <f>IFERROR(__xludf.DUMMYFUNCTION("""COMPUTED_VALUE"""),17.0)</f>
        <v>17</v>
      </c>
      <c r="M1945" s="4">
        <f>IFERROR(__xludf.DUMMYFUNCTION("""COMPUTED_VALUE"""),62.0)</f>
        <v>62</v>
      </c>
      <c r="N1945" s="2" t="str">
        <f>IFERROR(__xludf.DUMMYFUNCTION("""COMPUTED_VALUE"""),"VERDADERO")</f>
        <v>VERDADERO</v>
      </c>
    </row>
    <row r="1946">
      <c r="A1946" s="2">
        <f>IFERROR(__xludf.DUMMYFUNCTION("""COMPUTED_VALUE"""),1945.0)</f>
        <v>1945</v>
      </c>
      <c r="B1946" s="2" t="str">
        <f>IFERROR(__xludf.DUMMYFUNCTION("""COMPUTED_VALUE"""),"Prescott Adne")</f>
        <v>Prescott Adne</v>
      </c>
      <c r="C1946" s="2" t="str">
        <f>IFERROR(__xludf.DUMMYFUNCTION("""COMPUTED_VALUE"""),"padneq9@ehow.com")</f>
        <v>padneq9@ehow.com</v>
      </c>
      <c r="D1946" s="4">
        <f>IFERROR(__xludf.DUMMYFUNCTION("""COMPUTED_VALUE"""),49.0)</f>
        <v>49</v>
      </c>
      <c r="E1946" s="4">
        <f>IFERROR(__xludf.DUMMYFUNCTION("""COMPUTED_VALUE"""),65.0)</f>
        <v>65</v>
      </c>
      <c r="F1946" s="4">
        <f>IFERROR(__xludf.DUMMYFUNCTION("""COMPUTED_VALUE"""),9.0)</f>
        <v>9</v>
      </c>
      <c r="G1946" s="4">
        <f>IFERROR(__xludf.DUMMYFUNCTION("""COMPUTED_VALUE"""),595.0)</f>
        <v>595</v>
      </c>
      <c r="H1946" s="5">
        <f>IFERROR(__xludf.DUMMYFUNCTION("""COMPUTED_VALUE"""),9651.41)</f>
        <v>9651.41</v>
      </c>
      <c r="I1946" s="5">
        <f>IFERROR(__xludf.DUMMYFUNCTION("""COMPUTED_VALUE"""),4254.12)</f>
        <v>4254.12</v>
      </c>
      <c r="J1946" s="5">
        <f>IFERROR(__xludf.DUMMYFUNCTION("""COMPUTED_VALUE"""),7676.74)</f>
        <v>7676.74</v>
      </c>
      <c r="K1946" s="5">
        <f>IFERROR(__xludf.DUMMYFUNCTION("""COMPUTED_VALUE"""),2863.9)</f>
        <v>2863.9</v>
      </c>
      <c r="L1946" s="4">
        <f>IFERROR(__xludf.DUMMYFUNCTION("""COMPUTED_VALUE"""),9.0)</f>
        <v>9</v>
      </c>
      <c r="M1946" s="4">
        <f>IFERROR(__xludf.DUMMYFUNCTION("""COMPUTED_VALUE"""),89.0)</f>
        <v>89</v>
      </c>
      <c r="N1946" s="2" t="str">
        <f>IFERROR(__xludf.DUMMYFUNCTION("""COMPUTED_VALUE"""),"VERDADERO")</f>
        <v>VERDADERO</v>
      </c>
    </row>
    <row r="1947">
      <c r="A1947" s="2">
        <f>IFERROR(__xludf.DUMMYFUNCTION("""COMPUTED_VALUE"""),1946.0)</f>
        <v>1946</v>
      </c>
      <c r="B1947" s="2" t="str">
        <f>IFERROR(__xludf.DUMMYFUNCTION("""COMPUTED_VALUE"""),"Vaclav Hounsham")</f>
        <v>Vaclav Hounsham</v>
      </c>
      <c r="C1947" s="2" t="str">
        <f>IFERROR(__xludf.DUMMYFUNCTION("""COMPUTED_VALUE"""),"vhounshamqa@privacy.gov.au")</f>
        <v>vhounshamqa@privacy.gov.au</v>
      </c>
      <c r="D1947" s="4">
        <f>IFERROR(__xludf.DUMMYFUNCTION("""COMPUTED_VALUE"""),124.0)</f>
        <v>124</v>
      </c>
      <c r="E1947" s="4">
        <f>IFERROR(__xludf.DUMMYFUNCTION("""COMPUTED_VALUE"""),29.0)</f>
        <v>29</v>
      </c>
      <c r="F1947" s="4">
        <f>IFERROR(__xludf.DUMMYFUNCTION("""COMPUTED_VALUE"""),11.0)</f>
        <v>11</v>
      </c>
      <c r="G1947" s="4">
        <f>IFERROR(__xludf.DUMMYFUNCTION("""COMPUTED_VALUE"""),310.0)</f>
        <v>310</v>
      </c>
      <c r="H1947" s="5">
        <f>IFERROR(__xludf.DUMMYFUNCTION("""COMPUTED_VALUE"""),1536.33)</f>
        <v>1536.33</v>
      </c>
      <c r="I1947" s="5">
        <f>IFERROR(__xludf.DUMMYFUNCTION("""COMPUTED_VALUE"""),5181.99)</f>
        <v>5181.99</v>
      </c>
      <c r="J1947" s="5">
        <f>IFERROR(__xludf.DUMMYFUNCTION("""COMPUTED_VALUE"""),7267.8)</f>
        <v>7267.8</v>
      </c>
      <c r="K1947" s="5">
        <f>IFERROR(__xludf.DUMMYFUNCTION("""COMPUTED_VALUE"""),6772.47)</f>
        <v>6772.47</v>
      </c>
      <c r="L1947" s="4">
        <f>IFERROR(__xludf.DUMMYFUNCTION("""COMPUTED_VALUE"""),12.0)</f>
        <v>12</v>
      </c>
      <c r="M1947" s="4">
        <f>IFERROR(__xludf.DUMMYFUNCTION("""COMPUTED_VALUE"""),69.0)</f>
        <v>69</v>
      </c>
      <c r="N1947" s="2" t="str">
        <f>IFERROR(__xludf.DUMMYFUNCTION("""COMPUTED_VALUE"""),"FALSO")</f>
        <v>FALSO</v>
      </c>
    </row>
    <row r="1948">
      <c r="A1948" s="2">
        <f>IFERROR(__xludf.DUMMYFUNCTION("""COMPUTED_VALUE"""),1947.0)</f>
        <v>1947</v>
      </c>
      <c r="B1948" s="2" t="str">
        <f>IFERROR(__xludf.DUMMYFUNCTION("""COMPUTED_VALUE"""),"Fallon Brychan")</f>
        <v>Fallon Brychan</v>
      </c>
      <c r="C1948" s="2" t="str">
        <f>IFERROR(__xludf.DUMMYFUNCTION("""COMPUTED_VALUE"""),"fbrychanqb@yellowbook.com")</f>
        <v>fbrychanqb@yellowbook.com</v>
      </c>
      <c r="D1948" s="4">
        <f>IFERROR(__xludf.DUMMYFUNCTION("""COMPUTED_VALUE"""),66.0)</f>
        <v>66</v>
      </c>
      <c r="E1948" s="4">
        <f>IFERROR(__xludf.DUMMYFUNCTION("""COMPUTED_VALUE"""),58.0)</f>
        <v>58</v>
      </c>
      <c r="F1948" s="4">
        <f>IFERROR(__xludf.DUMMYFUNCTION("""COMPUTED_VALUE"""),8.0)</f>
        <v>8</v>
      </c>
      <c r="G1948" s="4">
        <f>IFERROR(__xludf.DUMMYFUNCTION("""COMPUTED_VALUE"""),822.0)</f>
        <v>822</v>
      </c>
      <c r="H1948" s="5">
        <f>IFERROR(__xludf.DUMMYFUNCTION("""COMPUTED_VALUE"""),4377.25)</f>
        <v>4377.25</v>
      </c>
      <c r="I1948" s="5">
        <f>IFERROR(__xludf.DUMMYFUNCTION("""COMPUTED_VALUE"""),2209.58)</f>
        <v>2209.58</v>
      </c>
      <c r="J1948" s="5">
        <f>IFERROR(__xludf.DUMMYFUNCTION("""COMPUTED_VALUE"""),5525.45)</f>
        <v>5525.45</v>
      </c>
      <c r="K1948" s="5">
        <f>IFERROR(__xludf.DUMMYFUNCTION("""COMPUTED_VALUE"""),7563.94)</f>
        <v>7563.94</v>
      </c>
      <c r="L1948" s="4">
        <f>IFERROR(__xludf.DUMMYFUNCTION("""COMPUTED_VALUE"""),19.0)</f>
        <v>19</v>
      </c>
      <c r="M1948" s="4">
        <f>IFERROR(__xludf.DUMMYFUNCTION("""COMPUTED_VALUE"""),46.0)</f>
        <v>46</v>
      </c>
      <c r="N1948" s="2" t="str">
        <f>IFERROR(__xludf.DUMMYFUNCTION("""COMPUTED_VALUE"""),"FALSO")</f>
        <v>FALSO</v>
      </c>
    </row>
    <row r="1949">
      <c r="A1949" s="2">
        <f>IFERROR(__xludf.DUMMYFUNCTION("""COMPUTED_VALUE"""),1948.0)</f>
        <v>1948</v>
      </c>
      <c r="B1949" s="2" t="str">
        <f>IFERROR(__xludf.DUMMYFUNCTION("""COMPUTED_VALUE"""),"Nikki Ingledew")</f>
        <v>Nikki Ingledew</v>
      </c>
      <c r="C1949" s="2" t="str">
        <f>IFERROR(__xludf.DUMMYFUNCTION("""COMPUTED_VALUE"""),"ningledewqc@bbb.org")</f>
        <v>ningledewqc@bbb.org</v>
      </c>
      <c r="D1949" s="4">
        <f>IFERROR(__xludf.DUMMYFUNCTION("""COMPUTED_VALUE"""),17.0)</f>
        <v>17</v>
      </c>
      <c r="E1949" s="4">
        <f>IFERROR(__xludf.DUMMYFUNCTION("""COMPUTED_VALUE"""),107.0)</f>
        <v>107</v>
      </c>
      <c r="F1949" s="4">
        <f>IFERROR(__xludf.DUMMYFUNCTION("""COMPUTED_VALUE"""),5.0)</f>
        <v>5</v>
      </c>
      <c r="G1949" s="4">
        <f>IFERROR(__xludf.DUMMYFUNCTION("""COMPUTED_VALUE"""),446.0)</f>
        <v>446</v>
      </c>
      <c r="H1949" s="5">
        <f>IFERROR(__xludf.DUMMYFUNCTION("""COMPUTED_VALUE"""),8422.77)</f>
        <v>8422.77</v>
      </c>
      <c r="I1949" s="5">
        <f>IFERROR(__xludf.DUMMYFUNCTION("""COMPUTED_VALUE"""),697.93)</f>
        <v>697.93</v>
      </c>
      <c r="J1949" s="5">
        <f>IFERROR(__xludf.DUMMYFUNCTION("""COMPUTED_VALUE"""),4031.48)</f>
        <v>4031.48</v>
      </c>
      <c r="K1949" s="5">
        <f>IFERROR(__xludf.DUMMYFUNCTION("""COMPUTED_VALUE"""),8637.97)</f>
        <v>8637.97</v>
      </c>
      <c r="L1949" s="4">
        <f>IFERROR(__xludf.DUMMYFUNCTION("""COMPUTED_VALUE"""),18.0)</f>
        <v>18</v>
      </c>
      <c r="M1949" s="4">
        <f>IFERROR(__xludf.DUMMYFUNCTION("""COMPUTED_VALUE"""),11.0)</f>
        <v>11</v>
      </c>
      <c r="N1949" s="2" t="str">
        <f>IFERROR(__xludf.DUMMYFUNCTION("""COMPUTED_VALUE"""),"FALSO")</f>
        <v>FALSO</v>
      </c>
    </row>
    <row r="1950">
      <c r="A1950" s="2">
        <f>IFERROR(__xludf.DUMMYFUNCTION("""COMPUTED_VALUE"""),1949.0)</f>
        <v>1949</v>
      </c>
      <c r="B1950" s="2" t="str">
        <f>IFERROR(__xludf.DUMMYFUNCTION("""COMPUTED_VALUE"""),"Persis Greenan")</f>
        <v>Persis Greenan</v>
      </c>
      <c r="C1950" s="2" t="str">
        <f>IFERROR(__xludf.DUMMYFUNCTION("""COMPUTED_VALUE"""),"pgreenanqd@cyberchimps.com")</f>
        <v>pgreenanqd@cyberchimps.com</v>
      </c>
      <c r="D1950" s="4">
        <f>IFERROR(__xludf.DUMMYFUNCTION("""COMPUTED_VALUE"""),29.0)</f>
        <v>29</v>
      </c>
      <c r="E1950" s="4">
        <f>IFERROR(__xludf.DUMMYFUNCTION("""COMPUTED_VALUE"""),59.0)</f>
        <v>59</v>
      </c>
      <c r="F1950" s="4">
        <f>IFERROR(__xludf.DUMMYFUNCTION("""COMPUTED_VALUE"""),6.0)</f>
        <v>6</v>
      </c>
      <c r="G1950" s="4">
        <f>IFERROR(__xludf.DUMMYFUNCTION("""COMPUTED_VALUE"""),685.0)</f>
        <v>685</v>
      </c>
      <c r="H1950" s="5">
        <f>IFERROR(__xludf.DUMMYFUNCTION("""COMPUTED_VALUE"""),6447.13)</f>
        <v>6447.13</v>
      </c>
      <c r="I1950" s="5">
        <f>IFERROR(__xludf.DUMMYFUNCTION("""COMPUTED_VALUE"""),3848.39)</f>
        <v>3848.39</v>
      </c>
      <c r="J1950" s="5">
        <f>IFERROR(__xludf.DUMMYFUNCTION("""COMPUTED_VALUE"""),6047.6)</f>
        <v>6047.6</v>
      </c>
      <c r="K1950" s="5">
        <f>IFERROR(__xludf.DUMMYFUNCTION("""COMPUTED_VALUE"""),4218.68)</f>
        <v>4218.68</v>
      </c>
      <c r="L1950" s="4">
        <f>IFERROR(__xludf.DUMMYFUNCTION("""COMPUTED_VALUE"""),7.0)</f>
        <v>7</v>
      </c>
      <c r="M1950" s="4">
        <f>IFERROR(__xludf.DUMMYFUNCTION("""COMPUTED_VALUE"""),100.0)</f>
        <v>100</v>
      </c>
      <c r="N1950" s="2" t="str">
        <f>IFERROR(__xludf.DUMMYFUNCTION("""COMPUTED_VALUE"""),"VERDADERO")</f>
        <v>VERDADERO</v>
      </c>
    </row>
    <row r="1951">
      <c r="A1951" s="2">
        <f>IFERROR(__xludf.DUMMYFUNCTION("""COMPUTED_VALUE"""),1950.0)</f>
        <v>1950</v>
      </c>
      <c r="B1951" s="2" t="str">
        <f>IFERROR(__xludf.DUMMYFUNCTION("""COMPUTED_VALUE"""),"Merle Blackshaw")</f>
        <v>Merle Blackshaw</v>
      </c>
      <c r="C1951" s="2" t="str">
        <f>IFERROR(__xludf.DUMMYFUNCTION("""COMPUTED_VALUE"""),"mblackshawqe@walmart.com")</f>
        <v>mblackshawqe@walmart.com</v>
      </c>
      <c r="D1951" s="4">
        <f>IFERROR(__xludf.DUMMYFUNCTION("""COMPUTED_VALUE"""),158.0)</f>
        <v>158</v>
      </c>
      <c r="E1951" s="4">
        <f>IFERROR(__xludf.DUMMYFUNCTION("""COMPUTED_VALUE"""),65.0)</f>
        <v>65</v>
      </c>
      <c r="F1951" s="4">
        <f>IFERROR(__xludf.DUMMYFUNCTION("""COMPUTED_VALUE"""),9.0)</f>
        <v>9</v>
      </c>
      <c r="G1951" s="4">
        <f>IFERROR(__xludf.DUMMYFUNCTION("""COMPUTED_VALUE"""),624.0)</f>
        <v>624</v>
      </c>
      <c r="H1951" s="5">
        <f>IFERROR(__xludf.DUMMYFUNCTION("""COMPUTED_VALUE"""),318.07)</f>
        <v>318.07</v>
      </c>
      <c r="I1951" s="5">
        <f>IFERROR(__xludf.DUMMYFUNCTION("""COMPUTED_VALUE"""),8281.15)</f>
        <v>8281.15</v>
      </c>
      <c r="J1951" s="5">
        <f>IFERROR(__xludf.DUMMYFUNCTION("""COMPUTED_VALUE"""),5257.65)</f>
        <v>5257.65</v>
      </c>
      <c r="K1951" s="5">
        <f>IFERROR(__xludf.DUMMYFUNCTION("""COMPUTED_VALUE"""),798.93)</f>
        <v>798.93</v>
      </c>
      <c r="L1951" s="4">
        <f>IFERROR(__xludf.DUMMYFUNCTION("""COMPUTED_VALUE"""),6.0)</f>
        <v>6</v>
      </c>
      <c r="M1951" s="4">
        <f>IFERROR(__xludf.DUMMYFUNCTION("""COMPUTED_VALUE"""),67.0)</f>
        <v>67</v>
      </c>
      <c r="N1951" s="2" t="str">
        <f>IFERROR(__xludf.DUMMYFUNCTION("""COMPUTED_VALUE"""),"FALSO")</f>
        <v>FALSO</v>
      </c>
    </row>
    <row r="1952">
      <c r="A1952" s="2">
        <f>IFERROR(__xludf.DUMMYFUNCTION("""COMPUTED_VALUE"""),1951.0)</f>
        <v>1951</v>
      </c>
      <c r="B1952" s="2" t="str">
        <f>IFERROR(__xludf.DUMMYFUNCTION("""COMPUTED_VALUE"""),"Bail Stanlock")</f>
        <v>Bail Stanlock</v>
      </c>
      <c r="C1952" s="2" t="str">
        <f>IFERROR(__xludf.DUMMYFUNCTION("""COMPUTED_VALUE"""),"bstanlockqf@phoca.cz")</f>
        <v>bstanlockqf@phoca.cz</v>
      </c>
      <c r="D1952" s="4">
        <f>IFERROR(__xludf.DUMMYFUNCTION("""COMPUTED_VALUE"""),25.0)</f>
        <v>25</v>
      </c>
      <c r="E1952" s="4">
        <f>IFERROR(__xludf.DUMMYFUNCTION("""COMPUTED_VALUE"""),109.0)</f>
        <v>109</v>
      </c>
      <c r="F1952" s="4">
        <f>IFERROR(__xludf.DUMMYFUNCTION("""COMPUTED_VALUE"""),5.0)</f>
        <v>5</v>
      </c>
      <c r="G1952" s="4">
        <f>IFERROR(__xludf.DUMMYFUNCTION("""COMPUTED_VALUE"""),1553.0)</f>
        <v>1553</v>
      </c>
      <c r="H1952" s="5">
        <f>IFERROR(__xludf.DUMMYFUNCTION("""COMPUTED_VALUE"""),7106.13)</f>
        <v>7106.13</v>
      </c>
      <c r="I1952" s="5">
        <f>IFERROR(__xludf.DUMMYFUNCTION("""COMPUTED_VALUE"""),5222.3)</f>
        <v>5222.3</v>
      </c>
      <c r="J1952" s="5">
        <f>IFERROR(__xludf.DUMMYFUNCTION("""COMPUTED_VALUE"""),1678.46)</f>
        <v>1678.46</v>
      </c>
      <c r="K1952" s="5">
        <f>IFERROR(__xludf.DUMMYFUNCTION("""COMPUTED_VALUE"""),4008.05)</f>
        <v>4008.05</v>
      </c>
      <c r="L1952" s="4">
        <f>IFERROR(__xludf.DUMMYFUNCTION("""COMPUTED_VALUE"""),17.0)</f>
        <v>17</v>
      </c>
      <c r="M1952" s="4">
        <f>IFERROR(__xludf.DUMMYFUNCTION("""COMPUTED_VALUE"""),27.0)</f>
        <v>27</v>
      </c>
      <c r="N1952" s="2" t="str">
        <f>IFERROR(__xludf.DUMMYFUNCTION("""COMPUTED_VALUE"""),"VERDADERO")</f>
        <v>VERDADERO</v>
      </c>
    </row>
    <row r="1953">
      <c r="A1953" s="2">
        <f>IFERROR(__xludf.DUMMYFUNCTION("""COMPUTED_VALUE"""),1952.0)</f>
        <v>1952</v>
      </c>
      <c r="B1953" s="2" t="str">
        <f>IFERROR(__xludf.DUMMYFUNCTION("""COMPUTED_VALUE"""),"Garwood Airs")</f>
        <v>Garwood Airs</v>
      </c>
      <c r="C1953" s="2" t="str">
        <f>IFERROR(__xludf.DUMMYFUNCTION("""COMPUTED_VALUE"""),"gairsqg@jalbum.net")</f>
        <v>gairsqg@jalbum.net</v>
      </c>
      <c r="D1953" s="4">
        <f>IFERROR(__xludf.DUMMYFUNCTION("""COMPUTED_VALUE"""),124.0)</f>
        <v>124</v>
      </c>
      <c r="E1953" s="4">
        <f>IFERROR(__xludf.DUMMYFUNCTION("""COMPUTED_VALUE"""),9.0)</f>
        <v>9</v>
      </c>
      <c r="F1953" s="4">
        <f>IFERROR(__xludf.DUMMYFUNCTION("""COMPUTED_VALUE"""),10.0)</f>
        <v>10</v>
      </c>
      <c r="G1953" s="4">
        <f>IFERROR(__xludf.DUMMYFUNCTION("""COMPUTED_VALUE"""),377.0)</f>
        <v>377</v>
      </c>
      <c r="H1953" s="5">
        <f>IFERROR(__xludf.DUMMYFUNCTION("""COMPUTED_VALUE"""),3274.31)</f>
        <v>3274.31</v>
      </c>
      <c r="I1953" s="5">
        <f>IFERROR(__xludf.DUMMYFUNCTION("""COMPUTED_VALUE"""),6302.97)</f>
        <v>6302.97</v>
      </c>
      <c r="J1953" s="5">
        <f>IFERROR(__xludf.DUMMYFUNCTION("""COMPUTED_VALUE"""),2761.73)</f>
        <v>2761.73</v>
      </c>
      <c r="K1953" s="5">
        <f>IFERROR(__xludf.DUMMYFUNCTION("""COMPUTED_VALUE"""),6811.99)</f>
        <v>6811.99</v>
      </c>
      <c r="L1953" s="4">
        <f>IFERROR(__xludf.DUMMYFUNCTION("""COMPUTED_VALUE"""),1.0)</f>
        <v>1</v>
      </c>
      <c r="M1953" s="4">
        <f>IFERROR(__xludf.DUMMYFUNCTION("""COMPUTED_VALUE"""),30.0)</f>
        <v>30</v>
      </c>
      <c r="N1953" s="2" t="str">
        <f>IFERROR(__xludf.DUMMYFUNCTION("""COMPUTED_VALUE"""),"VERDADERO")</f>
        <v>VERDADERO</v>
      </c>
    </row>
    <row r="1954">
      <c r="A1954" s="2">
        <f>IFERROR(__xludf.DUMMYFUNCTION("""COMPUTED_VALUE"""),1953.0)</f>
        <v>1953</v>
      </c>
      <c r="B1954" s="2" t="str">
        <f>IFERROR(__xludf.DUMMYFUNCTION("""COMPUTED_VALUE"""),"Rab Setterington")</f>
        <v>Rab Setterington</v>
      </c>
      <c r="C1954" s="2" t="str">
        <f>IFERROR(__xludf.DUMMYFUNCTION("""COMPUTED_VALUE"""),"rsetteringtonqh@nydailynews.com")</f>
        <v>rsetteringtonqh@nydailynews.com</v>
      </c>
      <c r="D1954" s="4">
        <f>IFERROR(__xludf.DUMMYFUNCTION("""COMPUTED_VALUE"""),157.0)</f>
        <v>157</v>
      </c>
      <c r="E1954" s="4">
        <f>IFERROR(__xludf.DUMMYFUNCTION("""COMPUTED_VALUE"""),66.0)</f>
        <v>66</v>
      </c>
      <c r="F1954" s="4">
        <f>IFERROR(__xludf.DUMMYFUNCTION("""COMPUTED_VALUE"""),6.0)</f>
        <v>6</v>
      </c>
      <c r="G1954" s="4">
        <f>IFERROR(__xludf.DUMMYFUNCTION("""COMPUTED_VALUE"""),1228.0)</f>
        <v>1228</v>
      </c>
      <c r="H1954" s="5">
        <f>IFERROR(__xludf.DUMMYFUNCTION("""COMPUTED_VALUE"""),423.77)</f>
        <v>423.77</v>
      </c>
      <c r="I1954" s="5">
        <f>IFERROR(__xludf.DUMMYFUNCTION("""COMPUTED_VALUE"""),7566.39)</f>
        <v>7566.39</v>
      </c>
      <c r="J1954" s="5">
        <f>IFERROR(__xludf.DUMMYFUNCTION("""COMPUTED_VALUE"""),3402.75)</f>
        <v>3402.75</v>
      </c>
      <c r="K1954" s="5">
        <f>IFERROR(__xludf.DUMMYFUNCTION("""COMPUTED_VALUE"""),5825.12)</f>
        <v>5825.12</v>
      </c>
      <c r="L1954" s="4">
        <f>IFERROR(__xludf.DUMMYFUNCTION("""COMPUTED_VALUE"""),11.0)</f>
        <v>11</v>
      </c>
      <c r="M1954" s="4">
        <f>IFERROR(__xludf.DUMMYFUNCTION("""COMPUTED_VALUE"""),12.0)</f>
        <v>12</v>
      </c>
      <c r="N1954" s="2" t="str">
        <f>IFERROR(__xludf.DUMMYFUNCTION("""COMPUTED_VALUE"""),"FALSO")</f>
        <v>FALSO</v>
      </c>
    </row>
    <row r="1955">
      <c r="A1955" s="2">
        <f>IFERROR(__xludf.DUMMYFUNCTION("""COMPUTED_VALUE"""),1954.0)</f>
        <v>1954</v>
      </c>
      <c r="B1955" s="2" t="str">
        <f>IFERROR(__xludf.DUMMYFUNCTION("""COMPUTED_VALUE"""),"Mirelle Hellen")</f>
        <v>Mirelle Hellen</v>
      </c>
      <c r="C1955" s="2" t="str">
        <f>IFERROR(__xludf.DUMMYFUNCTION("""COMPUTED_VALUE"""),"mhellenqi@businesswire.com")</f>
        <v>mhellenqi@businesswire.com</v>
      </c>
      <c r="D1955" s="4">
        <f>IFERROR(__xludf.DUMMYFUNCTION("""COMPUTED_VALUE"""),37.0)</f>
        <v>37</v>
      </c>
      <c r="E1955" s="4">
        <f>IFERROR(__xludf.DUMMYFUNCTION("""COMPUTED_VALUE"""),81.0)</f>
        <v>81</v>
      </c>
      <c r="F1955" s="4">
        <f>IFERROR(__xludf.DUMMYFUNCTION("""COMPUTED_VALUE"""),2.0)</f>
        <v>2</v>
      </c>
      <c r="G1955" s="4">
        <f>IFERROR(__xludf.DUMMYFUNCTION("""COMPUTED_VALUE"""),1269.0)</f>
        <v>1269</v>
      </c>
      <c r="H1955" s="5">
        <f>IFERROR(__xludf.DUMMYFUNCTION("""COMPUTED_VALUE"""),9215.99)</f>
        <v>9215.99</v>
      </c>
      <c r="I1955" s="5">
        <f>IFERROR(__xludf.DUMMYFUNCTION("""COMPUTED_VALUE"""),4271.01)</f>
        <v>4271.01</v>
      </c>
      <c r="J1955" s="5">
        <f>IFERROR(__xludf.DUMMYFUNCTION("""COMPUTED_VALUE"""),8828.82)</f>
        <v>8828.82</v>
      </c>
      <c r="K1955" s="5">
        <f>IFERROR(__xludf.DUMMYFUNCTION("""COMPUTED_VALUE"""),5093.13)</f>
        <v>5093.13</v>
      </c>
      <c r="L1955" s="4">
        <f>IFERROR(__xludf.DUMMYFUNCTION("""COMPUTED_VALUE"""),3.0)</f>
        <v>3</v>
      </c>
      <c r="M1955" s="4">
        <f>IFERROR(__xludf.DUMMYFUNCTION("""COMPUTED_VALUE"""),23.0)</f>
        <v>23</v>
      </c>
      <c r="N1955" s="2" t="str">
        <f>IFERROR(__xludf.DUMMYFUNCTION("""COMPUTED_VALUE"""),"VERDADERO")</f>
        <v>VERDADERO</v>
      </c>
    </row>
    <row r="1956">
      <c r="A1956" s="2">
        <f>IFERROR(__xludf.DUMMYFUNCTION("""COMPUTED_VALUE"""),1955.0)</f>
        <v>1955</v>
      </c>
      <c r="B1956" s="2" t="str">
        <f>IFERROR(__xludf.DUMMYFUNCTION("""COMPUTED_VALUE"""),"Darice Horlick")</f>
        <v>Darice Horlick</v>
      </c>
      <c r="C1956" s="2" t="str">
        <f>IFERROR(__xludf.DUMMYFUNCTION("""COMPUTED_VALUE"""),"dhorlickqj@timesonline.co.uk")</f>
        <v>dhorlickqj@timesonline.co.uk</v>
      </c>
      <c r="D1956" s="4">
        <f>IFERROR(__xludf.DUMMYFUNCTION("""COMPUTED_VALUE"""),65.0)</f>
        <v>65</v>
      </c>
      <c r="E1956" s="4">
        <f>IFERROR(__xludf.DUMMYFUNCTION("""COMPUTED_VALUE"""),81.0)</f>
        <v>81</v>
      </c>
      <c r="F1956" s="4">
        <f>IFERROR(__xludf.DUMMYFUNCTION("""COMPUTED_VALUE"""),2.0)</f>
        <v>2</v>
      </c>
      <c r="G1956" s="4">
        <f>IFERROR(__xludf.DUMMYFUNCTION("""COMPUTED_VALUE"""),111.0)</f>
        <v>111</v>
      </c>
      <c r="H1956" s="5">
        <f>IFERROR(__xludf.DUMMYFUNCTION("""COMPUTED_VALUE"""),6897.77)</f>
        <v>6897.77</v>
      </c>
      <c r="I1956" s="5">
        <f>IFERROR(__xludf.DUMMYFUNCTION("""COMPUTED_VALUE"""),3429.79)</f>
        <v>3429.79</v>
      </c>
      <c r="J1956" s="5">
        <f>IFERROR(__xludf.DUMMYFUNCTION("""COMPUTED_VALUE"""),5077.28)</f>
        <v>5077.28</v>
      </c>
      <c r="K1956" s="5">
        <f>IFERROR(__xludf.DUMMYFUNCTION("""COMPUTED_VALUE"""),5228.73)</f>
        <v>5228.73</v>
      </c>
      <c r="L1956" s="4">
        <f>IFERROR(__xludf.DUMMYFUNCTION("""COMPUTED_VALUE"""),11.0)</f>
        <v>11</v>
      </c>
      <c r="M1956" s="4">
        <f>IFERROR(__xludf.DUMMYFUNCTION("""COMPUTED_VALUE"""),19.0)</f>
        <v>19</v>
      </c>
      <c r="N1956" s="2" t="str">
        <f>IFERROR(__xludf.DUMMYFUNCTION("""COMPUTED_VALUE"""),"VERDADERO")</f>
        <v>VERDADERO</v>
      </c>
    </row>
    <row r="1957">
      <c r="A1957" s="2">
        <f>IFERROR(__xludf.DUMMYFUNCTION("""COMPUTED_VALUE"""),1956.0)</f>
        <v>1956</v>
      </c>
      <c r="B1957" s="2" t="str">
        <f>IFERROR(__xludf.DUMMYFUNCTION("""COMPUTED_VALUE"""),"Millisent Henrionot")</f>
        <v>Millisent Henrionot</v>
      </c>
      <c r="C1957" s="2" t="str">
        <f>IFERROR(__xludf.DUMMYFUNCTION("""COMPUTED_VALUE"""),"mhenrionotqk@virginia.edu")</f>
        <v>mhenrionotqk@virginia.edu</v>
      </c>
      <c r="D1957" s="4">
        <f>IFERROR(__xludf.DUMMYFUNCTION("""COMPUTED_VALUE"""),73.0)</f>
        <v>73</v>
      </c>
      <c r="E1957" s="4">
        <f>IFERROR(__xludf.DUMMYFUNCTION("""COMPUTED_VALUE"""),58.0)</f>
        <v>58</v>
      </c>
      <c r="F1957" s="4">
        <f>IFERROR(__xludf.DUMMYFUNCTION("""COMPUTED_VALUE"""),8.0)</f>
        <v>8</v>
      </c>
      <c r="G1957" s="4">
        <f>IFERROR(__xludf.DUMMYFUNCTION("""COMPUTED_VALUE"""),1321.0)</f>
        <v>1321</v>
      </c>
      <c r="H1957" s="5">
        <f>IFERROR(__xludf.DUMMYFUNCTION("""COMPUTED_VALUE"""),9697.45)</f>
        <v>9697.45</v>
      </c>
      <c r="I1957" s="5">
        <f>IFERROR(__xludf.DUMMYFUNCTION("""COMPUTED_VALUE"""),4886.43)</f>
        <v>4886.43</v>
      </c>
      <c r="J1957" s="5">
        <f>IFERROR(__xludf.DUMMYFUNCTION("""COMPUTED_VALUE"""),9888.27)</f>
        <v>9888.27</v>
      </c>
      <c r="K1957" s="5">
        <f>IFERROR(__xludf.DUMMYFUNCTION("""COMPUTED_VALUE"""),5677.78)</f>
        <v>5677.78</v>
      </c>
      <c r="L1957" s="4">
        <f>IFERROR(__xludf.DUMMYFUNCTION("""COMPUTED_VALUE"""),6.0)</f>
        <v>6</v>
      </c>
      <c r="M1957" s="4">
        <f>IFERROR(__xludf.DUMMYFUNCTION("""COMPUTED_VALUE"""),7.0)</f>
        <v>7</v>
      </c>
      <c r="N1957" s="2" t="str">
        <f>IFERROR(__xludf.DUMMYFUNCTION("""COMPUTED_VALUE"""),"VERDADERO")</f>
        <v>VERDADERO</v>
      </c>
    </row>
    <row r="1958">
      <c r="A1958" s="2">
        <f>IFERROR(__xludf.DUMMYFUNCTION("""COMPUTED_VALUE"""),1957.0)</f>
        <v>1957</v>
      </c>
      <c r="B1958" s="2" t="str">
        <f>IFERROR(__xludf.DUMMYFUNCTION("""COMPUTED_VALUE"""),"Gratiana Hinkes")</f>
        <v>Gratiana Hinkes</v>
      </c>
      <c r="C1958" s="2" t="str">
        <f>IFERROR(__xludf.DUMMYFUNCTION("""COMPUTED_VALUE"""),"ghinkesql@tuttocitta.it")</f>
        <v>ghinkesql@tuttocitta.it</v>
      </c>
      <c r="D1958" s="4">
        <f>IFERROR(__xludf.DUMMYFUNCTION("""COMPUTED_VALUE"""),29.0)</f>
        <v>29</v>
      </c>
      <c r="E1958" s="4">
        <f>IFERROR(__xludf.DUMMYFUNCTION("""COMPUTED_VALUE"""),81.0)</f>
        <v>81</v>
      </c>
      <c r="F1958" s="4">
        <f>IFERROR(__xludf.DUMMYFUNCTION("""COMPUTED_VALUE"""),2.0)</f>
        <v>2</v>
      </c>
      <c r="G1958" s="4">
        <f>IFERROR(__xludf.DUMMYFUNCTION("""COMPUTED_VALUE"""),659.0)</f>
        <v>659</v>
      </c>
      <c r="H1958" s="5">
        <f>IFERROR(__xludf.DUMMYFUNCTION("""COMPUTED_VALUE"""),3469.56)</f>
        <v>3469.56</v>
      </c>
      <c r="I1958" s="5">
        <f>IFERROR(__xludf.DUMMYFUNCTION("""COMPUTED_VALUE"""),8234.54)</f>
        <v>8234.54</v>
      </c>
      <c r="J1958" s="5">
        <f>IFERROR(__xludf.DUMMYFUNCTION("""COMPUTED_VALUE"""),8360.68)</f>
        <v>8360.68</v>
      </c>
      <c r="K1958" s="5">
        <f>IFERROR(__xludf.DUMMYFUNCTION("""COMPUTED_VALUE"""),434.29)</f>
        <v>434.29</v>
      </c>
      <c r="L1958" s="4">
        <f>IFERROR(__xludf.DUMMYFUNCTION("""COMPUTED_VALUE"""),9.0)</f>
        <v>9</v>
      </c>
      <c r="M1958" s="4">
        <f>IFERROR(__xludf.DUMMYFUNCTION("""COMPUTED_VALUE"""),52.0)</f>
        <v>52</v>
      </c>
      <c r="N1958" s="2" t="str">
        <f>IFERROR(__xludf.DUMMYFUNCTION("""COMPUTED_VALUE"""),"VERDADERO")</f>
        <v>VERDADERO</v>
      </c>
    </row>
    <row r="1959">
      <c r="A1959" s="2">
        <f>IFERROR(__xludf.DUMMYFUNCTION("""COMPUTED_VALUE"""),1958.0)</f>
        <v>1958</v>
      </c>
      <c r="B1959" s="2" t="str">
        <f>IFERROR(__xludf.DUMMYFUNCTION("""COMPUTED_VALUE"""),"Zeb Avraam")</f>
        <v>Zeb Avraam</v>
      </c>
      <c r="C1959" s="2" t="str">
        <f>IFERROR(__xludf.DUMMYFUNCTION("""COMPUTED_VALUE"""),"zavraamqm@sphinn.com")</f>
        <v>zavraamqm@sphinn.com</v>
      </c>
      <c r="D1959" s="4">
        <f>IFERROR(__xludf.DUMMYFUNCTION("""COMPUTED_VALUE"""),120.0)</f>
        <v>120</v>
      </c>
      <c r="E1959" s="4">
        <f>IFERROR(__xludf.DUMMYFUNCTION("""COMPUTED_VALUE"""),81.0)</f>
        <v>81</v>
      </c>
      <c r="F1959" s="4">
        <f>IFERROR(__xludf.DUMMYFUNCTION("""COMPUTED_VALUE"""),2.0)</f>
        <v>2</v>
      </c>
      <c r="G1959" s="4">
        <f>IFERROR(__xludf.DUMMYFUNCTION("""COMPUTED_VALUE"""),1032.0)</f>
        <v>1032</v>
      </c>
      <c r="H1959" s="5">
        <f>IFERROR(__xludf.DUMMYFUNCTION("""COMPUTED_VALUE"""),2410.27)</f>
        <v>2410.27</v>
      </c>
      <c r="I1959" s="5">
        <f>IFERROR(__xludf.DUMMYFUNCTION("""COMPUTED_VALUE"""),7993.79)</f>
        <v>7993.79</v>
      </c>
      <c r="J1959" s="5">
        <f>IFERROR(__xludf.DUMMYFUNCTION("""COMPUTED_VALUE"""),3868.48)</f>
        <v>3868.48</v>
      </c>
      <c r="K1959" s="5">
        <f>IFERROR(__xludf.DUMMYFUNCTION("""COMPUTED_VALUE"""),7840.43)</f>
        <v>7840.43</v>
      </c>
      <c r="L1959" s="4">
        <f>IFERROR(__xludf.DUMMYFUNCTION("""COMPUTED_VALUE"""),17.0)</f>
        <v>17</v>
      </c>
      <c r="M1959" s="4">
        <f>IFERROR(__xludf.DUMMYFUNCTION("""COMPUTED_VALUE"""),65.0)</f>
        <v>65</v>
      </c>
      <c r="N1959" s="2" t="str">
        <f>IFERROR(__xludf.DUMMYFUNCTION("""COMPUTED_VALUE"""),"VERDADERO")</f>
        <v>VERDADERO</v>
      </c>
    </row>
    <row r="1960">
      <c r="A1960" s="2">
        <f>IFERROR(__xludf.DUMMYFUNCTION("""COMPUTED_VALUE"""),1959.0)</f>
        <v>1959</v>
      </c>
      <c r="B1960" s="2" t="str">
        <f>IFERROR(__xludf.DUMMYFUNCTION("""COMPUTED_VALUE"""),"Georg Gheerhaert")</f>
        <v>Georg Gheerhaert</v>
      </c>
      <c r="C1960" s="2" t="str">
        <f>IFERROR(__xludf.DUMMYFUNCTION("""COMPUTED_VALUE"""),"ggheerhaertqn@zdnet.com")</f>
        <v>ggheerhaertqn@zdnet.com</v>
      </c>
      <c r="D1960" s="4">
        <f>IFERROR(__xludf.DUMMYFUNCTION("""COMPUTED_VALUE"""),5.0)</f>
        <v>5</v>
      </c>
      <c r="E1960" s="4">
        <f>IFERROR(__xludf.DUMMYFUNCTION("""COMPUTED_VALUE"""),81.0)</f>
        <v>81</v>
      </c>
      <c r="F1960" s="4">
        <f>IFERROR(__xludf.DUMMYFUNCTION("""COMPUTED_VALUE"""),2.0)</f>
        <v>2</v>
      </c>
      <c r="G1960" s="4">
        <f>IFERROR(__xludf.DUMMYFUNCTION("""COMPUTED_VALUE"""),1319.0)</f>
        <v>1319</v>
      </c>
      <c r="H1960" s="5">
        <f>IFERROR(__xludf.DUMMYFUNCTION("""COMPUTED_VALUE"""),3583.86)</f>
        <v>3583.86</v>
      </c>
      <c r="I1960" s="5">
        <f>IFERROR(__xludf.DUMMYFUNCTION("""COMPUTED_VALUE"""),8632.14)</f>
        <v>8632.14</v>
      </c>
      <c r="J1960" s="5">
        <f>IFERROR(__xludf.DUMMYFUNCTION("""COMPUTED_VALUE"""),5852.09)</f>
        <v>5852.09</v>
      </c>
      <c r="K1960" s="5">
        <f>IFERROR(__xludf.DUMMYFUNCTION("""COMPUTED_VALUE"""),9756.16)</f>
        <v>9756.16</v>
      </c>
      <c r="L1960" s="4">
        <f>IFERROR(__xludf.DUMMYFUNCTION("""COMPUTED_VALUE"""),2.0)</f>
        <v>2</v>
      </c>
      <c r="M1960" s="4">
        <f>IFERROR(__xludf.DUMMYFUNCTION("""COMPUTED_VALUE"""),75.0)</f>
        <v>75</v>
      </c>
      <c r="N1960" s="2" t="str">
        <f>IFERROR(__xludf.DUMMYFUNCTION("""COMPUTED_VALUE"""),"FALSO")</f>
        <v>FALSO</v>
      </c>
    </row>
    <row r="1961">
      <c r="A1961" s="2">
        <f>IFERROR(__xludf.DUMMYFUNCTION("""COMPUTED_VALUE"""),1960.0)</f>
        <v>1960</v>
      </c>
      <c r="B1961" s="2" t="str">
        <f>IFERROR(__xludf.DUMMYFUNCTION("""COMPUTED_VALUE"""),"Berny Nannetti")</f>
        <v>Berny Nannetti</v>
      </c>
      <c r="C1961" s="2" t="str">
        <f>IFERROR(__xludf.DUMMYFUNCTION("""COMPUTED_VALUE"""),"bnannettiqo@ucoz.ru")</f>
        <v>bnannettiqo@ucoz.ru</v>
      </c>
      <c r="D1961" s="4">
        <f>IFERROR(__xludf.DUMMYFUNCTION("""COMPUTED_VALUE"""),121.0)</f>
        <v>121</v>
      </c>
      <c r="E1961" s="4">
        <f>IFERROR(__xludf.DUMMYFUNCTION("""COMPUTED_VALUE"""),119.0)</f>
        <v>119</v>
      </c>
      <c r="F1961" s="4">
        <f>IFERROR(__xludf.DUMMYFUNCTION("""COMPUTED_VALUE"""),10.0)</f>
        <v>10</v>
      </c>
      <c r="G1961" s="4">
        <f>IFERROR(__xludf.DUMMYFUNCTION("""COMPUTED_VALUE"""),783.0)</f>
        <v>783</v>
      </c>
      <c r="H1961" s="5">
        <f>IFERROR(__xludf.DUMMYFUNCTION("""COMPUTED_VALUE"""),9198.15)</f>
        <v>9198.15</v>
      </c>
      <c r="I1961" s="5">
        <f>IFERROR(__xludf.DUMMYFUNCTION("""COMPUTED_VALUE"""),8739.87)</f>
        <v>8739.87</v>
      </c>
      <c r="J1961" s="5">
        <f>IFERROR(__xludf.DUMMYFUNCTION("""COMPUTED_VALUE"""),1831.35)</f>
        <v>1831.35</v>
      </c>
      <c r="K1961" s="5">
        <f>IFERROR(__xludf.DUMMYFUNCTION("""COMPUTED_VALUE"""),354.03)</f>
        <v>354.03</v>
      </c>
      <c r="L1961" s="4">
        <f>IFERROR(__xludf.DUMMYFUNCTION("""COMPUTED_VALUE"""),16.0)</f>
        <v>16</v>
      </c>
      <c r="M1961" s="4">
        <f>IFERROR(__xludf.DUMMYFUNCTION("""COMPUTED_VALUE"""),49.0)</f>
        <v>49</v>
      </c>
      <c r="N1961" s="2" t="str">
        <f>IFERROR(__xludf.DUMMYFUNCTION("""COMPUTED_VALUE"""),"VERDADERO")</f>
        <v>VERDADERO</v>
      </c>
    </row>
    <row r="1962">
      <c r="A1962" s="2">
        <f>IFERROR(__xludf.DUMMYFUNCTION("""COMPUTED_VALUE"""),1961.0)</f>
        <v>1961</v>
      </c>
      <c r="B1962" s="2" t="str">
        <f>IFERROR(__xludf.DUMMYFUNCTION("""COMPUTED_VALUE"""),"Berget Mashro")</f>
        <v>Berget Mashro</v>
      </c>
      <c r="C1962" s="2" t="str">
        <f>IFERROR(__xludf.DUMMYFUNCTION("""COMPUTED_VALUE"""),"bmashroqp@auda.org.au")</f>
        <v>bmashroqp@auda.org.au</v>
      </c>
      <c r="D1962" s="4">
        <f>IFERROR(__xludf.DUMMYFUNCTION("""COMPUTED_VALUE"""),121.0)</f>
        <v>121</v>
      </c>
      <c r="E1962" s="4">
        <f>IFERROR(__xludf.DUMMYFUNCTION("""COMPUTED_VALUE"""),64.0)</f>
        <v>64</v>
      </c>
      <c r="F1962" s="4">
        <f>IFERROR(__xludf.DUMMYFUNCTION("""COMPUTED_VALUE"""),4.0)</f>
        <v>4</v>
      </c>
      <c r="G1962" s="4">
        <f>IFERROR(__xludf.DUMMYFUNCTION("""COMPUTED_VALUE"""),361.0)</f>
        <v>361</v>
      </c>
      <c r="H1962" s="5">
        <f>IFERROR(__xludf.DUMMYFUNCTION("""COMPUTED_VALUE"""),1323.42)</f>
        <v>1323.42</v>
      </c>
      <c r="I1962" s="5">
        <f>IFERROR(__xludf.DUMMYFUNCTION("""COMPUTED_VALUE"""),9034.28)</f>
        <v>9034.28</v>
      </c>
      <c r="J1962" s="5">
        <f>IFERROR(__xludf.DUMMYFUNCTION("""COMPUTED_VALUE"""),3618.67)</f>
        <v>3618.67</v>
      </c>
      <c r="K1962" s="5">
        <f>IFERROR(__xludf.DUMMYFUNCTION("""COMPUTED_VALUE"""),4305.21)</f>
        <v>4305.21</v>
      </c>
      <c r="L1962" s="4">
        <f>IFERROR(__xludf.DUMMYFUNCTION("""COMPUTED_VALUE"""),17.0)</f>
        <v>17</v>
      </c>
      <c r="M1962" s="4">
        <f>IFERROR(__xludf.DUMMYFUNCTION("""COMPUTED_VALUE"""),79.0)</f>
        <v>79</v>
      </c>
      <c r="N1962" s="2" t="str">
        <f>IFERROR(__xludf.DUMMYFUNCTION("""COMPUTED_VALUE"""),"FALSO")</f>
        <v>FALSO</v>
      </c>
    </row>
    <row r="1963">
      <c r="A1963" s="2">
        <f>IFERROR(__xludf.DUMMYFUNCTION("""COMPUTED_VALUE"""),1962.0)</f>
        <v>1962</v>
      </c>
      <c r="B1963" s="2" t="str">
        <f>IFERROR(__xludf.DUMMYFUNCTION("""COMPUTED_VALUE"""),"Diahann Ailmer")</f>
        <v>Diahann Ailmer</v>
      </c>
      <c r="C1963" s="2" t="str">
        <f>IFERROR(__xludf.DUMMYFUNCTION("""COMPUTED_VALUE"""),"dailmerqq@taobao.com")</f>
        <v>dailmerqq@taobao.com</v>
      </c>
      <c r="D1963" s="4">
        <f>IFERROR(__xludf.DUMMYFUNCTION("""COMPUTED_VALUE"""),65.0)</f>
        <v>65</v>
      </c>
      <c r="E1963" s="4">
        <f>IFERROR(__xludf.DUMMYFUNCTION("""COMPUTED_VALUE"""),81.0)</f>
        <v>81</v>
      </c>
      <c r="F1963" s="4">
        <f>IFERROR(__xludf.DUMMYFUNCTION("""COMPUTED_VALUE"""),2.0)</f>
        <v>2</v>
      </c>
      <c r="G1963" s="4">
        <f>IFERROR(__xludf.DUMMYFUNCTION("""COMPUTED_VALUE"""),1538.0)</f>
        <v>1538</v>
      </c>
      <c r="H1963" s="5">
        <f>IFERROR(__xludf.DUMMYFUNCTION("""COMPUTED_VALUE"""),4459.83)</f>
        <v>4459.83</v>
      </c>
      <c r="I1963" s="5">
        <f>IFERROR(__xludf.DUMMYFUNCTION("""COMPUTED_VALUE"""),5640.58)</f>
        <v>5640.58</v>
      </c>
      <c r="J1963" s="5">
        <f>IFERROR(__xludf.DUMMYFUNCTION("""COMPUTED_VALUE"""),6725.72)</f>
        <v>6725.72</v>
      </c>
      <c r="K1963" s="5">
        <f>IFERROR(__xludf.DUMMYFUNCTION("""COMPUTED_VALUE"""),3038.04)</f>
        <v>3038.04</v>
      </c>
      <c r="L1963" s="4">
        <f>IFERROR(__xludf.DUMMYFUNCTION("""COMPUTED_VALUE"""),19.0)</f>
        <v>19</v>
      </c>
      <c r="M1963" s="4">
        <f>IFERROR(__xludf.DUMMYFUNCTION("""COMPUTED_VALUE"""),9.0)</f>
        <v>9</v>
      </c>
      <c r="N1963" s="2" t="str">
        <f>IFERROR(__xludf.DUMMYFUNCTION("""COMPUTED_VALUE"""),"FALSO")</f>
        <v>FALSO</v>
      </c>
    </row>
    <row r="1964">
      <c r="A1964" s="2">
        <f>IFERROR(__xludf.DUMMYFUNCTION("""COMPUTED_VALUE"""),1963.0)</f>
        <v>1963</v>
      </c>
      <c r="B1964" s="2" t="str">
        <f>IFERROR(__xludf.DUMMYFUNCTION("""COMPUTED_VALUE"""),"Ruddy Connell")</f>
        <v>Ruddy Connell</v>
      </c>
      <c r="C1964" s="2" t="str">
        <f>IFERROR(__xludf.DUMMYFUNCTION("""COMPUTED_VALUE"""),"rconnellqr@devhub.com")</f>
        <v>rconnellqr@devhub.com</v>
      </c>
      <c r="D1964" s="4">
        <f>IFERROR(__xludf.DUMMYFUNCTION("""COMPUTED_VALUE"""),119.0)</f>
        <v>119</v>
      </c>
      <c r="E1964" s="4">
        <f>IFERROR(__xludf.DUMMYFUNCTION("""COMPUTED_VALUE"""),48.0)</f>
        <v>48</v>
      </c>
      <c r="F1964" s="4">
        <f>IFERROR(__xludf.DUMMYFUNCTION("""COMPUTED_VALUE"""),4.0)</f>
        <v>4</v>
      </c>
      <c r="G1964" s="4">
        <f>IFERROR(__xludf.DUMMYFUNCTION("""COMPUTED_VALUE"""),1251.0)</f>
        <v>1251</v>
      </c>
      <c r="H1964" s="5">
        <f>IFERROR(__xludf.DUMMYFUNCTION("""COMPUTED_VALUE"""),8349.95)</f>
        <v>8349.95</v>
      </c>
      <c r="I1964" s="5">
        <f>IFERROR(__xludf.DUMMYFUNCTION("""COMPUTED_VALUE"""),1265.54)</f>
        <v>1265.54</v>
      </c>
      <c r="J1964" s="5">
        <f>IFERROR(__xludf.DUMMYFUNCTION("""COMPUTED_VALUE"""),4416.11)</f>
        <v>4416.11</v>
      </c>
      <c r="K1964" s="5">
        <f>IFERROR(__xludf.DUMMYFUNCTION("""COMPUTED_VALUE"""),174.41)</f>
        <v>174.41</v>
      </c>
      <c r="L1964" s="4">
        <f>IFERROR(__xludf.DUMMYFUNCTION("""COMPUTED_VALUE"""),10.0)</f>
        <v>10</v>
      </c>
      <c r="M1964" s="4">
        <f>IFERROR(__xludf.DUMMYFUNCTION("""COMPUTED_VALUE"""),68.0)</f>
        <v>68</v>
      </c>
      <c r="N1964" s="2" t="str">
        <f>IFERROR(__xludf.DUMMYFUNCTION("""COMPUTED_VALUE"""),"VERDADERO")</f>
        <v>VERDADERO</v>
      </c>
    </row>
    <row r="1965">
      <c r="A1965" s="2">
        <f>IFERROR(__xludf.DUMMYFUNCTION("""COMPUTED_VALUE"""),1964.0)</f>
        <v>1964</v>
      </c>
      <c r="B1965" s="2" t="str">
        <f>IFERROR(__xludf.DUMMYFUNCTION("""COMPUTED_VALUE"""),"Elva Spencook")</f>
        <v>Elva Spencook</v>
      </c>
      <c r="C1965" s="2" t="str">
        <f>IFERROR(__xludf.DUMMYFUNCTION("""COMPUTED_VALUE"""),"espencookqs@desdev.cn")</f>
        <v>espencookqs@desdev.cn</v>
      </c>
      <c r="D1965" s="4">
        <f>IFERROR(__xludf.DUMMYFUNCTION("""COMPUTED_VALUE"""),65.0)</f>
        <v>65</v>
      </c>
      <c r="E1965" s="4">
        <f>IFERROR(__xludf.DUMMYFUNCTION("""COMPUTED_VALUE"""),73.0)</f>
        <v>73</v>
      </c>
      <c r="F1965" s="4">
        <f>IFERROR(__xludf.DUMMYFUNCTION("""COMPUTED_VALUE"""),3.0)</f>
        <v>3</v>
      </c>
      <c r="G1965" s="4">
        <f>IFERROR(__xludf.DUMMYFUNCTION("""COMPUTED_VALUE"""),1363.0)</f>
        <v>1363</v>
      </c>
      <c r="H1965" s="5">
        <f>IFERROR(__xludf.DUMMYFUNCTION("""COMPUTED_VALUE"""),9986.33)</f>
        <v>9986.33</v>
      </c>
      <c r="I1965" s="5">
        <f>IFERROR(__xludf.DUMMYFUNCTION("""COMPUTED_VALUE"""),7945.85)</f>
        <v>7945.85</v>
      </c>
      <c r="J1965" s="5">
        <f>IFERROR(__xludf.DUMMYFUNCTION("""COMPUTED_VALUE"""),1471.52)</f>
        <v>1471.52</v>
      </c>
      <c r="K1965" s="5">
        <f>IFERROR(__xludf.DUMMYFUNCTION("""COMPUTED_VALUE"""),1983.82)</f>
        <v>1983.82</v>
      </c>
      <c r="L1965" s="4">
        <f>IFERROR(__xludf.DUMMYFUNCTION("""COMPUTED_VALUE"""),14.0)</f>
        <v>14</v>
      </c>
      <c r="M1965" s="4">
        <f>IFERROR(__xludf.DUMMYFUNCTION("""COMPUTED_VALUE"""),43.0)</f>
        <v>43</v>
      </c>
      <c r="N1965" s="2" t="str">
        <f>IFERROR(__xludf.DUMMYFUNCTION("""COMPUTED_VALUE"""),"FALSO")</f>
        <v>FALSO</v>
      </c>
    </row>
    <row r="1966">
      <c r="A1966" s="2">
        <f>IFERROR(__xludf.DUMMYFUNCTION("""COMPUTED_VALUE"""),1965.0)</f>
        <v>1965</v>
      </c>
      <c r="B1966" s="2" t="str">
        <f>IFERROR(__xludf.DUMMYFUNCTION("""COMPUTED_VALUE"""),"Dorthy Bellis")</f>
        <v>Dorthy Bellis</v>
      </c>
      <c r="C1966" s="2" t="str">
        <f>IFERROR(__xludf.DUMMYFUNCTION("""COMPUTED_VALUE"""),"dbellisqt@google.com.br")</f>
        <v>dbellisqt@google.com.br</v>
      </c>
      <c r="D1966" s="4">
        <f>IFERROR(__xludf.DUMMYFUNCTION("""COMPUTED_VALUE"""),143.0)</f>
        <v>143</v>
      </c>
      <c r="E1966" s="4">
        <f>IFERROR(__xludf.DUMMYFUNCTION("""COMPUTED_VALUE"""),106.0)</f>
        <v>106</v>
      </c>
      <c r="F1966" s="4">
        <f>IFERROR(__xludf.DUMMYFUNCTION("""COMPUTED_VALUE"""),4.0)</f>
        <v>4</v>
      </c>
      <c r="G1966" s="4">
        <f>IFERROR(__xludf.DUMMYFUNCTION("""COMPUTED_VALUE"""),502.0)</f>
        <v>502</v>
      </c>
      <c r="H1966" s="5">
        <f>IFERROR(__xludf.DUMMYFUNCTION("""COMPUTED_VALUE"""),5939.35)</f>
        <v>5939.35</v>
      </c>
      <c r="I1966" s="5">
        <f>IFERROR(__xludf.DUMMYFUNCTION("""COMPUTED_VALUE"""),8397.36)</f>
        <v>8397.36</v>
      </c>
      <c r="J1966" s="5">
        <f>IFERROR(__xludf.DUMMYFUNCTION("""COMPUTED_VALUE"""),6317.23)</f>
        <v>6317.23</v>
      </c>
      <c r="K1966" s="5">
        <f>IFERROR(__xludf.DUMMYFUNCTION("""COMPUTED_VALUE"""),718.17)</f>
        <v>718.17</v>
      </c>
      <c r="L1966" s="4">
        <f>IFERROR(__xludf.DUMMYFUNCTION("""COMPUTED_VALUE"""),8.0)</f>
        <v>8</v>
      </c>
      <c r="M1966" s="4">
        <f>IFERROR(__xludf.DUMMYFUNCTION("""COMPUTED_VALUE"""),41.0)</f>
        <v>41</v>
      </c>
      <c r="N1966" s="2" t="str">
        <f>IFERROR(__xludf.DUMMYFUNCTION("""COMPUTED_VALUE"""),"VERDADERO")</f>
        <v>VERDADERO</v>
      </c>
    </row>
    <row r="1967">
      <c r="A1967" s="2">
        <f>IFERROR(__xludf.DUMMYFUNCTION("""COMPUTED_VALUE"""),1966.0)</f>
        <v>1966</v>
      </c>
      <c r="B1967" s="2" t="str">
        <f>IFERROR(__xludf.DUMMYFUNCTION("""COMPUTED_VALUE"""),"Myrtice Imorts")</f>
        <v>Myrtice Imorts</v>
      </c>
      <c r="C1967" s="2" t="str">
        <f>IFERROR(__xludf.DUMMYFUNCTION("""COMPUTED_VALUE"""),"mimortsqu@usnews.com")</f>
        <v>mimortsqu@usnews.com</v>
      </c>
      <c r="D1967" s="4">
        <f>IFERROR(__xludf.DUMMYFUNCTION("""COMPUTED_VALUE"""),132.0)</f>
        <v>132</v>
      </c>
      <c r="E1967" s="4">
        <f>IFERROR(__xludf.DUMMYFUNCTION("""COMPUTED_VALUE"""),113.0)</f>
        <v>113</v>
      </c>
      <c r="F1967" s="4">
        <f>IFERROR(__xludf.DUMMYFUNCTION("""COMPUTED_VALUE"""),5.0)</f>
        <v>5</v>
      </c>
      <c r="G1967" s="4">
        <f>IFERROR(__xludf.DUMMYFUNCTION("""COMPUTED_VALUE"""),898.0)</f>
        <v>898</v>
      </c>
      <c r="H1967" s="5">
        <f>IFERROR(__xludf.DUMMYFUNCTION("""COMPUTED_VALUE"""),6776.58)</f>
        <v>6776.58</v>
      </c>
      <c r="I1967" s="5">
        <f>IFERROR(__xludf.DUMMYFUNCTION("""COMPUTED_VALUE"""),6561.92)</f>
        <v>6561.92</v>
      </c>
      <c r="J1967" s="5">
        <f>IFERROR(__xludf.DUMMYFUNCTION("""COMPUTED_VALUE"""),4832.07)</f>
        <v>4832.07</v>
      </c>
      <c r="K1967" s="5">
        <f>IFERROR(__xludf.DUMMYFUNCTION("""COMPUTED_VALUE"""),8616.33)</f>
        <v>8616.33</v>
      </c>
      <c r="L1967" s="4">
        <f>IFERROR(__xludf.DUMMYFUNCTION("""COMPUTED_VALUE"""),14.0)</f>
        <v>14</v>
      </c>
      <c r="M1967" s="4">
        <f>IFERROR(__xludf.DUMMYFUNCTION("""COMPUTED_VALUE"""),21.0)</f>
        <v>21</v>
      </c>
      <c r="N1967" s="2" t="str">
        <f>IFERROR(__xludf.DUMMYFUNCTION("""COMPUTED_VALUE"""),"VERDADERO")</f>
        <v>VERDADERO</v>
      </c>
    </row>
    <row r="1968">
      <c r="A1968" s="2">
        <f>IFERROR(__xludf.DUMMYFUNCTION("""COMPUTED_VALUE"""),1967.0)</f>
        <v>1967</v>
      </c>
      <c r="B1968" s="2" t="str">
        <f>IFERROR(__xludf.DUMMYFUNCTION("""COMPUTED_VALUE"""),"Katusha Edis")</f>
        <v>Katusha Edis</v>
      </c>
      <c r="C1968" s="2" t="str">
        <f>IFERROR(__xludf.DUMMYFUNCTION("""COMPUTED_VALUE"""),"kedisqv@mac.com")</f>
        <v>kedisqv@mac.com</v>
      </c>
      <c r="D1968" s="4">
        <f>IFERROR(__xludf.DUMMYFUNCTION("""COMPUTED_VALUE"""),150.0)</f>
        <v>150</v>
      </c>
      <c r="E1968" s="4">
        <f>IFERROR(__xludf.DUMMYFUNCTION("""COMPUTED_VALUE"""),111.0)</f>
        <v>111</v>
      </c>
      <c r="F1968" s="4">
        <f>IFERROR(__xludf.DUMMYFUNCTION("""COMPUTED_VALUE"""),4.0)</f>
        <v>4</v>
      </c>
      <c r="G1968" s="4">
        <f>IFERROR(__xludf.DUMMYFUNCTION("""COMPUTED_VALUE"""),127.0)</f>
        <v>127</v>
      </c>
      <c r="H1968" s="5">
        <f>IFERROR(__xludf.DUMMYFUNCTION("""COMPUTED_VALUE"""),1603.62)</f>
        <v>1603.62</v>
      </c>
      <c r="I1968" s="5">
        <f>IFERROR(__xludf.DUMMYFUNCTION("""COMPUTED_VALUE"""),1270.3)</f>
        <v>1270.3</v>
      </c>
      <c r="J1968" s="5">
        <f>IFERROR(__xludf.DUMMYFUNCTION("""COMPUTED_VALUE"""),6487.43)</f>
        <v>6487.43</v>
      </c>
      <c r="K1968" s="5">
        <f>IFERROR(__xludf.DUMMYFUNCTION("""COMPUTED_VALUE"""),116.76)</f>
        <v>116.76</v>
      </c>
      <c r="L1968" s="4">
        <f>IFERROR(__xludf.DUMMYFUNCTION("""COMPUTED_VALUE"""),10.0)</f>
        <v>10</v>
      </c>
      <c r="M1968" s="4">
        <f>IFERROR(__xludf.DUMMYFUNCTION("""COMPUTED_VALUE"""),32.0)</f>
        <v>32</v>
      </c>
      <c r="N1968" s="2" t="str">
        <f>IFERROR(__xludf.DUMMYFUNCTION("""COMPUTED_VALUE"""),"FALSO")</f>
        <v>FALSO</v>
      </c>
    </row>
    <row r="1969">
      <c r="A1969" s="2">
        <f>IFERROR(__xludf.DUMMYFUNCTION("""COMPUTED_VALUE"""),1968.0)</f>
        <v>1968</v>
      </c>
      <c r="B1969" s="2" t="str">
        <f>IFERROR(__xludf.DUMMYFUNCTION("""COMPUTED_VALUE"""),"Maynard Kingett")</f>
        <v>Maynard Kingett</v>
      </c>
      <c r="C1969" s="2" t="str">
        <f>IFERROR(__xludf.DUMMYFUNCTION("""COMPUTED_VALUE"""),"mkingettqw@va.gov")</f>
        <v>mkingettqw@va.gov</v>
      </c>
      <c r="D1969" s="4">
        <f>IFERROR(__xludf.DUMMYFUNCTION("""COMPUTED_VALUE"""),29.0)</f>
        <v>29</v>
      </c>
      <c r="E1969" s="4">
        <f>IFERROR(__xludf.DUMMYFUNCTION("""COMPUTED_VALUE"""),29.0)</f>
        <v>29</v>
      </c>
      <c r="F1969" s="4">
        <f>IFERROR(__xludf.DUMMYFUNCTION("""COMPUTED_VALUE"""),11.0)</f>
        <v>11</v>
      </c>
      <c r="G1969" s="4">
        <f>IFERROR(__xludf.DUMMYFUNCTION("""COMPUTED_VALUE"""),308.0)</f>
        <v>308</v>
      </c>
      <c r="H1969" s="5">
        <f>IFERROR(__xludf.DUMMYFUNCTION("""COMPUTED_VALUE"""),8043.02)</f>
        <v>8043.02</v>
      </c>
      <c r="I1969" s="5">
        <f>IFERROR(__xludf.DUMMYFUNCTION("""COMPUTED_VALUE"""),8165.4)</f>
        <v>8165.4</v>
      </c>
      <c r="J1969" s="5">
        <f>IFERROR(__xludf.DUMMYFUNCTION("""COMPUTED_VALUE"""),1033.63)</f>
        <v>1033.63</v>
      </c>
      <c r="K1969" s="5">
        <f>IFERROR(__xludf.DUMMYFUNCTION("""COMPUTED_VALUE"""),7835.59)</f>
        <v>7835.59</v>
      </c>
      <c r="L1969" s="4">
        <f>IFERROR(__xludf.DUMMYFUNCTION("""COMPUTED_VALUE"""),8.0)</f>
        <v>8</v>
      </c>
      <c r="M1969" s="4">
        <f>IFERROR(__xludf.DUMMYFUNCTION("""COMPUTED_VALUE"""),52.0)</f>
        <v>52</v>
      </c>
      <c r="N1969" s="2" t="str">
        <f>IFERROR(__xludf.DUMMYFUNCTION("""COMPUTED_VALUE"""),"VERDADERO")</f>
        <v>VERDADERO</v>
      </c>
    </row>
    <row r="1970">
      <c r="A1970" s="2">
        <f>IFERROR(__xludf.DUMMYFUNCTION("""COMPUTED_VALUE"""),1969.0)</f>
        <v>1969</v>
      </c>
      <c r="B1970" s="2" t="str">
        <f>IFERROR(__xludf.DUMMYFUNCTION("""COMPUTED_VALUE"""),"Clare Bish")</f>
        <v>Clare Bish</v>
      </c>
      <c r="C1970" s="2" t="str">
        <f>IFERROR(__xludf.DUMMYFUNCTION("""COMPUTED_VALUE"""),"cbishqx@163.com")</f>
        <v>cbishqx@163.com</v>
      </c>
      <c r="D1970" s="4">
        <f>IFERROR(__xludf.DUMMYFUNCTION("""COMPUTED_VALUE"""),88.0)</f>
        <v>88</v>
      </c>
      <c r="E1970" s="4">
        <f>IFERROR(__xludf.DUMMYFUNCTION("""COMPUTED_VALUE"""),48.0)</f>
        <v>48</v>
      </c>
      <c r="F1970" s="4">
        <f>IFERROR(__xludf.DUMMYFUNCTION("""COMPUTED_VALUE"""),4.0)</f>
        <v>4</v>
      </c>
      <c r="G1970" s="4">
        <f>IFERROR(__xludf.DUMMYFUNCTION("""COMPUTED_VALUE"""),143.0)</f>
        <v>143</v>
      </c>
      <c r="H1970" s="5">
        <f>IFERROR(__xludf.DUMMYFUNCTION("""COMPUTED_VALUE"""),4974.85)</f>
        <v>4974.85</v>
      </c>
      <c r="I1970" s="5">
        <f>IFERROR(__xludf.DUMMYFUNCTION("""COMPUTED_VALUE"""),9317.98)</f>
        <v>9317.98</v>
      </c>
      <c r="J1970" s="5">
        <f>IFERROR(__xludf.DUMMYFUNCTION("""COMPUTED_VALUE"""),3571.67)</f>
        <v>3571.67</v>
      </c>
      <c r="K1970" s="5">
        <f>IFERROR(__xludf.DUMMYFUNCTION("""COMPUTED_VALUE"""),3888.76)</f>
        <v>3888.76</v>
      </c>
      <c r="L1970" s="4">
        <f>IFERROR(__xludf.DUMMYFUNCTION("""COMPUTED_VALUE"""),6.0)</f>
        <v>6</v>
      </c>
      <c r="M1970" s="4">
        <f>IFERROR(__xludf.DUMMYFUNCTION("""COMPUTED_VALUE"""),68.0)</f>
        <v>68</v>
      </c>
      <c r="N1970" s="2" t="str">
        <f>IFERROR(__xludf.DUMMYFUNCTION("""COMPUTED_VALUE"""),"FALSO")</f>
        <v>FALSO</v>
      </c>
    </row>
    <row r="1971">
      <c r="A1971" s="2">
        <f>IFERROR(__xludf.DUMMYFUNCTION("""COMPUTED_VALUE"""),1970.0)</f>
        <v>1970</v>
      </c>
      <c r="B1971" s="2" t="str">
        <f>IFERROR(__xludf.DUMMYFUNCTION("""COMPUTED_VALUE"""),"Nell Gilogly")</f>
        <v>Nell Gilogly</v>
      </c>
      <c r="C1971" s="2" t="str">
        <f>IFERROR(__xludf.DUMMYFUNCTION("""COMPUTED_VALUE"""),"ngiloglyqy@a8.net")</f>
        <v>ngiloglyqy@a8.net</v>
      </c>
      <c r="D1971" s="4">
        <f>IFERROR(__xludf.DUMMYFUNCTION("""COMPUTED_VALUE"""),65.0)</f>
        <v>65</v>
      </c>
      <c r="E1971" s="4">
        <f>IFERROR(__xludf.DUMMYFUNCTION("""COMPUTED_VALUE"""),65.0)</f>
        <v>65</v>
      </c>
      <c r="F1971" s="4">
        <f>IFERROR(__xludf.DUMMYFUNCTION("""COMPUTED_VALUE"""),9.0)</f>
        <v>9</v>
      </c>
      <c r="G1971" s="4">
        <f>IFERROR(__xludf.DUMMYFUNCTION("""COMPUTED_VALUE"""),1533.0)</f>
        <v>1533</v>
      </c>
      <c r="H1971" s="5">
        <f>IFERROR(__xludf.DUMMYFUNCTION("""COMPUTED_VALUE"""),150.96)</f>
        <v>150.96</v>
      </c>
      <c r="I1971" s="5">
        <f>IFERROR(__xludf.DUMMYFUNCTION("""COMPUTED_VALUE"""),367.25)</f>
        <v>367.25</v>
      </c>
      <c r="J1971" s="5">
        <f>IFERROR(__xludf.DUMMYFUNCTION("""COMPUTED_VALUE"""),8888.15)</f>
        <v>8888.15</v>
      </c>
      <c r="K1971" s="5">
        <f>IFERROR(__xludf.DUMMYFUNCTION("""COMPUTED_VALUE"""),6830.98)</f>
        <v>6830.98</v>
      </c>
      <c r="L1971" s="4">
        <f>IFERROR(__xludf.DUMMYFUNCTION("""COMPUTED_VALUE"""),19.0)</f>
        <v>19</v>
      </c>
      <c r="M1971" s="4">
        <f>IFERROR(__xludf.DUMMYFUNCTION("""COMPUTED_VALUE"""),86.0)</f>
        <v>86</v>
      </c>
      <c r="N1971" s="2" t="str">
        <f>IFERROR(__xludf.DUMMYFUNCTION("""COMPUTED_VALUE"""),"VERDADERO")</f>
        <v>VERDADERO</v>
      </c>
    </row>
    <row r="1972">
      <c r="A1972" s="2">
        <f>IFERROR(__xludf.DUMMYFUNCTION("""COMPUTED_VALUE"""),1971.0)</f>
        <v>1971</v>
      </c>
      <c r="B1972" s="2" t="str">
        <f>IFERROR(__xludf.DUMMYFUNCTION("""COMPUTED_VALUE"""),"Charmion Marns")</f>
        <v>Charmion Marns</v>
      </c>
      <c r="C1972" s="2" t="str">
        <f>IFERROR(__xludf.DUMMYFUNCTION("""COMPUTED_VALUE"""),"cmarnsqz@opensource.org")</f>
        <v>cmarnsqz@opensource.org</v>
      </c>
      <c r="D1972" s="4">
        <f>IFERROR(__xludf.DUMMYFUNCTION("""COMPUTED_VALUE"""),29.0)</f>
        <v>29</v>
      </c>
      <c r="E1972" s="4">
        <f>IFERROR(__xludf.DUMMYFUNCTION("""COMPUTED_VALUE"""),64.0)</f>
        <v>64</v>
      </c>
      <c r="F1972" s="4">
        <f>IFERROR(__xludf.DUMMYFUNCTION("""COMPUTED_VALUE"""),4.0)</f>
        <v>4</v>
      </c>
      <c r="G1972" s="4">
        <f>IFERROR(__xludf.DUMMYFUNCTION("""COMPUTED_VALUE"""),715.0)</f>
        <v>715</v>
      </c>
      <c r="H1972" s="5">
        <f>IFERROR(__xludf.DUMMYFUNCTION("""COMPUTED_VALUE"""),6586.1)</f>
        <v>6586.1</v>
      </c>
      <c r="I1972" s="5">
        <f>IFERROR(__xludf.DUMMYFUNCTION("""COMPUTED_VALUE"""),5037.02)</f>
        <v>5037.02</v>
      </c>
      <c r="J1972" s="5">
        <f>IFERROR(__xludf.DUMMYFUNCTION("""COMPUTED_VALUE"""),2684.25)</f>
        <v>2684.25</v>
      </c>
      <c r="K1972" s="5">
        <f>IFERROR(__xludf.DUMMYFUNCTION("""COMPUTED_VALUE"""),1367.65)</f>
        <v>1367.65</v>
      </c>
      <c r="L1972" s="4">
        <f>IFERROR(__xludf.DUMMYFUNCTION("""COMPUTED_VALUE"""),3.0)</f>
        <v>3</v>
      </c>
      <c r="M1972" s="4">
        <f>IFERROR(__xludf.DUMMYFUNCTION("""COMPUTED_VALUE"""),10.0)</f>
        <v>10</v>
      </c>
      <c r="N1972" s="2" t="str">
        <f>IFERROR(__xludf.DUMMYFUNCTION("""COMPUTED_VALUE"""),"VERDADERO")</f>
        <v>VERDADERO</v>
      </c>
    </row>
    <row r="1973">
      <c r="A1973" s="2">
        <f>IFERROR(__xludf.DUMMYFUNCTION("""COMPUTED_VALUE"""),1972.0)</f>
        <v>1972</v>
      </c>
      <c r="B1973" s="2" t="str">
        <f>IFERROR(__xludf.DUMMYFUNCTION("""COMPUTED_VALUE"""),"Sherm Fernant")</f>
        <v>Sherm Fernant</v>
      </c>
      <c r="C1973" s="2" t="str">
        <f>IFERROR(__xludf.DUMMYFUNCTION("""COMPUTED_VALUE"""),"sfernantr0@t-online.de")</f>
        <v>sfernantr0@t-online.de</v>
      </c>
      <c r="D1973" s="4">
        <f>IFERROR(__xludf.DUMMYFUNCTION("""COMPUTED_VALUE"""),17.0)</f>
        <v>17</v>
      </c>
      <c r="E1973" s="4">
        <f>IFERROR(__xludf.DUMMYFUNCTION("""COMPUTED_VALUE"""),13.0)</f>
        <v>13</v>
      </c>
      <c r="F1973" s="4">
        <f>IFERROR(__xludf.DUMMYFUNCTION("""COMPUTED_VALUE"""),6.0)</f>
        <v>6</v>
      </c>
      <c r="G1973" s="4">
        <f>IFERROR(__xludf.DUMMYFUNCTION("""COMPUTED_VALUE"""),977.0)</f>
        <v>977</v>
      </c>
      <c r="H1973" s="5">
        <f>IFERROR(__xludf.DUMMYFUNCTION("""COMPUTED_VALUE"""),2061.35)</f>
        <v>2061.35</v>
      </c>
      <c r="I1973" s="5">
        <f>IFERROR(__xludf.DUMMYFUNCTION("""COMPUTED_VALUE"""),3464.4)</f>
        <v>3464.4</v>
      </c>
      <c r="J1973" s="5">
        <f>IFERROR(__xludf.DUMMYFUNCTION("""COMPUTED_VALUE"""),7609.29)</f>
        <v>7609.29</v>
      </c>
      <c r="K1973" s="5">
        <f>IFERROR(__xludf.DUMMYFUNCTION("""COMPUTED_VALUE"""),8460.88)</f>
        <v>8460.88</v>
      </c>
      <c r="L1973" s="4">
        <f>IFERROR(__xludf.DUMMYFUNCTION("""COMPUTED_VALUE"""),4.0)</f>
        <v>4</v>
      </c>
      <c r="M1973" s="4">
        <f>IFERROR(__xludf.DUMMYFUNCTION("""COMPUTED_VALUE"""),19.0)</f>
        <v>19</v>
      </c>
      <c r="N1973" s="2" t="str">
        <f>IFERROR(__xludf.DUMMYFUNCTION("""COMPUTED_VALUE"""),"FALSO")</f>
        <v>FALSO</v>
      </c>
    </row>
    <row r="1974">
      <c r="A1974" s="2">
        <f>IFERROR(__xludf.DUMMYFUNCTION("""COMPUTED_VALUE"""),1973.0)</f>
        <v>1973</v>
      </c>
      <c r="B1974" s="2" t="str">
        <f>IFERROR(__xludf.DUMMYFUNCTION("""COMPUTED_VALUE"""),"Devland Liggons")</f>
        <v>Devland Liggons</v>
      </c>
      <c r="C1974" s="2" t="str">
        <f>IFERROR(__xludf.DUMMYFUNCTION("""COMPUTED_VALUE"""),"dliggonsr1@ebay.co.uk")</f>
        <v>dliggonsr1@ebay.co.uk</v>
      </c>
      <c r="D1974" s="4">
        <f>IFERROR(__xludf.DUMMYFUNCTION("""COMPUTED_VALUE"""),29.0)</f>
        <v>29</v>
      </c>
      <c r="E1974" s="4">
        <f>IFERROR(__xludf.DUMMYFUNCTION("""COMPUTED_VALUE"""),81.0)</f>
        <v>81</v>
      </c>
      <c r="F1974" s="4">
        <f>IFERROR(__xludf.DUMMYFUNCTION("""COMPUTED_VALUE"""),2.0)</f>
        <v>2</v>
      </c>
      <c r="G1974" s="4">
        <f>IFERROR(__xludf.DUMMYFUNCTION("""COMPUTED_VALUE"""),1544.0)</f>
        <v>1544</v>
      </c>
      <c r="H1974" s="5">
        <f>IFERROR(__xludf.DUMMYFUNCTION("""COMPUTED_VALUE"""),4104.45)</f>
        <v>4104.45</v>
      </c>
      <c r="I1974" s="5">
        <f>IFERROR(__xludf.DUMMYFUNCTION("""COMPUTED_VALUE"""),6056.04)</f>
        <v>6056.04</v>
      </c>
      <c r="J1974" s="5">
        <f>IFERROR(__xludf.DUMMYFUNCTION("""COMPUTED_VALUE"""),6168.01)</f>
        <v>6168.01</v>
      </c>
      <c r="K1974" s="5">
        <f>IFERROR(__xludf.DUMMYFUNCTION("""COMPUTED_VALUE"""),9838.58)</f>
        <v>9838.58</v>
      </c>
      <c r="L1974" s="4">
        <f>IFERROR(__xludf.DUMMYFUNCTION("""COMPUTED_VALUE"""),6.0)</f>
        <v>6</v>
      </c>
      <c r="M1974" s="4">
        <f>IFERROR(__xludf.DUMMYFUNCTION("""COMPUTED_VALUE"""),59.0)</f>
        <v>59</v>
      </c>
      <c r="N1974" s="2" t="str">
        <f>IFERROR(__xludf.DUMMYFUNCTION("""COMPUTED_VALUE"""),"FALSO")</f>
        <v>FALSO</v>
      </c>
    </row>
    <row r="1975">
      <c r="A1975" s="2">
        <f>IFERROR(__xludf.DUMMYFUNCTION("""COMPUTED_VALUE"""),1974.0)</f>
        <v>1974</v>
      </c>
      <c r="B1975" s="2" t="str">
        <f>IFERROR(__xludf.DUMMYFUNCTION("""COMPUTED_VALUE"""),"Carroll Yetman")</f>
        <v>Carroll Yetman</v>
      </c>
      <c r="C1975" s="2" t="str">
        <f>IFERROR(__xludf.DUMMYFUNCTION("""COMPUTED_VALUE"""),"cyetmanr2@ucsd.edu")</f>
        <v>cyetmanr2@ucsd.edu</v>
      </c>
      <c r="D1975" s="4">
        <f>IFERROR(__xludf.DUMMYFUNCTION("""COMPUTED_VALUE"""),29.0)</f>
        <v>29</v>
      </c>
      <c r="E1975" s="4">
        <f>IFERROR(__xludf.DUMMYFUNCTION("""COMPUTED_VALUE"""),119.0)</f>
        <v>119</v>
      </c>
      <c r="F1975" s="4">
        <f>IFERROR(__xludf.DUMMYFUNCTION("""COMPUTED_VALUE"""),1.0)</f>
        <v>1</v>
      </c>
      <c r="G1975" s="4">
        <f>IFERROR(__xludf.DUMMYFUNCTION("""COMPUTED_VALUE"""),1368.0)</f>
        <v>1368</v>
      </c>
      <c r="H1975" s="5">
        <f>IFERROR(__xludf.DUMMYFUNCTION("""COMPUTED_VALUE"""),884.75)</f>
        <v>884.75</v>
      </c>
      <c r="I1975" s="5">
        <f>IFERROR(__xludf.DUMMYFUNCTION("""COMPUTED_VALUE"""),6114.28)</f>
        <v>6114.28</v>
      </c>
      <c r="J1975" s="5">
        <f>IFERROR(__xludf.DUMMYFUNCTION("""COMPUTED_VALUE"""),5997.18)</f>
        <v>5997.18</v>
      </c>
      <c r="K1975" s="5">
        <f>IFERROR(__xludf.DUMMYFUNCTION("""COMPUTED_VALUE"""),9610.98)</f>
        <v>9610.98</v>
      </c>
      <c r="L1975" s="4">
        <f>IFERROR(__xludf.DUMMYFUNCTION("""COMPUTED_VALUE"""),10.0)</f>
        <v>10</v>
      </c>
      <c r="M1975" s="4">
        <f>IFERROR(__xludf.DUMMYFUNCTION("""COMPUTED_VALUE"""),79.0)</f>
        <v>79</v>
      </c>
      <c r="N1975" s="2" t="str">
        <f>IFERROR(__xludf.DUMMYFUNCTION("""COMPUTED_VALUE"""),"FALSO")</f>
        <v>FALSO</v>
      </c>
    </row>
    <row r="1976">
      <c r="A1976" s="2">
        <f>IFERROR(__xludf.DUMMYFUNCTION("""COMPUTED_VALUE"""),1975.0)</f>
        <v>1975</v>
      </c>
      <c r="B1976" s="2" t="str">
        <f>IFERROR(__xludf.DUMMYFUNCTION("""COMPUTED_VALUE"""),"Emmie Nozzolii")</f>
        <v>Emmie Nozzolii</v>
      </c>
      <c r="C1976" s="2" t="str">
        <f>IFERROR(__xludf.DUMMYFUNCTION("""COMPUTED_VALUE"""),"enozzoliir3@time.com")</f>
        <v>enozzoliir3@time.com</v>
      </c>
      <c r="D1976" s="4">
        <f>IFERROR(__xludf.DUMMYFUNCTION("""COMPUTED_VALUE"""),29.0)</f>
        <v>29</v>
      </c>
      <c r="E1976" s="4">
        <f>IFERROR(__xludf.DUMMYFUNCTION("""COMPUTED_VALUE"""),101.0)</f>
        <v>101</v>
      </c>
      <c r="F1976" s="4">
        <f>IFERROR(__xludf.DUMMYFUNCTION("""COMPUTED_VALUE"""),11.0)</f>
        <v>11</v>
      </c>
      <c r="G1976" s="4">
        <f>IFERROR(__xludf.DUMMYFUNCTION("""COMPUTED_VALUE"""),825.0)</f>
        <v>825</v>
      </c>
      <c r="H1976" s="5">
        <f>IFERROR(__xludf.DUMMYFUNCTION("""COMPUTED_VALUE"""),2885.08)</f>
        <v>2885.08</v>
      </c>
      <c r="I1976" s="5">
        <f>IFERROR(__xludf.DUMMYFUNCTION("""COMPUTED_VALUE"""),5068.25)</f>
        <v>5068.25</v>
      </c>
      <c r="J1976" s="5">
        <f>IFERROR(__xludf.DUMMYFUNCTION("""COMPUTED_VALUE"""),521.97)</f>
        <v>521.97</v>
      </c>
      <c r="K1976" s="5">
        <f>IFERROR(__xludf.DUMMYFUNCTION("""COMPUTED_VALUE"""),5712.42)</f>
        <v>5712.42</v>
      </c>
      <c r="L1976" s="4">
        <f>IFERROR(__xludf.DUMMYFUNCTION("""COMPUTED_VALUE"""),7.0)</f>
        <v>7</v>
      </c>
      <c r="M1976" s="4">
        <f>IFERROR(__xludf.DUMMYFUNCTION("""COMPUTED_VALUE"""),29.0)</f>
        <v>29</v>
      </c>
      <c r="N1976" s="2" t="str">
        <f>IFERROR(__xludf.DUMMYFUNCTION("""COMPUTED_VALUE"""),"FALSO")</f>
        <v>FALSO</v>
      </c>
    </row>
    <row r="1977">
      <c r="A1977" s="2">
        <f>IFERROR(__xludf.DUMMYFUNCTION("""COMPUTED_VALUE"""),1976.0)</f>
        <v>1976</v>
      </c>
      <c r="B1977" s="2" t="str">
        <f>IFERROR(__xludf.DUMMYFUNCTION("""COMPUTED_VALUE"""),"Artie Fayers")</f>
        <v>Artie Fayers</v>
      </c>
      <c r="C1977" s="2" t="str">
        <f>IFERROR(__xludf.DUMMYFUNCTION("""COMPUTED_VALUE"""),"afayersr4@amazon.de")</f>
        <v>afayersr4@amazon.de</v>
      </c>
      <c r="D1977" s="4">
        <f>IFERROR(__xludf.DUMMYFUNCTION("""COMPUTED_VALUE"""),9.0)</f>
        <v>9</v>
      </c>
      <c r="E1977" s="4">
        <f>IFERROR(__xludf.DUMMYFUNCTION("""COMPUTED_VALUE"""),67.0)</f>
        <v>67</v>
      </c>
      <c r="F1977" s="4">
        <f>IFERROR(__xludf.DUMMYFUNCTION("""COMPUTED_VALUE"""),7.0)</f>
        <v>7</v>
      </c>
      <c r="G1977" s="4">
        <f>IFERROR(__xludf.DUMMYFUNCTION("""COMPUTED_VALUE"""),1262.0)</f>
        <v>1262</v>
      </c>
      <c r="H1977" s="5">
        <f>IFERROR(__xludf.DUMMYFUNCTION("""COMPUTED_VALUE"""),2040.3)</f>
        <v>2040.3</v>
      </c>
      <c r="I1977" s="5">
        <f>IFERROR(__xludf.DUMMYFUNCTION("""COMPUTED_VALUE"""),2892.09)</f>
        <v>2892.09</v>
      </c>
      <c r="J1977" s="5">
        <f>IFERROR(__xludf.DUMMYFUNCTION("""COMPUTED_VALUE"""),7089.39)</f>
        <v>7089.39</v>
      </c>
      <c r="K1977" s="5">
        <f>IFERROR(__xludf.DUMMYFUNCTION("""COMPUTED_VALUE"""),5404.14)</f>
        <v>5404.14</v>
      </c>
      <c r="L1977" s="4">
        <f>IFERROR(__xludf.DUMMYFUNCTION("""COMPUTED_VALUE"""),15.0)</f>
        <v>15</v>
      </c>
      <c r="M1977" s="4">
        <f>IFERROR(__xludf.DUMMYFUNCTION("""COMPUTED_VALUE"""),33.0)</f>
        <v>33</v>
      </c>
      <c r="N1977" s="2" t="str">
        <f>IFERROR(__xludf.DUMMYFUNCTION("""COMPUTED_VALUE"""),"FALSO")</f>
        <v>FALSO</v>
      </c>
    </row>
    <row r="1978">
      <c r="A1978" s="2">
        <f>IFERROR(__xludf.DUMMYFUNCTION("""COMPUTED_VALUE"""),1977.0)</f>
        <v>1977</v>
      </c>
      <c r="B1978" s="2" t="str">
        <f>IFERROR(__xludf.DUMMYFUNCTION("""COMPUTED_VALUE"""),"Webb Jauncey")</f>
        <v>Webb Jauncey</v>
      </c>
      <c r="C1978" s="2" t="str">
        <f>IFERROR(__xludf.DUMMYFUNCTION("""COMPUTED_VALUE"""),"wjaunceyr5@mapquest.com")</f>
        <v>wjaunceyr5@mapquest.com</v>
      </c>
      <c r="D1978" s="4">
        <f>IFERROR(__xludf.DUMMYFUNCTION("""COMPUTED_VALUE"""),69.0)</f>
        <v>69</v>
      </c>
      <c r="E1978" s="4">
        <f>IFERROR(__xludf.DUMMYFUNCTION("""COMPUTED_VALUE"""),36.0)</f>
        <v>36</v>
      </c>
      <c r="F1978" s="4">
        <f>IFERROR(__xludf.DUMMYFUNCTION("""COMPUTED_VALUE"""),5.0)</f>
        <v>5</v>
      </c>
      <c r="G1978" s="4">
        <f>IFERROR(__xludf.DUMMYFUNCTION("""COMPUTED_VALUE"""),1264.0)</f>
        <v>1264</v>
      </c>
      <c r="H1978" s="5">
        <f>IFERROR(__xludf.DUMMYFUNCTION("""COMPUTED_VALUE"""),3628.57)</f>
        <v>3628.57</v>
      </c>
      <c r="I1978" s="5">
        <f>IFERROR(__xludf.DUMMYFUNCTION("""COMPUTED_VALUE"""),8981.39)</f>
        <v>8981.39</v>
      </c>
      <c r="J1978" s="5">
        <f>IFERROR(__xludf.DUMMYFUNCTION("""COMPUTED_VALUE"""),1037.55)</f>
        <v>1037.55</v>
      </c>
      <c r="K1978" s="5">
        <f>IFERROR(__xludf.DUMMYFUNCTION("""COMPUTED_VALUE"""),5554.6)</f>
        <v>5554.6</v>
      </c>
      <c r="L1978" s="4">
        <f>IFERROR(__xludf.DUMMYFUNCTION("""COMPUTED_VALUE"""),9.0)</f>
        <v>9</v>
      </c>
      <c r="M1978" s="4">
        <f>IFERROR(__xludf.DUMMYFUNCTION("""COMPUTED_VALUE"""),47.0)</f>
        <v>47</v>
      </c>
      <c r="N1978" s="2" t="str">
        <f>IFERROR(__xludf.DUMMYFUNCTION("""COMPUTED_VALUE"""),"VERDADERO")</f>
        <v>VERDADERO</v>
      </c>
    </row>
    <row r="1979">
      <c r="A1979" s="2">
        <f>IFERROR(__xludf.DUMMYFUNCTION("""COMPUTED_VALUE"""),1978.0)</f>
        <v>1978</v>
      </c>
      <c r="B1979" s="2" t="str">
        <f>IFERROR(__xludf.DUMMYFUNCTION("""COMPUTED_VALUE"""),"Gypsy Leel")</f>
        <v>Gypsy Leel</v>
      </c>
      <c r="C1979" s="2" t="str">
        <f>IFERROR(__xludf.DUMMYFUNCTION("""COMPUTED_VALUE"""),"gleelr6@businesswire.com")</f>
        <v>gleelr6@businesswire.com</v>
      </c>
      <c r="D1979" s="4">
        <f>IFERROR(__xludf.DUMMYFUNCTION("""COMPUTED_VALUE"""),99.0)</f>
        <v>99</v>
      </c>
      <c r="E1979" s="4">
        <f>IFERROR(__xludf.DUMMYFUNCTION("""COMPUTED_VALUE"""),61.0)</f>
        <v>61</v>
      </c>
      <c r="F1979" s="4">
        <f>IFERROR(__xludf.DUMMYFUNCTION("""COMPUTED_VALUE"""),4.0)</f>
        <v>4</v>
      </c>
      <c r="G1979" s="4">
        <f>IFERROR(__xludf.DUMMYFUNCTION("""COMPUTED_VALUE"""),317.0)</f>
        <v>317</v>
      </c>
      <c r="H1979" s="5">
        <f>IFERROR(__xludf.DUMMYFUNCTION("""COMPUTED_VALUE"""),7663.55)</f>
        <v>7663.55</v>
      </c>
      <c r="I1979" s="5">
        <f>IFERROR(__xludf.DUMMYFUNCTION("""COMPUTED_VALUE"""),8212.08)</f>
        <v>8212.08</v>
      </c>
      <c r="J1979" s="5">
        <f>IFERROR(__xludf.DUMMYFUNCTION("""COMPUTED_VALUE"""),3629.73)</f>
        <v>3629.73</v>
      </c>
      <c r="K1979" s="5">
        <f>IFERROR(__xludf.DUMMYFUNCTION("""COMPUTED_VALUE"""),4986.38)</f>
        <v>4986.38</v>
      </c>
      <c r="L1979" s="4">
        <f>IFERROR(__xludf.DUMMYFUNCTION("""COMPUTED_VALUE"""),13.0)</f>
        <v>13</v>
      </c>
      <c r="M1979" s="4">
        <f>IFERROR(__xludf.DUMMYFUNCTION("""COMPUTED_VALUE"""),84.0)</f>
        <v>84</v>
      </c>
      <c r="N1979" s="2" t="str">
        <f>IFERROR(__xludf.DUMMYFUNCTION("""COMPUTED_VALUE"""),"FALSO")</f>
        <v>FALSO</v>
      </c>
    </row>
    <row r="1980">
      <c r="A1980" s="2">
        <f>IFERROR(__xludf.DUMMYFUNCTION("""COMPUTED_VALUE"""),1979.0)</f>
        <v>1979</v>
      </c>
      <c r="B1980" s="2" t="str">
        <f>IFERROR(__xludf.DUMMYFUNCTION("""COMPUTED_VALUE"""),"Edmund Inkster")</f>
        <v>Edmund Inkster</v>
      </c>
      <c r="C1980" s="2" t="str">
        <f>IFERROR(__xludf.DUMMYFUNCTION("""COMPUTED_VALUE"""),"einksterr7@mtv.com")</f>
        <v>einksterr7@mtv.com</v>
      </c>
      <c r="D1980" s="4">
        <f>IFERROR(__xludf.DUMMYFUNCTION("""COMPUTED_VALUE"""),65.0)</f>
        <v>65</v>
      </c>
      <c r="E1980" s="4">
        <f>IFERROR(__xludf.DUMMYFUNCTION("""COMPUTED_VALUE"""),81.0)</f>
        <v>81</v>
      </c>
      <c r="F1980" s="4">
        <f>IFERROR(__xludf.DUMMYFUNCTION("""COMPUTED_VALUE"""),2.0)</f>
        <v>2</v>
      </c>
      <c r="G1980" s="4">
        <f>IFERROR(__xludf.DUMMYFUNCTION("""COMPUTED_VALUE"""),1176.0)</f>
        <v>1176</v>
      </c>
      <c r="H1980" s="5">
        <f>IFERROR(__xludf.DUMMYFUNCTION("""COMPUTED_VALUE"""),5088.49)</f>
        <v>5088.49</v>
      </c>
      <c r="I1980" s="5">
        <f>IFERROR(__xludf.DUMMYFUNCTION("""COMPUTED_VALUE"""),5586.39)</f>
        <v>5586.39</v>
      </c>
      <c r="J1980" s="5">
        <f>IFERROR(__xludf.DUMMYFUNCTION("""COMPUTED_VALUE"""),1579.92)</f>
        <v>1579.92</v>
      </c>
      <c r="K1980" s="5">
        <f>IFERROR(__xludf.DUMMYFUNCTION("""COMPUTED_VALUE"""),6078.95)</f>
        <v>6078.95</v>
      </c>
      <c r="L1980" s="4">
        <f>IFERROR(__xludf.DUMMYFUNCTION("""COMPUTED_VALUE"""),10.0)</f>
        <v>10</v>
      </c>
      <c r="M1980" s="4">
        <f>IFERROR(__xludf.DUMMYFUNCTION("""COMPUTED_VALUE"""),2.0)</f>
        <v>2</v>
      </c>
      <c r="N1980" s="2" t="str">
        <f>IFERROR(__xludf.DUMMYFUNCTION("""COMPUTED_VALUE"""),"VERDADERO")</f>
        <v>VERDADERO</v>
      </c>
    </row>
    <row r="1981">
      <c r="A1981" s="2">
        <f>IFERROR(__xludf.DUMMYFUNCTION("""COMPUTED_VALUE"""),1980.0)</f>
        <v>1980</v>
      </c>
      <c r="B1981" s="2" t="str">
        <f>IFERROR(__xludf.DUMMYFUNCTION("""COMPUTED_VALUE"""),"Nana Tomson")</f>
        <v>Nana Tomson</v>
      </c>
      <c r="C1981" s="2" t="str">
        <f>IFERROR(__xludf.DUMMYFUNCTION("""COMPUTED_VALUE"""),"ntomsonr8@weibo.com")</f>
        <v>ntomsonr8@weibo.com</v>
      </c>
      <c r="D1981" s="4">
        <f>IFERROR(__xludf.DUMMYFUNCTION("""COMPUTED_VALUE"""),66.0)</f>
        <v>66</v>
      </c>
      <c r="E1981" s="4">
        <f>IFERROR(__xludf.DUMMYFUNCTION("""COMPUTED_VALUE"""),81.0)</f>
        <v>81</v>
      </c>
      <c r="F1981" s="4">
        <f>IFERROR(__xludf.DUMMYFUNCTION("""COMPUTED_VALUE"""),2.0)</f>
        <v>2</v>
      </c>
      <c r="G1981" s="4">
        <f>IFERROR(__xludf.DUMMYFUNCTION("""COMPUTED_VALUE"""),1102.0)</f>
        <v>1102</v>
      </c>
      <c r="H1981" s="5">
        <f>IFERROR(__xludf.DUMMYFUNCTION("""COMPUTED_VALUE"""),9409.87)</f>
        <v>9409.87</v>
      </c>
      <c r="I1981" s="5">
        <f>IFERROR(__xludf.DUMMYFUNCTION("""COMPUTED_VALUE"""),5168.21)</f>
        <v>5168.21</v>
      </c>
      <c r="J1981" s="5">
        <f>IFERROR(__xludf.DUMMYFUNCTION("""COMPUTED_VALUE"""),4953.63)</f>
        <v>4953.63</v>
      </c>
      <c r="K1981" s="5">
        <f>IFERROR(__xludf.DUMMYFUNCTION("""COMPUTED_VALUE"""),3351.43)</f>
        <v>3351.43</v>
      </c>
      <c r="L1981" s="4">
        <f>IFERROR(__xludf.DUMMYFUNCTION("""COMPUTED_VALUE"""),18.0)</f>
        <v>18</v>
      </c>
      <c r="M1981" s="4">
        <f>IFERROR(__xludf.DUMMYFUNCTION("""COMPUTED_VALUE"""),13.0)</f>
        <v>13</v>
      </c>
      <c r="N1981" s="2" t="str">
        <f>IFERROR(__xludf.DUMMYFUNCTION("""COMPUTED_VALUE"""),"VERDADERO")</f>
        <v>VERDADERO</v>
      </c>
    </row>
    <row r="1982">
      <c r="A1982" s="2">
        <f>IFERROR(__xludf.DUMMYFUNCTION("""COMPUTED_VALUE"""),1981.0)</f>
        <v>1981</v>
      </c>
      <c r="B1982" s="2" t="str">
        <f>IFERROR(__xludf.DUMMYFUNCTION("""COMPUTED_VALUE"""),"Jenilee Braidon")</f>
        <v>Jenilee Braidon</v>
      </c>
      <c r="C1982" s="2" t="str">
        <f>IFERROR(__xludf.DUMMYFUNCTION("""COMPUTED_VALUE"""),"jbraidonr9@nytimes.com")</f>
        <v>jbraidonr9@nytimes.com</v>
      </c>
      <c r="D1982" s="4">
        <f>IFERROR(__xludf.DUMMYFUNCTION("""COMPUTED_VALUE"""),120.0)</f>
        <v>120</v>
      </c>
      <c r="E1982" s="4">
        <f>IFERROR(__xludf.DUMMYFUNCTION("""COMPUTED_VALUE"""),81.0)</f>
        <v>81</v>
      </c>
      <c r="F1982" s="4">
        <f>IFERROR(__xludf.DUMMYFUNCTION("""COMPUTED_VALUE"""),2.0)</f>
        <v>2</v>
      </c>
      <c r="G1982" s="4">
        <f>IFERROR(__xludf.DUMMYFUNCTION("""COMPUTED_VALUE"""),1143.0)</f>
        <v>1143</v>
      </c>
      <c r="H1982" s="5">
        <f>IFERROR(__xludf.DUMMYFUNCTION("""COMPUTED_VALUE"""),7590.93)</f>
        <v>7590.93</v>
      </c>
      <c r="I1982" s="5">
        <f>IFERROR(__xludf.DUMMYFUNCTION("""COMPUTED_VALUE"""),918.25)</f>
        <v>918.25</v>
      </c>
      <c r="J1982" s="5">
        <f>IFERROR(__xludf.DUMMYFUNCTION("""COMPUTED_VALUE"""),2049.73)</f>
        <v>2049.73</v>
      </c>
      <c r="K1982" s="5">
        <f>IFERROR(__xludf.DUMMYFUNCTION("""COMPUTED_VALUE"""),2604.74)</f>
        <v>2604.74</v>
      </c>
      <c r="L1982" s="4">
        <f>IFERROR(__xludf.DUMMYFUNCTION("""COMPUTED_VALUE"""),18.0)</f>
        <v>18</v>
      </c>
      <c r="M1982" s="4">
        <f>IFERROR(__xludf.DUMMYFUNCTION("""COMPUTED_VALUE"""),97.0)</f>
        <v>97</v>
      </c>
      <c r="N1982" s="2" t="str">
        <f>IFERROR(__xludf.DUMMYFUNCTION("""COMPUTED_VALUE"""),"VERDADERO")</f>
        <v>VERDADERO</v>
      </c>
    </row>
    <row r="1983">
      <c r="A1983" s="2">
        <f>IFERROR(__xludf.DUMMYFUNCTION("""COMPUTED_VALUE"""),1982.0)</f>
        <v>1982</v>
      </c>
      <c r="B1983" s="2" t="str">
        <f>IFERROR(__xludf.DUMMYFUNCTION("""COMPUTED_VALUE"""),"Frans Greathead")</f>
        <v>Frans Greathead</v>
      </c>
      <c r="C1983" s="2" t="str">
        <f>IFERROR(__xludf.DUMMYFUNCTION("""COMPUTED_VALUE"""),"fgreatheadra@mail.ru")</f>
        <v>fgreatheadra@mail.ru</v>
      </c>
      <c r="D1983" s="4">
        <f>IFERROR(__xludf.DUMMYFUNCTION("""COMPUTED_VALUE"""),119.0)</f>
        <v>119</v>
      </c>
      <c r="E1983" s="4">
        <f>IFERROR(__xludf.DUMMYFUNCTION("""COMPUTED_VALUE"""),37.0)</f>
        <v>37</v>
      </c>
      <c r="F1983" s="4">
        <f>IFERROR(__xludf.DUMMYFUNCTION("""COMPUTED_VALUE"""),11.0)</f>
        <v>11</v>
      </c>
      <c r="G1983" s="4">
        <f>IFERROR(__xludf.DUMMYFUNCTION("""COMPUTED_VALUE"""),629.0)</f>
        <v>629</v>
      </c>
      <c r="H1983" s="5">
        <f>IFERROR(__xludf.DUMMYFUNCTION("""COMPUTED_VALUE"""),7562.39)</f>
        <v>7562.39</v>
      </c>
      <c r="I1983" s="5">
        <f>IFERROR(__xludf.DUMMYFUNCTION("""COMPUTED_VALUE"""),1279.89)</f>
        <v>1279.89</v>
      </c>
      <c r="J1983" s="5">
        <f>IFERROR(__xludf.DUMMYFUNCTION("""COMPUTED_VALUE"""),4546.88)</f>
        <v>4546.88</v>
      </c>
      <c r="K1983" s="5">
        <f>IFERROR(__xludf.DUMMYFUNCTION("""COMPUTED_VALUE"""),8362.71)</f>
        <v>8362.71</v>
      </c>
      <c r="L1983" s="4">
        <f>IFERROR(__xludf.DUMMYFUNCTION("""COMPUTED_VALUE"""),9.0)</f>
        <v>9</v>
      </c>
      <c r="M1983" s="4">
        <f>IFERROR(__xludf.DUMMYFUNCTION("""COMPUTED_VALUE"""),87.0)</f>
        <v>87</v>
      </c>
      <c r="N1983" s="2" t="str">
        <f>IFERROR(__xludf.DUMMYFUNCTION("""COMPUTED_VALUE"""),"FALSO")</f>
        <v>FALSO</v>
      </c>
    </row>
    <row r="1984">
      <c r="A1984" s="2">
        <f>IFERROR(__xludf.DUMMYFUNCTION("""COMPUTED_VALUE"""),1983.0)</f>
        <v>1983</v>
      </c>
      <c r="B1984" s="2" t="str">
        <f>IFERROR(__xludf.DUMMYFUNCTION("""COMPUTED_VALUE"""),"Agnola Jowers")</f>
        <v>Agnola Jowers</v>
      </c>
      <c r="C1984" s="2" t="str">
        <f>IFERROR(__xludf.DUMMYFUNCTION("""COMPUTED_VALUE"""),"ajowersrb@opensource.org")</f>
        <v>ajowersrb@opensource.org</v>
      </c>
      <c r="D1984" s="4">
        <f>IFERROR(__xludf.DUMMYFUNCTION("""COMPUTED_VALUE"""),142.0)</f>
        <v>142</v>
      </c>
      <c r="E1984" s="4">
        <f>IFERROR(__xludf.DUMMYFUNCTION("""COMPUTED_VALUE"""),81.0)</f>
        <v>81</v>
      </c>
      <c r="F1984" s="4">
        <f>IFERROR(__xludf.DUMMYFUNCTION("""COMPUTED_VALUE"""),2.0)</f>
        <v>2</v>
      </c>
      <c r="G1984" s="4">
        <f>IFERROR(__xludf.DUMMYFUNCTION("""COMPUTED_VALUE"""),615.0)</f>
        <v>615</v>
      </c>
      <c r="H1984" s="5">
        <f>IFERROR(__xludf.DUMMYFUNCTION("""COMPUTED_VALUE"""),317.9)</f>
        <v>317.9</v>
      </c>
      <c r="I1984" s="5">
        <f>IFERROR(__xludf.DUMMYFUNCTION("""COMPUTED_VALUE"""),2197.93)</f>
        <v>2197.93</v>
      </c>
      <c r="J1984" s="5">
        <f>IFERROR(__xludf.DUMMYFUNCTION("""COMPUTED_VALUE"""),9431.35)</f>
        <v>9431.35</v>
      </c>
      <c r="K1984" s="5">
        <f>IFERROR(__xludf.DUMMYFUNCTION("""COMPUTED_VALUE"""),6853.29)</f>
        <v>6853.29</v>
      </c>
      <c r="L1984" s="4">
        <f>IFERROR(__xludf.DUMMYFUNCTION("""COMPUTED_VALUE"""),18.0)</f>
        <v>18</v>
      </c>
      <c r="M1984" s="4">
        <f>IFERROR(__xludf.DUMMYFUNCTION("""COMPUTED_VALUE"""),21.0)</f>
        <v>21</v>
      </c>
      <c r="N1984" s="2" t="str">
        <f>IFERROR(__xludf.DUMMYFUNCTION("""COMPUTED_VALUE"""),"VERDADERO")</f>
        <v>VERDADERO</v>
      </c>
    </row>
    <row r="1985">
      <c r="A1985" s="2">
        <f>IFERROR(__xludf.DUMMYFUNCTION("""COMPUTED_VALUE"""),1984.0)</f>
        <v>1984</v>
      </c>
      <c r="B1985" s="2" t="str">
        <f>IFERROR(__xludf.DUMMYFUNCTION("""COMPUTED_VALUE"""),"Alexandra Dace")</f>
        <v>Alexandra Dace</v>
      </c>
      <c r="C1985" s="2" t="str">
        <f>IFERROR(__xludf.DUMMYFUNCTION("""COMPUTED_VALUE"""),"adacerc@spotify.com")</f>
        <v>adacerc@spotify.com</v>
      </c>
      <c r="D1985" s="4">
        <f>IFERROR(__xludf.DUMMYFUNCTION("""COMPUTED_VALUE"""),29.0)</f>
        <v>29</v>
      </c>
      <c r="E1985" s="4">
        <f>IFERROR(__xludf.DUMMYFUNCTION("""COMPUTED_VALUE"""),107.0)</f>
        <v>107</v>
      </c>
      <c r="F1985" s="4">
        <f>IFERROR(__xludf.DUMMYFUNCTION("""COMPUTED_VALUE"""),5.0)</f>
        <v>5</v>
      </c>
      <c r="G1985" s="4">
        <f>IFERROR(__xludf.DUMMYFUNCTION("""COMPUTED_VALUE"""),1222.0)</f>
        <v>1222</v>
      </c>
      <c r="H1985" s="5">
        <f>IFERROR(__xludf.DUMMYFUNCTION("""COMPUTED_VALUE"""),2550.87)</f>
        <v>2550.87</v>
      </c>
      <c r="I1985" s="5">
        <f>IFERROR(__xludf.DUMMYFUNCTION("""COMPUTED_VALUE"""),2616.68)</f>
        <v>2616.68</v>
      </c>
      <c r="J1985" s="5">
        <f>IFERROR(__xludf.DUMMYFUNCTION("""COMPUTED_VALUE"""),9678.41)</f>
        <v>9678.41</v>
      </c>
      <c r="K1985" s="5">
        <f>IFERROR(__xludf.DUMMYFUNCTION("""COMPUTED_VALUE"""),2974.26)</f>
        <v>2974.26</v>
      </c>
      <c r="L1985" s="4">
        <f>IFERROR(__xludf.DUMMYFUNCTION("""COMPUTED_VALUE"""),2.0)</f>
        <v>2</v>
      </c>
      <c r="M1985" s="4">
        <f>IFERROR(__xludf.DUMMYFUNCTION("""COMPUTED_VALUE"""),69.0)</f>
        <v>69</v>
      </c>
      <c r="N1985" s="2" t="str">
        <f>IFERROR(__xludf.DUMMYFUNCTION("""COMPUTED_VALUE"""),"FALSO")</f>
        <v>FALSO</v>
      </c>
    </row>
    <row r="1986">
      <c r="A1986" s="2">
        <f>IFERROR(__xludf.DUMMYFUNCTION("""COMPUTED_VALUE"""),1985.0)</f>
        <v>1985</v>
      </c>
      <c r="B1986" s="2" t="str">
        <f>IFERROR(__xludf.DUMMYFUNCTION("""COMPUTED_VALUE"""),"Bambie Mozzetti")</f>
        <v>Bambie Mozzetti</v>
      </c>
      <c r="C1986" s="2" t="str">
        <f>IFERROR(__xludf.DUMMYFUNCTION("""COMPUTED_VALUE"""),"bmozzettird@de.vu")</f>
        <v>bmozzettird@de.vu</v>
      </c>
      <c r="D1986" s="4">
        <f>IFERROR(__xludf.DUMMYFUNCTION("""COMPUTED_VALUE"""),124.0)</f>
        <v>124</v>
      </c>
      <c r="E1986" s="4">
        <f>IFERROR(__xludf.DUMMYFUNCTION("""COMPUTED_VALUE"""),113.0)</f>
        <v>113</v>
      </c>
      <c r="F1986" s="4">
        <f>IFERROR(__xludf.DUMMYFUNCTION("""COMPUTED_VALUE"""),5.0)</f>
        <v>5</v>
      </c>
      <c r="G1986" s="4">
        <f>IFERROR(__xludf.DUMMYFUNCTION("""COMPUTED_VALUE"""),3.0)</f>
        <v>3</v>
      </c>
      <c r="H1986" s="5">
        <f>IFERROR(__xludf.DUMMYFUNCTION("""COMPUTED_VALUE"""),6035.33)</f>
        <v>6035.33</v>
      </c>
      <c r="I1986" s="5">
        <f>IFERROR(__xludf.DUMMYFUNCTION("""COMPUTED_VALUE"""),2035.33)</f>
        <v>2035.33</v>
      </c>
      <c r="J1986" s="5">
        <f>IFERROR(__xludf.DUMMYFUNCTION("""COMPUTED_VALUE"""),8394.51)</f>
        <v>8394.51</v>
      </c>
      <c r="K1986" s="5">
        <f>IFERROR(__xludf.DUMMYFUNCTION("""COMPUTED_VALUE"""),3536.16)</f>
        <v>3536.16</v>
      </c>
      <c r="L1986" s="4">
        <f>IFERROR(__xludf.DUMMYFUNCTION("""COMPUTED_VALUE"""),16.0)</f>
        <v>16</v>
      </c>
      <c r="M1986" s="4">
        <f>IFERROR(__xludf.DUMMYFUNCTION("""COMPUTED_VALUE"""),59.0)</f>
        <v>59</v>
      </c>
      <c r="N1986" s="2" t="str">
        <f>IFERROR(__xludf.DUMMYFUNCTION("""COMPUTED_VALUE"""),"VERDADERO")</f>
        <v>VERDADERO</v>
      </c>
    </row>
    <row r="1987">
      <c r="A1987" s="2">
        <f>IFERROR(__xludf.DUMMYFUNCTION("""COMPUTED_VALUE"""),1986.0)</f>
        <v>1986</v>
      </c>
      <c r="B1987" s="2" t="str">
        <f>IFERROR(__xludf.DUMMYFUNCTION("""COMPUTED_VALUE"""),"Clywd Carrel")</f>
        <v>Clywd Carrel</v>
      </c>
      <c r="C1987" s="2" t="str">
        <f>IFERROR(__xludf.DUMMYFUNCTION("""COMPUTED_VALUE"""),"ccarrelre@ow.ly")</f>
        <v>ccarrelre@ow.ly</v>
      </c>
      <c r="D1987" s="4">
        <f>IFERROR(__xludf.DUMMYFUNCTION("""COMPUTED_VALUE"""),120.0)</f>
        <v>120</v>
      </c>
      <c r="E1987" s="4">
        <f>IFERROR(__xludf.DUMMYFUNCTION("""COMPUTED_VALUE"""),67.0)</f>
        <v>67</v>
      </c>
      <c r="F1987" s="4">
        <f>IFERROR(__xludf.DUMMYFUNCTION("""COMPUTED_VALUE"""),7.0)</f>
        <v>7</v>
      </c>
      <c r="G1987" s="4">
        <f>IFERROR(__xludf.DUMMYFUNCTION("""COMPUTED_VALUE"""),471.0)</f>
        <v>471</v>
      </c>
      <c r="H1987" s="5">
        <f>IFERROR(__xludf.DUMMYFUNCTION("""COMPUTED_VALUE"""),2222.8)</f>
        <v>2222.8</v>
      </c>
      <c r="I1987" s="5">
        <f>IFERROR(__xludf.DUMMYFUNCTION("""COMPUTED_VALUE"""),652.62)</f>
        <v>652.62</v>
      </c>
      <c r="J1987" s="5">
        <f>IFERROR(__xludf.DUMMYFUNCTION("""COMPUTED_VALUE"""),5621.84)</f>
        <v>5621.84</v>
      </c>
      <c r="K1987" s="5">
        <f>IFERROR(__xludf.DUMMYFUNCTION("""COMPUTED_VALUE"""),3528.72)</f>
        <v>3528.72</v>
      </c>
      <c r="L1987" s="4">
        <f>IFERROR(__xludf.DUMMYFUNCTION("""COMPUTED_VALUE"""),7.0)</f>
        <v>7</v>
      </c>
      <c r="M1987" s="4">
        <f>IFERROR(__xludf.DUMMYFUNCTION("""COMPUTED_VALUE"""),100.0)</f>
        <v>100</v>
      </c>
      <c r="N1987" s="2" t="str">
        <f>IFERROR(__xludf.DUMMYFUNCTION("""COMPUTED_VALUE"""),"FALSO")</f>
        <v>FALSO</v>
      </c>
    </row>
    <row r="1988">
      <c r="A1988" s="2">
        <f>IFERROR(__xludf.DUMMYFUNCTION("""COMPUTED_VALUE"""),1987.0)</f>
        <v>1987</v>
      </c>
      <c r="B1988" s="2" t="str">
        <f>IFERROR(__xludf.DUMMYFUNCTION("""COMPUTED_VALUE"""),"Antone Ismail")</f>
        <v>Antone Ismail</v>
      </c>
      <c r="C1988" s="2" t="str">
        <f>IFERROR(__xludf.DUMMYFUNCTION("""COMPUTED_VALUE"""),"aismailrf@cdbaby.com")</f>
        <v>aismailrf@cdbaby.com</v>
      </c>
      <c r="D1988" s="4">
        <f>IFERROR(__xludf.DUMMYFUNCTION("""COMPUTED_VALUE"""),69.0)</f>
        <v>69</v>
      </c>
      <c r="E1988" s="4">
        <f>IFERROR(__xludf.DUMMYFUNCTION("""COMPUTED_VALUE"""),81.0)</f>
        <v>81</v>
      </c>
      <c r="F1988" s="4">
        <f>IFERROR(__xludf.DUMMYFUNCTION("""COMPUTED_VALUE"""),2.0)</f>
        <v>2</v>
      </c>
      <c r="G1988" s="4">
        <f>IFERROR(__xludf.DUMMYFUNCTION("""COMPUTED_VALUE"""),666.0)</f>
        <v>666</v>
      </c>
      <c r="H1988" s="5">
        <f>IFERROR(__xludf.DUMMYFUNCTION("""COMPUTED_VALUE"""),8999.3)</f>
        <v>8999.3</v>
      </c>
      <c r="I1988" s="5">
        <f>IFERROR(__xludf.DUMMYFUNCTION("""COMPUTED_VALUE"""),6772.97)</f>
        <v>6772.97</v>
      </c>
      <c r="J1988" s="5">
        <f>IFERROR(__xludf.DUMMYFUNCTION("""COMPUTED_VALUE"""),850.73)</f>
        <v>850.73</v>
      </c>
      <c r="K1988" s="5">
        <f>IFERROR(__xludf.DUMMYFUNCTION("""COMPUTED_VALUE"""),8086.87)</f>
        <v>8086.87</v>
      </c>
      <c r="L1988" s="4">
        <f>IFERROR(__xludf.DUMMYFUNCTION("""COMPUTED_VALUE"""),20.0)</f>
        <v>20</v>
      </c>
      <c r="M1988" s="4">
        <f>IFERROR(__xludf.DUMMYFUNCTION("""COMPUTED_VALUE"""),1.0)</f>
        <v>1</v>
      </c>
      <c r="N1988" s="2" t="str">
        <f>IFERROR(__xludf.DUMMYFUNCTION("""COMPUTED_VALUE"""),"FALSO")</f>
        <v>FALSO</v>
      </c>
    </row>
    <row r="1989">
      <c r="A1989" s="2">
        <f>IFERROR(__xludf.DUMMYFUNCTION("""COMPUTED_VALUE"""),1988.0)</f>
        <v>1988</v>
      </c>
      <c r="B1989" s="2" t="str">
        <f>IFERROR(__xludf.DUMMYFUNCTION("""COMPUTED_VALUE"""),"Krystalle Oran")</f>
        <v>Krystalle Oran</v>
      </c>
      <c r="C1989" s="2" t="str">
        <f>IFERROR(__xludf.DUMMYFUNCTION("""COMPUTED_VALUE"""),"koranrg@newsvine.com")</f>
        <v>koranrg@newsvine.com</v>
      </c>
      <c r="D1989" s="4">
        <f>IFERROR(__xludf.DUMMYFUNCTION("""COMPUTED_VALUE"""),29.0)</f>
        <v>29</v>
      </c>
      <c r="E1989" s="4">
        <f>IFERROR(__xludf.DUMMYFUNCTION("""COMPUTED_VALUE"""),30.0)</f>
        <v>30</v>
      </c>
      <c r="F1989" s="4">
        <f>IFERROR(__xludf.DUMMYFUNCTION("""COMPUTED_VALUE"""),11.0)</f>
        <v>11</v>
      </c>
      <c r="G1989" s="4">
        <f>IFERROR(__xludf.DUMMYFUNCTION("""COMPUTED_VALUE"""),1593.0)</f>
        <v>1593</v>
      </c>
      <c r="H1989" s="5">
        <f>IFERROR(__xludf.DUMMYFUNCTION("""COMPUTED_VALUE"""),7716.55)</f>
        <v>7716.55</v>
      </c>
      <c r="I1989" s="5">
        <f>IFERROR(__xludf.DUMMYFUNCTION("""COMPUTED_VALUE"""),7668.93)</f>
        <v>7668.93</v>
      </c>
      <c r="J1989" s="5">
        <f>IFERROR(__xludf.DUMMYFUNCTION("""COMPUTED_VALUE"""),8500.44)</f>
        <v>8500.44</v>
      </c>
      <c r="K1989" s="5">
        <f>IFERROR(__xludf.DUMMYFUNCTION("""COMPUTED_VALUE"""),8535.79)</f>
        <v>8535.79</v>
      </c>
      <c r="L1989" s="4">
        <f>IFERROR(__xludf.DUMMYFUNCTION("""COMPUTED_VALUE"""),6.0)</f>
        <v>6</v>
      </c>
      <c r="M1989" s="4">
        <f>IFERROR(__xludf.DUMMYFUNCTION("""COMPUTED_VALUE"""),84.0)</f>
        <v>84</v>
      </c>
      <c r="N1989" s="2" t="str">
        <f>IFERROR(__xludf.DUMMYFUNCTION("""COMPUTED_VALUE"""),"FALSO")</f>
        <v>FALSO</v>
      </c>
    </row>
    <row r="1990">
      <c r="A1990" s="2">
        <f>IFERROR(__xludf.DUMMYFUNCTION("""COMPUTED_VALUE"""),1989.0)</f>
        <v>1989</v>
      </c>
      <c r="B1990" s="2" t="str">
        <f>IFERROR(__xludf.DUMMYFUNCTION("""COMPUTED_VALUE"""),"Elbertina Simpson")</f>
        <v>Elbertina Simpson</v>
      </c>
      <c r="C1990" s="2" t="str">
        <f>IFERROR(__xludf.DUMMYFUNCTION("""COMPUTED_VALUE"""),"esimpsonrh@blogtalkradio.com")</f>
        <v>esimpsonrh@blogtalkradio.com</v>
      </c>
      <c r="D1990" s="4">
        <f>IFERROR(__xludf.DUMMYFUNCTION("""COMPUTED_VALUE"""),49.0)</f>
        <v>49</v>
      </c>
      <c r="E1990" s="4">
        <f>IFERROR(__xludf.DUMMYFUNCTION("""COMPUTED_VALUE"""),63.0)</f>
        <v>63</v>
      </c>
      <c r="F1990" s="4">
        <f>IFERROR(__xludf.DUMMYFUNCTION("""COMPUTED_VALUE"""),4.0)</f>
        <v>4</v>
      </c>
      <c r="G1990" s="4">
        <f>IFERROR(__xludf.DUMMYFUNCTION("""COMPUTED_VALUE"""),1418.0)</f>
        <v>1418</v>
      </c>
      <c r="H1990" s="5">
        <f>IFERROR(__xludf.DUMMYFUNCTION("""COMPUTED_VALUE"""),2880.95)</f>
        <v>2880.95</v>
      </c>
      <c r="I1990" s="5">
        <f>IFERROR(__xludf.DUMMYFUNCTION("""COMPUTED_VALUE"""),3027.41)</f>
        <v>3027.41</v>
      </c>
      <c r="J1990" s="5">
        <f>IFERROR(__xludf.DUMMYFUNCTION("""COMPUTED_VALUE"""),3408.25)</f>
        <v>3408.25</v>
      </c>
      <c r="K1990" s="5">
        <f>IFERROR(__xludf.DUMMYFUNCTION("""COMPUTED_VALUE"""),9211.5)</f>
        <v>9211.5</v>
      </c>
      <c r="L1990" s="4">
        <f>IFERROR(__xludf.DUMMYFUNCTION("""COMPUTED_VALUE"""),14.0)</f>
        <v>14</v>
      </c>
      <c r="M1990" s="4">
        <f>IFERROR(__xludf.DUMMYFUNCTION("""COMPUTED_VALUE"""),63.0)</f>
        <v>63</v>
      </c>
      <c r="N1990" s="2" t="str">
        <f>IFERROR(__xludf.DUMMYFUNCTION("""COMPUTED_VALUE"""),"FALSO")</f>
        <v>FALSO</v>
      </c>
    </row>
    <row r="1991">
      <c r="A1991" s="2">
        <f>IFERROR(__xludf.DUMMYFUNCTION("""COMPUTED_VALUE"""),1990.0)</f>
        <v>1990</v>
      </c>
      <c r="B1991" s="2" t="str">
        <f>IFERROR(__xludf.DUMMYFUNCTION("""COMPUTED_VALUE"""),"Ginnie Runham")</f>
        <v>Ginnie Runham</v>
      </c>
      <c r="C1991" s="2" t="str">
        <f>IFERROR(__xludf.DUMMYFUNCTION("""COMPUTED_VALUE"""),"grunhamri@ocn.ne.jp")</f>
        <v>grunhamri@ocn.ne.jp</v>
      </c>
      <c r="D1991" s="4">
        <f>IFERROR(__xludf.DUMMYFUNCTION("""COMPUTED_VALUE"""),29.0)</f>
        <v>29</v>
      </c>
      <c r="E1991" s="4">
        <f>IFERROR(__xludf.DUMMYFUNCTION("""COMPUTED_VALUE"""),60.0)</f>
        <v>60</v>
      </c>
      <c r="F1991" s="4">
        <f>IFERROR(__xludf.DUMMYFUNCTION("""COMPUTED_VALUE"""),3.0)</f>
        <v>3</v>
      </c>
      <c r="G1991" s="4">
        <f>IFERROR(__xludf.DUMMYFUNCTION("""COMPUTED_VALUE"""),1431.0)</f>
        <v>1431</v>
      </c>
      <c r="H1991" s="5">
        <f>IFERROR(__xludf.DUMMYFUNCTION("""COMPUTED_VALUE"""),4714.72)</f>
        <v>4714.72</v>
      </c>
      <c r="I1991" s="5">
        <f>IFERROR(__xludf.DUMMYFUNCTION("""COMPUTED_VALUE"""),5777.13)</f>
        <v>5777.13</v>
      </c>
      <c r="J1991" s="5">
        <f>IFERROR(__xludf.DUMMYFUNCTION("""COMPUTED_VALUE"""),5661.78)</f>
        <v>5661.78</v>
      </c>
      <c r="K1991" s="5">
        <f>IFERROR(__xludf.DUMMYFUNCTION("""COMPUTED_VALUE"""),2402.5)</f>
        <v>2402.5</v>
      </c>
      <c r="L1991" s="4">
        <f>IFERROR(__xludf.DUMMYFUNCTION("""COMPUTED_VALUE"""),12.0)</f>
        <v>12</v>
      </c>
      <c r="M1991" s="4">
        <f>IFERROR(__xludf.DUMMYFUNCTION("""COMPUTED_VALUE"""),8.0)</f>
        <v>8</v>
      </c>
      <c r="N1991" s="2" t="str">
        <f>IFERROR(__xludf.DUMMYFUNCTION("""COMPUTED_VALUE"""),"VERDADERO")</f>
        <v>VERDADERO</v>
      </c>
    </row>
    <row r="1992">
      <c r="A1992" s="2">
        <f>IFERROR(__xludf.DUMMYFUNCTION("""COMPUTED_VALUE"""),1991.0)</f>
        <v>1991</v>
      </c>
      <c r="B1992" s="2" t="str">
        <f>IFERROR(__xludf.DUMMYFUNCTION("""COMPUTED_VALUE"""),"Zacherie Robertot")</f>
        <v>Zacherie Robertot</v>
      </c>
      <c r="C1992" s="2" t="str">
        <f>IFERROR(__xludf.DUMMYFUNCTION("""COMPUTED_VALUE"""),"zrobertotrj@prlog.org")</f>
        <v>zrobertotrj@prlog.org</v>
      </c>
      <c r="D1992" s="4">
        <f>IFERROR(__xludf.DUMMYFUNCTION("""COMPUTED_VALUE"""),5.0)</f>
        <v>5</v>
      </c>
      <c r="E1992" s="4">
        <f>IFERROR(__xludf.DUMMYFUNCTION("""COMPUTED_VALUE"""),102.0)</f>
        <v>102</v>
      </c>
      <c r="F1992" s="4">
        <f>IFERROR(__xludf.DUMMYFUNCTION("""COMPUTED_VALUE"""),4.0)</f>
        <v>4</v>
      </c>
      <c r="G1992" s="4">
        <f>IFERROR(__xludf.DUMMYFUNCTION("""COMPUTED_VALUE"""),516.0)</f>
        <v>516</v>
      </c>
      <c r="H1992" s="5">
        <f>IFERROR(__xludf.DUMMYFUNCTION("""COMPUTED_VALUE"""),9633.54)</f>
        <v>9633.54</v>
      </c>
      <c r="I1992" s="5">
        <f>IFERROR(__xludf.DUMMYFUNCTION("""COMPUTED_VALUE"""),2240.88)</f>
        <v>2240.88</v>
      </c>
      <c r="J1992" s="5">
        <f>IFERROR(__xludf.DUMMYFUNCTION("""COMPUTED_VALUE"""),6909.56)</f>
        <v>6909.56</v>
      </c>
      <c r="K1992" s="5">
        <f>IFERROR(__xludf.DUMMYFUNCTION("""COMPUTED_VALUE"""),8218.56)</f>
        <v>8218.56</v>
      </c>
      <c r="L1992" s="4">
        <f>IFERROR(__xludf.DUMMYFUNCTION("""COMPUTED_VALUE"""),19.0)</f>
        <v>19</v>
      </c>
      <c r="M1992" s="4">
        <f>IFERROR(__xludf.DUMMYFUNCTION("""COMPUTED_VALUE"""),18.0)</f>
        <v>18</v>
      </c>
      <c r="N1992" s="2" t="str">
        <f>IFERROR(__xludf.DUMMYFUNCTION("""COMPUTED_VALUE"""),"FALSO")</f>
        <v>FALSO</v>
      </c>
    </row>
    <row r="1993">
      <c r="A1993" s="2">
        <f>IFERROR(__xludf.DUMMYFUNCTION("""COMPUTED_VALUE"""),1992.0)</f>
        <v>1992</v>
      </c>
      <c r="B1993" s="2" t="str">
        <f>IFERROR(__xludf.DUMMYFUNCTION("""COMPUTED_VALUE"""),"Minna Tantrum")</f>
        <v>Minna Tantrum</v>
      </c>
      <c r="C1993" s="2" t="str">
        <f>IFERROR(__xludf.DUMMYFUNCTION("""COMPUTED_VALUE"""),"mtantrumrk@nba.com")</f>
        <v>mtantrumrk@nba.com</v>
      </c>
      <c r="D1993" s="4">
        <f>IFERROR(__xludf.DUMMYFUNCTION("""COMPUTED_VALUE"""),129.0)</f>
        <v>129</v>
      </c>
      <c r="E1993" s="4">
        <f>IFERROR(__xludf.DUMMYFUNCTION("""COMPUTED_VALUE"""),81.0)</f>
        <v>81</v>
      </c>
      <c r="F1993" s="4">
        <f>IFERROR(__xludf.DUMMYFUNCTION("""COMPUTED_VALUE"""),2.0)</f>
        <v>2</v>
      </c>
      <c r="G1993" s="4">
        <f>IFERROR(__xludf.DUMMYFUNCTION("""COMPUTED_VALUE"""),467.0)</f>
        <v>467</v>
      </c>
      <c r="H1993" s="5">
        <f>IFERROR(__xludf.DUMMYFUNCTION("""COMPUTED_VALUE"""),1841.42)</f>
        <v>1841.42</v>
      </c>
      <c r="I1993" s="5">
        <f>IFERROR(__xludf.DUMMYFUNCTION("""COMPUTED_VALUE"""),7824.49)</f>
        <v>7824.49</v>
      </c>
      <c r="J1993" s="5">
        <f>IFERROR(__xludf.DUMMYFUNCTION("""COMPUTED_VALUE"""),8914.56)</f>
        <v>8914.56</v>
      </c>
      <c r="K1993" s="5">
        <f>IFERROR(__xludf.DUMMYFUNCTION("""COMPUTED_VALUE"""),3040.84)</f>
        <v>3040.84</v>
      </c>
      <c r="L1993" s="4">
        <f>IFERROR(__xludf.DUMMYFUNCTION("""COMPUTED_VALUE"""),9.0)</f>
        <v>9</v>
      </c>
      <c r="M1993" s="4">
        <f>IFERROR(__xludf.DUMMYFUNCTION("""COMPUTED_VALUE"""),31.0)</f>
        <v>31</v>
      </c>
      <c r="N1993" s="2" t="str">
        <f>IFERROR(__xludf.DUMMYFUNCTION("""COMPUTED_VALUE"""),"VERDADERO")</f>
        <v>VERDADERO</v>
      </c>
    </row>
    <row r="1994">
      <c r="A1994" s="2">
        <f>IFERROR(__xludf.DUMMYFUNCTION("""COMPUTED_VALUE"""),1993.0)</f>
        <v>1993</v>
      </c>
      <c r="B1994" s="2" t="str">
        <f>IFERROR(__xludf.DUMMYFUNCTION("""COMPUTED_VALUE"""),"Camala Sugar")</f>
        <v>Camala Sugar</v>
      </c>
      <c r="C1994" s="2" t="str">
        <f>IFERROR(__xludf.DUMMYFUNCTION("""COMPUTED_VALUE"""),"csugarrl@behance.net")</f>
        <v>csugarrl@behance.net</v>
      </c>
      <c r="D1994" s="4">
        <f>IFERROR(__xludf.DUMMYFUNCTION("""COMPUTED_VALUE"""),37.0)</f>
        <v>37</v>
      </c>
      <c r="E1994" s="4">
        <f>IFERROR(__xludf.DUMMYFUNCTION("""COMPUTED_VALUE"""),101.0)</f>
        <v>101</v>
      </c>
      <c r="F1994" s="4">
        <f>IFERROR(__xludf.DUMMYFUNCTION("""COMPUTED_VALUE"""),11.0)</f>
        <v>11</v>
      </c>
      <c r="G1994" s="4">
        <f>IFERROR(__xludf.DUMMYFUNCTION("""COMPUTED_VALUE"""),450.0)</f>
        <v>450</v>
      </c>
      <c r="H1994" s="5">
        <f>IFERROR(__xludf.DUMMYFUNCTION("""COMPUTED_VALUE"""),1665.09)</f>
        <v>1665.09</v>
      </c>
      <c r="I1994" s="5">
        <f>IFERROR(__xludf.DUMMYFUNCTION("""COMPUTED_VALUE"""),8102.1)</f>
        <v>8102.1</v>
      </c>
      <c r="J1994" s="5">
        <f>IFERROR(__xludf.DUMMYFUNCTION("""COMPUTED_VALUE"""),1196.87)</f>
        <v>1196.87</v>
      </c>
      <c r="K1994" s="5">
        <f>IFERROR(__xludf.DUMMYFUNCTION("""COMPUTED_VALUE"""),5576.62)</f>
        <v>5576.62</v>
      </c>
      <c r="L1994" s="4">
        <f>IFERROR(__xludf.DUMMYFUNCTION("""COMPUTED_VALUE"""),13.0)</f>
        <v>13</v>
      </c>
      <c r="M1994" s="4">
        <f>IFERROR(__xludf.DUMMYFUNCTION("""COMPUTED_VALUE"""),2.0)</f>
        <v>2</v>
      </c>
      <c r="N1994" s="2" t="str">
        <f>IFERROR(__xludf.DUMMYFUNCTION("""COMPUTED_VALUE"""),"FALSO")</f>
        <v>FALSO</v>
      </c>
    </row>
    <row r="1995">
      <c r="A1995" s="2">
        <f>IFERROR(__xludf.DUMMYFUNCTION("""COMPUTED_VALUE"""),1994.0)</f>
        <v>1994</v>
      </c>
      <c r="B1995" s="2" t="str">
        <f>IFERROR(__xludf.DUMMYFUNCTION("""COMPUTED_VALUE"""),"Ofelia Sesons")</f>
        <v>Ofelia Sesons</v>
      </c>
      <c r="C1995" s="2" t="str">
        <f>IFERROR(__xludf.DUMMYFUNCTION("""COMPUTED_VALUE"""),"osesonsrm@goo.ne.jp")</f>
        <v>osesonsrm@goo.ne.jp</v>
      </c>
      <c r="D1995" s="4">
        <f>IFERROR(__xludf.DUMMYFUNCTION("""COMPUTED_VALUE"""),65.0)</f>
        <v>65</v>
      </c>
      <c r="E1995" s="4">
        <f>IFERROR(__xludf.DUMMYFUNCTION("""COMPUTED_VALUE"""),112.0)</f>
        <v>112</v>
      </c>
      <c r="F1995" s="4">
        <f>IFERROR(__xludf.DUMMYFUNCTION("""COMPUTED_VALUE"""),11.0)</f>
        <v>11</v>
      </c>
      <c r="G1995" s="4">
        <f>IFERROR(__xludf.DUMMYFUNCTION("""COMPUTED_VALUE"""),447.0)</f>
        <v>447</v>
      </c>
      <c r="H1995" s="5">
        <f>IFERROR(__xludf.DUMMYFUNCTION("""COMPUTED_VALUE"""),2365.46)</f>
        <v>2365.46</v>
      </c>
      <c r="I1995" s="5">
        <f>IFERROR(__xludf.DUMMYFUNCTION("""COMPUTED_VALUE"""),5093.31)</f>
        <v>5093.31</v>
      </c>
      <c r="J1995" s="5">
        <f>IFERROR(__xludf.DUMMYFUNCTION("""COMPUTED_VALUE"""),2378.55)</f>
        <v>2378.55</v>
      </c>
      <c r="K1995" s="5">
        <f>IFERROR(__xludf.DUMMYFUNCTION("""COMPUTED_VALUE"""),5119.29)</f>
        <v>5119.29</v>
      </c>
      <c r="L1995" s="4">
        <f>IFERROR(__xludf.DUMMYFUNCTION("""COMPUTED_VALUE"""),11.0)</f>
        <v>11</v>
      </c>
      <c r="M1995" s="4">
        <f>IFERROR(__xludf.DUMMYFUNCTION("""COMPUTED_VALUE"""),32.0)</f>
        <v>32</v>
      </c>
      <c r="N1995" s="2" t="str">
        <f>IFERROR(__xludf.DUMMYFUNCTION("""COMPUTED_VALUE"""),"FALSO")</f>
        <v>FALSO</v>
      </c>
    </row>
    <row r="1996">
      <c r="A1996" s="2">
        <f>IFERROR(__xludf.DUMMYFUNCTION("""COMPUTED_VALUE"""),1995.0)</f>
        <v>1995</v>
      </c>
      <c r="B1996" s="2" t="str">
        <f>IFERROR(__xludf.DUMMYFUNCTION("""COMPUTED_VALUE"""),"Kara-lynn Sagar")</f>
        <v>Kara-lynn Sagar</v>
      </c>
      <c r="C1996" s="2" t="str">
        <f>IFERROR(__xludf.DUMMYFUNCTION("""COMPUTED_VALUE"""),"ksagarrn@so-net.ne.jp")</f>
        <v>ksagarrn@so-net.ne.jp</v>
      </c>
      <c r="D1996" s="4">
        <f>IFERROR(__xludf.DUMMYFUNCTION("""COMPUTED_VALUE"""),65.0)</f>
        <v>65</v>
      </c>
      <c r="E1996" s="4">
        <f>IFERROR(__xludf.DUMMYFUNCTION("""COMPUTED_VALUE"""),65.0)</f>
        <v>65</v>
      </c>
      <c r="F1996" s="4">
        <f>IFERROR(__xludf.DUMMYFUNCTION("""COMPUTED_VALUE"""),9.0)</f>
        <v>9</v>
      </c>
      <c r="G1996" s="4">
        <f>IFERROR(__xludf.DUMMYFUNCTION("""COMPUTED_VALUE"""),1438.0)</f>
        <v>1438</v>
      </c>
      <c r="H1996" s="5">
        <f>IFERROR(__xludf.DUMMYFUNCTION("""COMPUTED_VALUE"""),6176.75)</f>
        <v>6176.75</v>
      </c>
      <c r="I1996" s="5">
        <f>IFERROR(__xludf.DUMMYFUNCTION("""COMPUTED_VALUE"""),869.73)</f>
        <v>869.73</v>
      </c>
      <c r="J1996" s="5">
        <f>IFERROR(__xludf.DUMMYFUNCTION("""COMPUTED_VALUE"""),9537.36)</f>
        <v>9537.36</v>
      </c>
      <c r="K1996" s="5">
        <f>IFERROR(__xludf.DUMMYFUNCTION("""COMPUTED_VALUE"""),8017.64)</f>
        <v>8017.64</v>
      </c>
      <c r="L1996" s="4">
        <f>IFERROR(__xludf.DUMMYFUNCTION("""COMPUTED_VALUE"""),11.0)</f>
        <v>11</v>
      </c>
      <c r="M1996" s="4">
        <f>IFERROR(__xludf.DUMMYFUNCTION("""COMPUTED_VALUE"""),95.0)</f>
        <v>95</v>
      </c>
      <c r="N1996" s="2" t="str">
        <f>IFERROR(__xludf.DUMMYFUNCTION("""COMPUTED_VALUE"""),"VERDADERO")</f>
        <v>VERDADERO</v>
      </c>
    </row>
    <row r="1997">
      <c r="A1997" s="2">
        <f>IFERROR(__xludf.DUMMYFUNCTION("""COMPUTED_VALUE"""),1996.0)</f>
        <v>1996</v>
      </c>
      <c r="B1997" s="2" t="str">
        <f>IFERROR(__xludf.DUMMYFUNCTION("""COMPUTED_VALUE"""),"Stacee Borrowman")</f>
        <v>Stacee Borrowman</v>
      </c>
      <c r="C1997" s="2" t="str">
        <f>IFERROR(__xludf.DUMMYFUNCTION("""COMPUTED_VALUE"""),"sborrowmanro@youku.com")</f>
        <v>sborrowmanro@youku.com</v>
      </c>
      <c r="D1997" s="4">
        <f>IFERROR(__xludf.DUMMYFUNCTION("""COMPUTED_VALUE"""),37.0)</f>
        <v>37</v>
      </c>
      <c r="E1997" s="4">
        <f>IFERROR(__xludf.DUMMYFUNCTION("""COMPUTED_VALUE"""),14.0)</f>
        <v>14</v>
      </c>
      <c r="F1997" s="4">
        <f>IFERROR(__xludf.DUMMYFUNCTION("""COMPUTED_VALUE"""),6.0)</f>
        <v>6</v>
      </c>
      <c r="G1997" s="4">
        <f>IFERROR(__xludf.DUMMYFUNCTION("""COMPUTED_VALUE"""),782.0)</f>
        <v>782</v>
      </c>
      <c r="H1997" s="5">
        <f>IFERROR(__xludf.DUMMYFUNCTION("""COMPUTED_VALUE"""),7711.82)</f>
        <v>7711.82</v>
      </c>
      <c r="I1997" s="5">
        <f>IFERROR(__xludf.DUMMYFUNCTION("""COMPUTED_VALUE"""),2568.57)</f>
        <v>2568.57</v>
      </c>
      <c r="J1997" s="5">
        <f>IFERROR(__xludf.DUMMYFUNCTION("""COMPUTED_VALUE"""),7461.93)</f>
        <v>7461.93</v>
      </c>
      <c r="K1997" s="5">
        <f>IFERROR(__xludf.DUMMYFUNCTION("""COMPUTED_VALUE"""),1871.89)</f>
        <v>1871.89</v>
      </c>
      <c r="L1997" s="4">
        <f>IFERROR(__xludf.DUMMYFUNCTION("""COMPUTED_VALUE"""),3.0)</f>
        <v>3</v>
      </c>
      <c r="M1997" s="4">
        <f>IFERROR(__xludf.DUMMYFUNCTION("""COMPUTED_VALUE"""),91.0)</f>
        <v>91</v>
      </c>
      <c r="N1997" s="2" t="str">
        <f>IFERROR(__xludf.DUMMYFUNCTION("""COMPUTED_VALUE"""),"FALSO")</f>
        <v>FALSO</v>
      </c>
    </row>
    <row r="1998">
      <c r="A1998" s="2">
        <f>IFERROR(__xludf.DUMMYFUNCTION("""COMPUTED_VALUE"""),1997.0)</f>
        <v>1997</v>
      </c>
      <c r="B1998" s="2" t="str">
        <f>IFERROR(__xludf.DUMMYFUNCTION("""COMPUTED_VALUE"""),"Mandie Peegrem")</f>
        <v>Mandie Peegrem</v>
      </c>
      <c r="C1998" s="2" t="str">
        <f>IFERROR(__xludf.DUMMYFUNCTION("""COMPUTED_VALUE"""),"mpeegremrp@domainmarket.com")</f>
        <v>mpeegremrp@domainmarket.com</v>
      </c>
      <c r="D1998" s="4">
        <f>IFERROR(__xludf.DUMMYFUNCTION("""COMPUTED_VALUE"""),115.0)</f>
        <v>115</v>
      </c>
      <c r="E1998" s="4">
        <f>IFERROR(__xludf.DUMMYFUNCTION("""COMPUTED_VALUE"""),58.0)</f>
        <v>58</v>
      </c>
      <c r="F1998" s="4">
        <f>IFERROR(__xludf.DUMMYFUNCTION("""COMPUTED_VALUE"""),8.0)</f>
        <v>8</v>
      </c>
      <c r="G1998" s="4">
        <f>IFERROR(__xludf.DUMMYFUNCTION("""COMPUTED_VALUE"""),1017.0)</f>
        <v>1017</v>
      </c>
      <c r="H1998" s="5">
        <f>IFERROR(__xludf.DUMMYFUNCTION("""COMPUTED_VALUE"""),6390.17)</f>
        <v>6390.17</v>
      </c>
      <c r="I1998" s="5">
        <f>IFERROR(__xludf.DUMMYFUNCTION("""COMPUTED_VALUE"""),9480.29)</f>
        <v>9480.29</v>
      </c>
      <c r="J1998" s="5">
        <f>IFERROR(__xludf.DUMMYFUNCTION("""COMPUTED_VALUE"""),6492.17)</f>
        <v>6492.17</v>
      </c>
      <c r="K1998" s="5">
        <f>IFERROR(__xludf.DUMMYFUNCTION("""COMPUTED_VALUE"""),1585.4)</f>
        <v>1585.4</v>
      </c>
      <c r="L1998" s="4">
        <f>IFERROR(__xludf.DUMMYFUNCTION("""COMPUTED_VALUE"""),14.0)</f>
        <v>14</v>
      </c>
      <c r="M1998" s="4">
        <f>IFERROR(__xludf.DUMMYFUNCTION("""COMPUTED_VALUE"""),90.0)</f>
        <v>90</v>
      </c>
      <c r="N1998" s="2" t="str">
        <f>IFERROR(__xludf.DUMMYFUNCTION("""COMPUTED_VALUE"""),"VERDADERO")</f>
        <v>VERDADERO</v>
      </c>
    </row>
    <row r="1999">
      <c r="A1999" s="2">
        <f>IFERROR(__xludf.DUMMYFUNCTION("""COMPUTED_VALUE"""),1998.0)</f>
        <v>1998</v>
      </c>
      <c r="B1999" s="2" t="str">
        <f>IFERROR(__xludf.DUMMYFUNCTION("""COMPUTED_VALUE"""),"Minnaminnie Phythean")</f>
        <v>Minnaminnie Phythean</v>
      </c>
      <c r="C1999" s="2" t="str">
        <f>IFERROR(__xludf.DUMMYFUNCTION("""COMPUTED_VALUE"""),"mphytheanrq@ft.com")</f>
        <v>mphytheanrq@ft.com</v>
      </c>
      <c r="D1999" s="4">
        <f>IFERROR(__xludf.DUMMYFUNCTION("""COMPUTED_VALUE"""),17.0)</f>
        <v>17</v>
      </c>
      <c r="E1999" s="4">
        <f>IFERROR(__xludf.DUMMYFUNCTION("""COMPUTED_VALUE"""),74.0)</f>
        <v>74</v>
      </c>
      <c r="F1999" s="4">
        <f>IFERROR(__xludf.DUMMYFUNCTION("""COMPUTED_VALUE"""),8.0)</f>
        <v>8</v>
      </c>
      <c r="G1999" s="4">
        <f>IFERROR(__xludf.DUMMYFUNCTION("""COMPUTED_VALUE"""),835.0)</f>
        <v>835</v>
      </c>
      <c r="H1999" s="5">
        <f>IFERROR(__xludf.DUMMYFUNCTION("""COMPUTED_VALUE"""),7834.25)</f>
        <v>7834.25</v>
      </c>
      <c r="I1999" s="5">
        <f>IFERROR(__xludf.DUMMYFUNCTION("""COMPUTED_VALUE"""),7754.25)</f>
        <v>7754.25</v>
      </c>
      <c r="J1999" s="5">
        <f>IFERROR(__xludf.DUMMYFUNCTION("""COMPUTED_VALUE"""),7734.47)</f>
        <v>7734.47</v>
      </c>
      <c r="K1999" s="5">
        <f>IFERROR(__xludf.DUMMYFUNCTION("""COMPUTED_VALUE"""),8267.82)</f>
        <v>8267.82</v>
      </c>
      <c r="L1999" s="4">
        <f>IFERROR(__xludf.DUMMYFUNCTION("""COMPUTED_VALUE"""),16.0)</f>
        <v>16</v>
      </c>
      <c r="M1999" s="4">
        <f>IFERROR(__xludf.DUMMYFUNCTION("""COMPUTED_VALUE"""),54.0)</f>
        <v>54</v>
      </c>
      <c r="N1999" s="2" t="str">
        <f>IFERROR(__xludf.DUMMYFUNCTION("""COMPUTED_VALUE"""),"VERDADERO")</f>
        <v>VERDADERO</v>
      </c>
    </row>
    <row r="2000">
      <c r="A2000" s="2">
        <f>IFERROR(__xludf.DUMMYFUNCTION("""COMPUTED_VALUE"""),1999.0)</f>
        <v>1999</v>
      </c>
      <c r="B2000" s="2" t="str">
        <f>IFERROR(__xludf.DUMMYFUNCTION("""COMPUTED_VALUE"""),"Joseito Harlock")</f>
        <v>Joseito Harlock</v>
      </c>
      <c r="C2000" s="2" t="str">
        <f>IFERROR(__xludf.DUMMYFUNCTION("""COMPUTED_VALUE"""),"jharlockrr@booking.com")</f>
        <v>jharlockrr@booking.com</v>
      </c>
      <c r="D2000" s="4">
        <f>IFERROR(__xludf.DUMMYFUNCTION("""COMPUTED_VALUE"""),87.0)</f>
        <v>87</v>
      </c>
      <c r="E2000" s="4">
        <f>IFERROR(__xludf.DUMMYFUNCTION("""COMPUTED_VALUE"""),85.0)</f>
        <v>85</v>
      </c>
      <c r="F2000" s="4">
        <f>IFERROR(__xludf.DUMMYFUNCTION("""COMPUTED_VALUE"""),3.0)</f>
        <v>3</v>
      </c>
      <c r="G2000" s="4">
        <f>IFERROR(__xludf.DUMMYFUNCTION("""COMPUTED_VALUE"""),511.0)</f>
        <v>511</v>
      </c>
      <c r="H2000" s="5">
        <f>IFERROR(__xludf.DUMMYFUNCTION("""COMPUTED_VALUE"""),3163.93)</f>
        <v>3163.93</v>
      </c>
      <c r="I2000" s="5">
        <f>IFERROR(__xludf.DUMMYFUNCTION("""COMPUTED_VALUE"""),4341.72)</f>
        <v>4341.72</v>
      </c>
      <c r="J2000" s="5">
        <f>IFERROR(__xludf.DUMMYFUNCTION("""COMPUTED_VALUE"""),6927.5)</f>
        <v>6927.5</v>
      </c>
      <c r="K2000" s="5">
        <f>IFERROR(__xludf.DUMMYFUNCTION("""COMPUTED_VALUE"""),1189.33)</f>
        <v>1189.33</v>
      </c>
      <c r="L2000" s="4">
        <f>IFERROR(__xludf.DUMMYFUNCTION("""COMPUTED_VALUE"""),5.0)</f>
        <v>5</v>
      </c>
      <c r="M2000" s="4">
        <f>IFERROR(__xludf.DUMMYFUNCTION("""COMPUTED_VALUE"""),38.0)</f>
        <v>38</v>
      </c>
      <c r="N2000" s="2" t="str">
        <f>IFERROR(__xludf.DUMMYFUNCTION("""COMPUTED_VALUE"""),"VERDADERO")</f>
        <v>VERDADERO</v>
      </c>
    </row>
    <row r="2001">
      <c r="A2001" s="2">
        <f>IFERROR(__xludf.DUMMYFUNCTION("""COMPUTED_VALUE"""),2000.0)</f>
        <v>2000</v>
      </c>
      <c r="B2001" s="2" t="str">
        <f>IFERROR(__xludf.DUMMYFUNCTION("""COMPUTED_VALUE"""),"Gussi Kett")</f>
        <v>Gussi Kett</v>
      </c>
      <c r="C2001" s="2"/>
      <c r="D2001" s="4">
        <f>IFERROR(__xludf.DUMMYFUNCTION("""COMPUTED_VALUE"""),2.0)</f>
        <v>2</v>
      </c>
      <c r="E2001" s="4">
        <f>IFERROR(__xludf.DUMMYFUNCTION("""COMPUTED_VALUE"""),22.0)</f>
        <v>22</v>
      </c>
      <c r="F2001" s="4">
        <f>IFERROR(__xludf.DUMMYFUNCTION("""COMPUTED_VALUE"""),5.0)</f>
        <v>5</v>
      </c>
      <c r="G2001" s="4">
        <f>IFERROR(__xludf.DUMMYFUNCTION("""COMPUTED_VALUE"""),1121.0)</f>
        <v>1121</v>
      </c>
      <c r="H2001" s="5">
        <f>IFERROR(__xludf.DUMMYFUNCTION("""COMPUTED_VALUE"""),2225.68)</f>
        <v>2225.68</v>
      </c>
      <c r="I2001" s="5">
        <f>IFERROR(__xludf.DUMMYFUNCTION("""COMPUTED_VALUE"""),131.61)</f>
        <v>131.61</v>
      </c>
      <c r="J2001" s="5">
        <f>IFERROR(__xludf.DUMMYFUNCTION("""COMPUTED_VALUE"""),9879.51)</f>
        <v>9879.51</v>
      </c>
      <c r="K2001" s="5">
        <f>IFERROR(__xludf.DUMMYFUNCTION("""COMPUTED_VALUE"""),8397.27)</f>
        <v>8397.27</v>
      </c>
      <c r="L2001" s="4">
        <f>IFERROR(__xludf.DUMMYFUNCTION("""COMPUTED_VALUE"""),7.0)</f>
        <v>7</v>
      </c>
      <c r="M2001" s="4">
        <f>IFERROR(__xludf.DUMMYFUNCTION("""COMPUTED_VALUE"""),99.0)</f>
        <v>99</v>
      </c>
      <c r="N2001" s="2" t="b">
        <f>IFERROR(__xludf.DUMMYFUNCTION("""COMPUTED_VALUE"""),FALSE)</f>
        <v>0</v>
      </c>
    </row>
    <row r="2002">
      <c r="A2002" s="2">
        <f>IFERROR(__xludf.DUMMYFUNCTION("""COMPUTED_VALUE"""),2001.0)</f>
        <v>2001</v>
      </c>
      <c r="B2002" s="2" t="str">
        <f>IFERROR(__xludf.DUMMYFUNCTION("""COMPUTED_VALUE"""),"Broddie Maycey")</f>
        <v>Broddie Maycey</v>
      </c>
      <c r="C2002" s="2" t="str">
        <f>IFERROR(__xludf.DUMMYFUNCTION("""COMPUTED_VALUE"""),"bmaycey1@indiegogo.com")</f>
        <v>bmaycey1@indiegogo.com</v>
      </c>
      <c r="D2002" s="4">
        <f>IFERROR(__xludf.DUMMYFUNCTION("""COMPUTED_VALUE"""),143.0)</f>
        <v>143</v>
      </c>
      <c r="E2002" s="4">
        <f>IFERROR(__xludf.DUMMYFUNCTION("""COMPUTED_VALUE"""),61.0)</f>
        <v>61</v>
      </c>
      <c r="F2002" s="4">
        <f>IFERROR(__xludf.DUMMYFUNCTION("""COMPUTED_VALUE"""),10.0)</f>
        <v>10</v>
      </c>
      <c r="G2002" s="4">
        <f>IFERROR(__xludf.DUMMYFUNCTION("""COMPUTED_VALUE"""),1566.0)</f>
        <v>1566</v>
      </c>
      <c r="H2002" s="5">
        <f>IFERROR(__xludf.DUMMYFUNCTION("""COMPUTED_VALUE"""),4901.2)</f>
        <v>4901.2</v>
      </c>
      <c r="I2002" s="5">
        <f>IFERROR(__xludf.DUMMYFUNCTION("""COMPUTED_VALUE"""),6015.51)</f>
        <v>6015.51</v>
      </c>
      <c r="J2002" s="5">
        <f>IFERROR(__xludf.DUMMYFUNCTION("""COMPUTED_VALUE"""),5789.04)</f>
        <v>5789.04</v>
      </c>
      <c r="K2002" s="5">
        <f>IFERROR(__xludf.DUMMYFUNCTION("""COMPUTED_VALUE"""),3736.83)</f>
        <v>3736.83</v>
      </c>
      <c r="L2002" s="4">
        <f>IFERROR(__xludf.DUMMYFUNCTION("""COMPUTED_VALUE"""),1.0)</f>
        <v>1</v>
      </c>
      <c r="M2002" s="4">
        <f>IFERROR(__xludf.DUMMYFUNCTION("""COMPUTED_VALUE"""),45.0)</f>
        <v>45</v>
      </c>
      <c r="N2002" s="2" t="b">
        <f>IFERROR(__xludf.DUMMYFUNCTION("""COMPUTED_VALUE"""),FALSE)</f>
        <v>0</v>
      </c>
    </row>
    <row r="2003">
      <c r="A2003" s="2">
        <f>IFERROR(__xludf.DUMMYFUNCTION("""COMPUTED_VALUE"""),2002.0)</f>
        <v>2002</v>
      </c>
      <c r="B2003" s="2" t="str">
        <f>IFERROR(__xludf.DUMMYFUNCTION("""COMPUTED_VALUE"""),"Daniela Gerbel")</f>
        <v>Daniela Gerbel</v>
      </c>
      <c r="C2003" s="2" t="str">
        <f>IFERROR(__xludf.DUMMYFUNCTION("""COMPUTED_VALUE"""),"dgerbel2@dailymail.co.uk")</f>
        <v>dgerbel2@dailymail.co.uk</v>
      </c>
      <c r="D2003" s="4">
        <f>IFERROR(__xludf.DUMMYFUNCTION("""COMPUTED_VALUE"""),28.0)</f>
        <v>28</v>
      </c>
      <c r="E2003" s="4">
        <f>IFERROR(__xludf.DUMMYFUNCTION("""COMPUTED_VALUE"""),86.0)</f>
        <v>86</v>
      </c>
      <c r="F2003" s="4">
        <f>IFERROR(__xludf.DUMMYFUNCTION("""COMPUTED_VALUE"""),3.0)</f>
        <v>3</v>
      </c>
      <c r="G2003" s="4">
        <f>IFERROR(__xludf.DUMMYFUNCTION("""COMPUTED_VALUE"""),738.0)</f>
        <v>738</v>
      </c>
      <c r="H2003" s="5">
        <f>IFERROR(__xludf.DUMMYFUNCTION("""COMPUTED_VALUE"""),1299.23)</f>
        <v>1299.23</v>
      </c>
      <c r="I2003" s="5">
        <f>IFERROR(__xludf.DUMMYFUNCTION("""COMPUTED_VALUE"""),9318.15)</f>
        <v>9318.15</v>
      </c>
      <c r="J2003" s="5">
        <f>IFERROR(__xludf.DUMMYFUNCTION("""COMPUTED_VALUE"""),6491.78)</f>
        <v>6491.78</v>
      </c>
      <c r="K2003" s="5">
        <f>IFERROR(__xludf.DUMMYFUNCTION("""COMPUTED_VALUE"""),7442.46)</f>
        <v>7442.46</v>
      </c>
      <c r="L2003" s="4">
        <f>IFERROR(__xludf.DUMMYFUNCTION("""COMPUTED_VALUE"""),6.0)</f>
        <v>6</v>
      </c>
      <c r="M2003" s="4">
        <f>IFERROR(__xludf.DUMMYFUNCTION("""COMPUTED_VALUE"""),6.0)</f>
        <v>6</v>
      </c>
      <c r="N2003" s="2" t="b">
        <f>IFERROR(__xludf.DUMMYFUNCTION("""COMPUTED_VALUE"""),TRUE)</f>
        <v>1</v>
      </c>
    </row>
    <row r="2004">
      <c r="A2004" s="2">
        <f>IFERROR(__xludf.DUMMYFUNCTION("""COMPUTED_VALUE"""),2003.0)</f>
        <v>2003</v>
      </c>
      <c r="B2004" s="2" t="str">
        <f>IFERROR(__xludf.DUMMYFUNCTION("""COMPUTED_VALUE"""),"Peri Bustin")</f>
        <v>Peri Bustin</v>
      </c>
      <c r="C2004" s="2" t="str">
        <f>IFERROR(__xludf.DUMMYFUNCTION("""COMPUTED_VALUE"""),"pbustin3@godaddy.com")</f>
        <v>pbustin3@godaddy.com</v>
      </c>
      <c r="D2004" s="4">
        <f>IFERROR(__xludf.DUMMYFUNCTION("""COMPUTED_VALUE"""),16.0)</f>
        <v>16</v>
      </c>
      <c r="E2004" s="4">
        <f>IFERROR(__xludf.DUMMYFUNCTION("""COMPUTED_VALUE"""),57.0)</f>
        <v>57</v>
      </c>
      <c r="F2004" s="4">
        <f>IFERROR(__xludf.DUMMYFUNCTION("""COMPUTED_VALUE"""),3.0)</f>
        <v>3</v>
      </c>
      <c r="G2004" s="4">
        <f>IFERROR(__xludf.DUMMYFUNCTION("""COMPUTED_VALUE"""),726.0)</f>
        <v>726</v>
      </c>
      <c r="H2004" s="5">
        <f>IFERROR(__xludf.DUMMYFUNCTION("""COMPUTED_VALUE"""),4290.81)</f>
        <v>4290.81</v>
      </c>
      <c r="I2004" s="5">
        <f>IFERROR(__xludf.DUMMYFUNCTION("""COMPUTED_VALUE"""),1381.1)</f>
        <v>1381.1</v>
      </c>
      <c r="J2004" s="5">
        <f>IFERROR(__xludf.DUMMYFUNCTION("""COMPUTED_VALUE"""),9692.39)</f>
        <v>9692.39</v>
      </c>
      <c r="K2004" s="5">
        <f>IFERROR(__xludf.DUMMYFUNCTION("""COMPUTED_VALUE"""),5380.38)</f>
        <v>5380.38</v>
      </c>
      <c r="L2004" s="4">
        <f>IFERROR(__xludf.DUMMYFUNCTION("""COMPUTED_VALUE"""),1.0)</f>
        <v>1</v>
      </c>
      <c r="M2004" s="4">
        <f>IFERROR(__xludf.DUMMYFUNCTION("""COMPUTED_VALUE"""),75.0)</f>
        <v>75</v>
      </c>
      <c r="N2004" s="2" t="b">
        <f>IFERROR(__xludf.DUMMYFUNCTION("""COMPUTED_VALUE"""),TRUE)</f>
        <v>1</v>
      </c>
    </row>
    <row r="2005">
      <c r="A2005" s="2">
        <f>IFERROR(__xludf.DUMMYFUNCTION("""COMPUTED_VALUE"""),2004.0)</f>
        <v>2004</v>
      </c>
      <c r="B2005" s="2" t="str">
        <f>IFERROR(__xludf.DUMMYFUNCTION("""COMPUTED_VALUE"""),"Jim Doggrell")</f>
        <v>Jim Doggrell</v>
      </c>
      <c r="C2005" s="2" t="str">
        <f>IFERROR(__xludf.DUMMYFUNCTION("""COMPUTED_VALUE"""),"jdoggrell4@myspace.com")</f>
        <v>jdoggrell4@myspace.com</v>
      </c>
      <c r="D2005" s="4">
        <f>IFERROR(__xludf.DUMMYFUNCTION("""COMPUTED_VALUE"""),119.0)</f>
        <v>119</v>
      </c>
      <c r="E2005" s="4">
        <f>IFERROR(__xludf.DUMMYFUNCTION("""COMPUTED_VALUE"""),96.0)</f>
        <v>96</v>
      </c>
      <c r="F2005" s="4">
        <f>IFERROR(__xludf.DUMMYFUNCTION("""COMPUTED_VALUE"""),9.0)</f>
        <v>9</v>
      </c>
      <c r="G2005" s="4">
        <f>IFERROR(__xludf.DUMMYFUNCTION("""COMPUTED_VALUE"""),1129.0)</f>
        <v>1129</v>
      </c>
      <c r="H2005" s="5">
        <f>IFERROR(__xludf.DUMMYFUNCTION("""COMPUTED_VALUE"""),3502.91)</f>
        <v>3502.91</v>
      </c>
      <c r="I2005" s="5">
        <f>IFERROR(__xludf.DUMMYFUNCTION("""COMPUTED_VALUE"""),7808.97)</f>
        <v>7808.97</v>
      </c>
      <c r="J2005" s="5">
        <f>IFERROR(__xludf.DUMMYFUNCTION("""COMPUTED_VALUE"""),4129.28)</f>
        <v>4129.28</v>
      </c>
      <c r="K2005" s="5">
        <f>IFERROR(__xludf.DUMMYFUNCTION("""COMPUTED_VALUE"""),6489.89)</f>
        <v>6489.89</v>
      </c>
      <c r="L2005" s="4">
        <f>IFERROR(__xludf.DUMMYFUNCTION("""COMPUTED_VALUE"""),15.0)</f>
        <v>15</v>
      </c>
      <c r="M2005" s="4">
        <f>IFERROR(__xludf.DUMMYFUNCTION("""COMPUTED_VALUE"""),32.0)</f>
        <v>32</v>
      </c>
      <c r="N2005" s="2" t="b">
        <f>IFERROR(__xludf.DUMMYFUNCTION("""COMPUTED_VALUE"""),FALSE)</f>
        <v>0</v>
      </c>
    </row>
    <row r="2006">
      <c r="A2006" s="2">
        <f>IFERROR(__xludf.DUMMYFUNCTION("""COMPUTED_VALUE"""),2005.0)</f>
        <v>2005</v>
      </c>
      <c r="B2006" s="2" t="str">
        <f>IFERROR(__xludf.DUMMYFUNCTION("""COMPUTED_VALUE"""),"Tate Boarder")</f>
        <v>Tate Boarder</v>
      </c>
      <c r="C2006" s="2" t="str">
        <f>IFERROR(__xludf.DUMMYFUNCTION("""COMPUTED_VALUE"""),"tboarder5@ihg.com")</f>
        <v>tboarder5@ihg.com</v>
      </c>
      <c r="D2006" s="4">
        <f>IFERROR(__xludf.DUMMYFUNCTION("""COMPUTED_VALUE"""),127.0)</f>
        <v>127</v>
      </c>
      <c r="E2006" s="4">
        <f>IFERROR(__xludf.DUMMYFUNCTION("""COMPUTED_VALUE"""),105.0)</f>
        <v>105</v>
      </c>
      <c r="F2006" s="4">
        <f>IFERROR(__xludf.DUMMYFUNCTION("""COMPUTED_VALUE"""),3.0)</f>
        <v>3</v>
      </c>
      <c r="G2006" s="4">
        <f>IFERROR(__xludf.DUMMYFUNCTION("""COMPUTED_VALUE"""),1543.0)</f>
        <v>1543</v>
      </c>
      <c r="H2006" s="5">
        <f>IFERROR(__xludf.DUMMYFUNCTION("""COMPUTED_VALUE"""),9720.92)</f>
        <v>9720.92</v>
      </c>
      <c r="I2006" s="5">
        <f>IFERROR(__xludf.DUMMYFUNCTION("""COMPUTED_VALUE"""),3367.78)</f>
        <v>3367.78</v>
      </c>
      <c r="J2006" s="5">
        <f>IFERROR(__xludf.DUMMYFUNCTION("""COMPUTED_VALUE"""),4078.29)</f>
        <v>4078.29</v>
      </c>
      <c r="K2006" s="5">
        <f>IFERROR(__xludf.DUMMYFUNCTION("""COMPUTED_VALUE"""),4286.68)</f>
        <v>4286.68</v>
      </c>
      <c r="L2006" s="4">
        <f>IFERROR(__xludf.DUMMYFUNCTION("""COMPUTED_VALUE"""),2.0)</f>
        <v>2</v>
      </c>
      <c r="M2006" s="4">
        <f>IFERROR(__xludf.DUMMYFUNCTION("""COMPUTED_VALUE"""),38.0)</f>
        <v>38</v>
      </c>
      <c r="N2006" s="2" t="b">
        <f>IFERROR(__xludf.DUMMYFUNCTION("""COMPUTED_VALUE"""),FALSE)</f>
        <v>0</v>
      </c>
    </row>
    <row r="2007">
      <c r="A2007" s="2">
        <f>IFERROR(__xludf.DUMMYFUNCTION("""COMPUTED_VALUE"""),2006.0)</f>
        <v>2006</v>
      </c>
      <c r="B2007" s="2" t="str">
        <f>IFERROR(__xludf.DUMMYFUNCTION("""COMPUTED_VALUE"""),"Fairfax Steels")</f>
        <v>Fairfax Steels</v>
      </c>
      <c r="C2007" s="2"/>
      <c r="D2007" s="4">
        <f>IFERROR(__xludf.DUMMYFUNCTION("""COMPUTED_VALUE"""),74.0)</f>
        <v>74</v>
      </c>
      <c r="E2007" s="4">
        <f>IFERROR(__xludf.DUMMYFUNCTION("""COMPUTED_VALUE"""),22.0)</f>
        <v>22</v>
      </c>
      <c r="F2007" s="4">
        <f>IFERROR(__xludf.DUMMYFUNCTION("""COMPUTED_VALUE"""),10.0)</f>
        <v>10</v>
      </c>
      <c r="G2007" s="4">
        <f>IFERROR(__xludf.DUMMYFUNCTION("""COMPUTED_VALUE"""),1234.0)</f>
        <v>1234</v>
      </c>
      <c r="H2007" s="5">
        <f>IFERROR(__xludf.DUMMYFUNCTION("""COMPUTED_VALUE"""),8163.17)</f>
        <v>8163.17</v>
      </c>
      <c r="I2007" s="5">
        <f>IFERROR(__xludf.DUMMYFUNCTION("""COMPUTED_VALUE"""),6979.98)</f>
        <v>6979.98</v>
      </c>
      <c r="J2007" s="5">
        <f>IFERROR(__xludf.DUMMYFUNCTION("""COMPUTED_VALUE"""),5408.69)</f>
        <v>5408.69</v>
      </c>
      <c r="K2007" s="5">
        <f>IFERROR(__xludf.DUMMYFUNCTION("""COMPUTED_VALUE"""),3877.11)</f>
        <v>3877.11</v>
      </c>
      <c r="L2007" s="4">
        <f>IFERROR(__xludf.DUMMYFUNCTION("""COMPUTED_VALUE"""),4.0)</f>
        <v>4</v>
      </c>
      <c r="M2007" s="4">
        <f>IFERROR(__xludf.DUMMYFUNCTION("""COMPUTED_VALUE"""),59.0)</f>
        <v>59</v>
      </c>
      <c r="N2007" s="2" t="b">
        <f>IFERROR(__xludf.DUMMYFUNCTION("""COMPUTED_VALUE"""),FALSE)</f>
        <v>0</v>
      </c>
    </row>
    <row r="2008">
      <c r="A2008" s="2">
        <f>IFERROR(__xludf.DUMMYFUNCTION("""COMPUTED_VALUE"""),2007.0)</f>
        <v>2007</v>
      </c>
      <c r="B2008" s="2" t="str">
        <f>IFERROR(__xludf.DUMMYFUNCTION("""COMPUTED_VALUE"""),"Nelie Snaddon")</f>
        <v>Nelie Snaddon</v>
      </c>
      <c r="C2008" s="2"/>
      <c r="D2008" s="4">
        <f>IFERROR(__xludf.DUMMYFUNCTION("""COMPUTED_VALUE"""),60.0)</f>
        <v>60</v>
      </c>
      <c r="E2008" s="4">
        <f>IFERROR(__xludf.DUMMYFUNCTION("""COMPUTED_VALUE"""),12.0)</f>
        <v>12</v>
      </c>
      <c r="F2008" s="4">
        <f>IFERROR(__xludf.DUMMYFUNCTION("""COMPUTED_VALUE"""),2.0)</f>
        <v>2</v>
      </c>
      <c r="G2008" s="4">
        <f>IFERROR(__xludf.DUMMYFUNCTION("""COMPUTED_VALUE"""),570.0)</f>
        <v>570</v>
      </c>
      <c r="H2008" s="5">
        <f>IFERROR(__xludf.DUMMYFUNCTION("""COMPUTED_VALUE"""),5812.18)</f>
        <v>5812.18</v>
      </c>
      <c r="I2008" s="5">
        <f>IFERROR(__xludf.DUMMYFUNCTION("""COMPUTED_VALUE"""),4050.39)</f>
        <v>4050.39</v>
      </c>
      <c r="J2008" s="5">
        <f>IFERROR(__xludf.DUMMYFUNCTION("""COMPUTED_VALUE"""),9353.39)</f>
        <v>9353.39</v>
      </c>
      <c r="K2008" s="5">
        <f>IFERROR(__xludf.DUMMYFUNCTION("""COMPUTED_VALUE"""),2437.3)</f>
        <v>2437.3</v>
      </c>
      <c r="L2008" s="4">
        <f>IFERROR(__xludf.DUMMYFUNCTION("""COMPUTED_VALUE"""),17.0)</f>
        <v>17</v>
      </c>
      <c r="M2008" s="4">
        <f>IFERROR(__xludf.DUMMYFUNCTION("""COMPUTED_VALUE"""),86.0)</f>
        <v>86</v>
      </c>
      <c r="N2008" s="2" t="b">
        <f>IFERROR(__xludf.DUMMYFUNCTION("""COMPUTED_VALUE"""),FALSE)</f>
        <v>0</v>
      </c>
    </row>
    <row r="2009">
      <c r="A2009" s="2">
        <f>IFERROR(__xludf.DUMMYFUNCTION("""COMPUTED_VALUE"""),2008.0)</f>
        <v>2008</v>
      </c>
      <c r="B2009" s="2" t="str">
        <f>IFERROR(__xludf.DUMMYFUNCTION("""COMPUTED_VALUE"""),"Brandais Oliphard")</f>
        <v>Brandais Oliphard</v>
      </c>
      <c r="C2009" s="2" t="str">
        <f>IFERROR(__xludf.DUMMYFUNCTION("""COMPUTED_VALUE"""),"boliphard8@vimeo.com")</f>
        <v>boliphard8@vimeo.com</v>
      </c>
      <c r="D2009" s="4">
        <f>IFERROR(__xludf.DUMMYFUNCTION("""COMPUTED_VALUE"""),27.0)</f>
        <v>27</v>
      </c>
      <c r="E2009" s="4">
        <f>IFERROR(__xludf.DUMMYFUNCTION("""COMPUTED_VALUE"""),87.0)</f>
        <v>87</v>
      </c>
      <c r="F2009" s="4">
        <f>IFERROR(__xludf.DUMMYFUNCTION("""COMPUTED_VALUE"""),10.0)</f>
        <v>10</v>
      </c>
      <c r="G2009" s="4">
        <f>IFERROR(__xludf.DUMMYFUNCTION("""COMPUTED_VALUE"""),81.0)</f>
        <v>81</v>
      </c>
      <c r="H2009" s="5">
        <f>IFERROR(__xludf.DUMMYFUNCTION("""COMPUTED_VALUE"""),3804.73)</f>
        <v>3804.73</v>
      </c>
      <c r="I2009" s="5">
        <f>IFERROR(__xludf.DUMMYFUNCTION("""COMPUTED_VALUE"""),8143.98)</f>
        <v>8143.98</v>
      </c>
      <c r="J2009" s="5">
        <f>IFERROR(__xludf.DUMMYFUNCTION("""COMPUTED_VALUE"""),7885.3)</f>
        <v>7885.3</v>
      </c>
      <c r="K2009" s="5">
        <f>IFERROR(__xludf.DUMMYFUNCTION("""COMPUTED_VALUE"""),850.38)</f>
        <v>850.38</v>
      </c>
      <c r="L2009" s="4">
        <f>IFERROR(__xludf.DUMMYFUNCTION("""COMPUTED_VALUE"""),15.0)</f>
        <v>15</v>
      </c>
      <c r="M2009" s="4">
        <f>IFERROR(__xludf.DUMMYFUNCTION("""COMPUTED_VALUE"""),63.0)</f>
        <v>63</v>
      </c>
      <c r="N2009" s="2" t="b">
        <f>IFERROR(__xludf.DUMMYFUNCTION("""COMPUTED_VALUE"""),TRUE)</f>
        <v>1</v>
      </c>
    </row>
    <row r="2010">
      <c r="A2010" s="2">
        <f>IFERROR(__xludf.DUMMYFUNCTION("""COMPUTED_VALUE"""),2009.0)</f>
        <v>2009</v>
      </c>
      <c r="B2010" s="2" t="str">
        <f>IFERROR(__xludf.DUMMYFUNCTION("""COMPUTED_VALUE"""),"Prince Bogeys")</f>
        <v>Prince Bogeys</v>
      </c>
      <c r="C2010" s="2" t="str">
        <f>IFERROR(__xludf.DUMMYFUNCTION("""COMPUTED_VALUE"""),"pbogeys9@elegantthemes.com")</f>
        <v>pbogeys9@elegantthemes.com</v>
      </c>
      <c r="D2010" s="4">
        <f>IFERROR(__xludf.DUMMYFUNCTION("""COMPUTED_VALUE"""),46.0)</f>
        <v>46</v>
      </c>
      <c r="E2010" s="4">
        <f>IFERROR(__xludf.DUMMYFUNCTION("""COMPUTED_VALUE"""),37.0)</f>
        <v>37</v>
      </c>
      <c r="F2010" s="4">
        <f>IFERROR(__xludf.DUMMYFUNCTION("""COMPUTED_VALUE"""),13.0)</f>
        <v>13</v>
      </c>
      <c r="G2010" s="4">
        <f>IFERROR(__xludf.DUMMYFUNCTION("""COMPUTED_VALUE"""),853.0)</f>
        <v>853</v>
      </c>
      <c r="H2010" s="5">
        <f>IFERROR(__xludf.DUMMYFUNCTION("""COMPUTED_VALUE"""),5491.36)</f>
        <v>5491.36</v>
      </c>
      <c r="I2010" s="5">
        <f>IFERROR(__xludf.DUMMYFUNCTION("""COMPUTED_VALUE"""),6938.16)</f>
        <v>6938.16</v>
      </c>
      <c r="J2010" s="5">
        <f>IFERROR(__xludf.DUMMYFUNCTION("""COMPUTED_VALUE"""),6255.12)</f>
        <v>6255.12</v>
      </c>
      <c r="K2010" s="5">
        <f>IFERROR(__xludf.DUMMYFUNCTION("""COMPUTED_VALUE"""),6747.71)</f>
        <v>6747.71</v>
      </c>
      <c r="L2010" s="4">
        <f>IFERROR(__xludf.DUMMYFUNCTION("""COMPUTED_VALUE"""),18.0)</f>
        <v>18</v>
      </c>
      <c r="M2010" s="4">
        <f>IFERROR(__xludf.DUMMYFUNCTION("""COMPUTED_VALUE"""),74.0)</f>
        <v>74</v>
      </c>
      <c r="N2010" s="2" t="b">
        <f>IFERROR(__xludf.DUMMYFUNCTION("""COMPUTED_VALUE"""),TRUE)</f>
        <v>1</v>
      </c>
    </row>
    <row r="2011">
      <c r="A2011" s="2">
        <f>IFERROR(__xludf.DUMMYFUNCTION("""COMPUTED_VALUE"""),2010.0)</f>
        <v>2010</v>
      </c>
      <c r="B2011" s="2" t="str">
        <f>IFERROR(__xludf.DUMMYFUNCTION("""COMPUTED_VALUE"""),"Fifine Pyrke")</f>
        <v>Fifine Pyrke</v>
      </c>
      <c r="C2011" s="2"/>
      <c r="D2011" s="4">
        <f>IFERROR(__xludf.DUMMYFUNCTION("""COMPUTED_VALUE"""),64.0)</f>
        <v>64</v>
      </c>
      <c r="E2011" s="4">
        <f>IFERROR(__xludf.DUMMYFUNCTION("""COMPUTED_VALUE"""),5.0)</f>
        <v>5</v>
      </c>
      <c r="F2011" s="4">
        <f>IFERROR(__xludf.DUMMYFUNCTION("""COMPUTED_VALUE"""),2.0)</f>
        <v>2</v>
      </c>
      <c r="G2011" s="4">
        <f>IFERROR(__xludf.DUMMYFUNCTION("""COMPUTED_VALUE"""),654.0)</f>
        <v>654</v>
      </c>
      <c r="H2011" s="5">
        <f>IFERROR(__xludf.DUMMYFUNCTION("""COMPUTED_VALUE"""),693.23)</f>
        <v>693.23</v>
      </c>
      <c r="I2011" s="5">
        <f>IFERROR(__xludf.DUMMYFUNCTION("""COMPUTED_VALUE"""),1864.61)</f>
        <v>1864.61</v>
      </c>
      <c r="J2011" s="5">
        <f>IFERROR(__xludf.DUMMYFUNCTION("""COMPUTED_VALUE"""),642.3)</f>
        <v>642.3</v>
      </c>
      <c r="K2011" s="5">
        <f>IFERROR(__xludf.DUMMYFUNCTION("""COMPUTED_VALUE"""),4457.24)</f>
        <v>4457.24</v>
      </c>
      <c r="L2011" s="4">
        <f>IFERROR(__xludf.DUMMYFUNCTION("""COMPUTED_VALUE"""),8.0)</f>
        <v>8</v>
      </c>
      <c r="M2011" s="4">
        <f>IFERROR(__xludf.DUMMYFUNCTION("""COMPUTED_VALUE"""),14.0)</f>
        <v>14</v>
      </c>
      <c r="N2011" s="2" t="b">
        <f>IFERROR(__xludf.DUMMYFUNCTION("""COMPUTED_VALUE"""),FALSE)</f>
        <v>0</v>
      </c>
    </row>
    <row r="2012">
      <c r="A2012" s="2">
        <f>IFERROR(__xludf.DUMMYFUNCTION("""COMPUTED_VALUE"""),2011.0)</f>
        <v>2011</v>
      </c>
      <c r="B2012" s="2" t="str">
        <f>IFERROR(__xludf.DUMMYFUNCTION("""COMPUTED_VALUE"""),"Jaye Ault")</f>
        <v>Jaye Ault</v>
      </c>
      <c r="C2012" s="2" t="str">
        <f>IFERROR(__xludf.DUMMYFUNCTION("""COMPUTED_VALUE"""),"jaultb@howstuffworks.com")</f>
        <v>jaultb@howstuffworks.com</v>
      </c>
      <c r="D2012" s="4">
        <f>IFERROR(__xludf.DUMMYFUNCTION("""COMPUTED_VALUE"""),3.0)</f>
        <v>3</v>
      </c>
      <c r="E2012" s="4">
        <f>IFERROR(__xludf.DUMMYFUNCTION("""COMPUTED_VALUE"""),68.0)</f>
        <v>68</v>
      </c>
      <c r="F2012" s="4">
        <f>IFERROR(__xludf.DUMMYFUNCTION("""COMPUTED_VALUE"""),12.0)</f>
        <v>12</v>
      </c>
      <c r="G2012" s="4">
        <f>IFERROR(__xludf.DUMMYFUNCTION("""COMPUTED_VALUE"""),1092.0)</f>
        <v>1092</v>
      </c>
      <c r="H2012" s="5">
        <f>IFERROR(__xludf.DUMMYFUNCTION("""COMPUTED_VALUE"""),9023.48)</f>
        <v>9023.48</v>
      </c>
      <c r="I2012" s="5">
        <f>IFERROR(__xludf.DUMMYFUNCTION("""COMPUTED_VALUE"""),7236.25)</f>
        <v>7236.25</v>
      </c>
      <c r="J2012" s="5">
        <f>IFERROR(__xludf.DUMMYFUNCTION("""COMPUTED_VALUE"""),6714.51)</f>
        <v>6714.51</v>
      </c>
      <c r="K2012" s="5">
        <f>IFERROR(__xludf.DUMMYFUNCTION("""COMPUTED_VALUE"""),9526.97)</f>
        <v>9526.97</v>
      </c>
      <c r="L2012" s="4">
        <f>IFERROR(__xludf.DUMMYFUNCTION("""COMPUTED_VALUE"""),6.0)</f>
        <v>6</v>
      </c>
      <c r="M2012" s="4">
        <f>IFERROR(__xludf.DUMMYFUNCTION("""COMPUTED_VALUE"""),62.0)</f>
        <v>62</v>
      </c>
      <c r="N2012" s="2" t="b">
        <f>IFERROR(__xludf.DUMMYFUNCTION("""COMPUTED_VALUE"""),TRUE)</f>
        <v>1</v>
      </c>
    </row>
    <row r="2013">
      <c r="A2013" s="2">
        <f>IFERROR(__xludf.DUMMYFUNCTION("""COMPUTED_VALUE"""),2012.0)</f>
        <v>2012</v>
      </c>
      <c r="B2013" s="2" t="str">
        <f>IFERROR(__xludf.DUMMYFUNCTION("""COMPUTED_VALUE"""),"Larry Simmank")</f>
        <v>Larry Simmank</v>
      </c>
      <c r="C2013" s="2"/>
      <c r="D2013" s="4">
        <f>IFERROR(__xludf.DUMMYFUNCTION("""COMPUTED_VALUE"""),20.0)</f>
        <v>20</v>
      </c>
      <c r="E2013" s="4">
        <f>IFERROR(__xludf.DUMMYFUNCTION("""COMPUTED_VALUE"""),91.0)</f>
        <v>91</v>
      </c>
      <c r="F2013" s="4">
        <f>IFERROR(__xludf.DUMMYFUNCTION("""COMPUTED_VALUE"""),1.0)</f>
        <v>1</v>
      </c>
      <c r="G2013" s="4">
        <f>IFERROR(__xludf.DUMMYFUNCTION("""COMPUTED_VALUE"""),1551.0)</f>
        <v>1551</v>
      </c>
      <c r="H2013" s="5">
        <f>IFERROR(__xludf.DUMMYFUNCTION("""COMPUTED_VALUE"""),1140.96)</f>
        <v>1140.96</v>
      </c>
      <c r="I2013" s="5">
        <f>IFERROR(__xludf.DUMMYFUNCTION("""COMPUTED_VALUE"""),3471.77)</f>
        <v>3471.77</v>
      </c>
      <c r="J2013" s="5">
        <f>IFERROR(__xludf.DUMMYFUNCTION("""COMPUTED_VALUE"""),197.71)</f>
        <v>197.71</v>
      </c>
      <c r="K2013" s="5">
        <f>IFERROR(__xludf.DUMMYFUNCTION("""COMPUTED_VALUE"""),941.16)</f>
        <v>941.16</v>
      </c>
      <c r="L2013" s="4">
        <f>IFERROR(__xludf.DUMMYFUNCTION("""COMPUTED_VALUE"""),2.0)</f>
        <v>2</v>
      </c>
      <c r="M2013" s="4">
        <f>IFERROR(__xludf.DUMMYFUNCTION("""COMPUTED_VALUE"""),29.0)</f>
        <v>29</v>
      </c>
      <c r="N2013" s="2" t="b">
        <f>IFERROR(__xludf.DUMMYFUNCTION("""COMPUTED_VALUE"""),FALSE)</f>
        <v>0</v>
      </c>
    </row>
    <row r="2014">
      <c r="A2014" s="2">
        <f>IFERROR(__xludf.DUMMYFUNCTION("""COMPUTED_VALUE"""),2013.0)</f>
        <v>2013</v>
      </c>
      <c r="B2014" s="2" t="str">
        <f>IFERROR(__xludf.DUMMYFUNCTION("""COMPUTED_VALUE"""),"Carree Decent")</f>
        <v>Carree Decent</v>
      </c>
      <c r="C2014" s="2"/>
      <c r="D2014" s="4">
        <f>IFERROR(__xludf.DUMMYFUNCTION("""COMPUTED_VALUE"""),10.0)</f>
        <v>10</v>
      </c>
      <c r="E2014" s="4">
        <f>IFERROR(__xludf.DUMMYFUNCTION("""COMPUTED_VALUE"""),110.0)</f>
        <v>110</v>
      </c>
      <c r="F2014" s="4">
        <f>IFERROR(__xludf.DUMMYFUNCTION("""COMPUTED_VALUE"""),9.0)</f>
        <v>9</v>
      </c>
      <c r="G2014" s="4">
        <f>IFERROR(__xludf.DUMMYFUNCTION("""COMPUTED_VALUE"""),379.0)</f>
        <v>379</v>
      </c>
      <c r="H2014" s="5">
        <f>IFERROR(__xludf.DUMMYFUNCTION("""COMPUTED_VALUE"""),8194.75)</f>
        <v>8194.75</v>
      </c>
      <c r="I2014" s="5">
        <f>IFERROR(__xludf.DUMMYFUNCTION("""COMPUTED_VALUE"""),1626.98)</f>
        <v>1626.98</v>
      </c>
      <c r="J2014" s="5">
        <f>IFERROR(__xludf.DUMMYFUNCTION("""COMPUTED_VALUE"""),848.84)</f>
        <v>848.84</v>
      </c>
      <c r="K2014" s="5">
        <f>IFERROR(__xludf.DUMMYFUNCTION("""COMPUTED_VALUE"""),7623.63)</f>
        <v>7623.63</v>
      </c>
      <c r="L2014" s="4">
        <f>IFERROR(__xludf.DUMMYFUNCTION("""COMPUTED_VALUE"""),17.0)</f>
        <v>17</v>
      </c>
      <c r="M2014" s="4">
        <f>IFERROR(__xludf.DUMMYFUNCTION("""COMPUTED_VALUE"""),27.0)</f>
        <v>27</v>
      </c>
      <c r="N2014" s="2" t="b">
        <f>IFERROR(__xludf.DUMMYFUNCTION("""COMPUTED_VALUE"""),TRUE)</f>
        <v>1</v>
      </c>
    </row>
    <row r="2015">
      <c r="A2015" s="2">
        <f>IFERROR(__xludf.DUMMYFUNCTION("""COMPUTED_VALUE"""),2014.0)</f>
        <v>2014</v>
      </c>
      <c r="B2015" s="2" t="str">
        <f>IFERROR(__xludf.DUMMYFUNCTION("""COMPUTED_VALUE"""),"Carolyn Burchmore")</f>
        <v>Carolyn Burchmore</v>
      </c>
      <c r="C2015" s="2" t="str">
        <f>IFERROR(__xludf.DUMMYFUNCTION("""COMPUTED_VALUE"""),"cburchmoree@dyndns.org")</f>
        <v>cburchmoree@dyndns.org</v>
      </c>
      <c r="D2015" s="4">
        <f>IFERROR(__xludf.DUMMYFUNCTION("""COMPUTED_VALUE"""),146.0)</f>
        <v>146</v>
      </c>
      <c r="E2015" s="4">
        <f>IFERROR(__xludf.DUMMYFUNCTION("""COMPUTED_VALUE"""),12.0)</f>
        <v>12</v>
      </c>
      <c r="F2015" s="4">
        <f>IFERROR(__xludf.DUMMYFUNCTION("""COMPUTED_VALUE"""),3.0)</f>
        <v>3</v>
      </c>
      <c r="G2015" s="4">
        <f>IFERROR(__xludf.DUMMYFUNCTION("""COMPUTED_VALUE"""),487.0)</f>
        <v>487</v>
      </c>
      <c r="H2015" s="5">
        <f>IFERROR(__xludf.DUMMYFUNCTION("""COMPUTED_VALUE"""),3700.2)</f>
        <v>3700.2</v>
      </c>
      <c r="I2015" s="5">
        <f>IFERROR(__xludf.DUMMYFUNCTION("""COMPUTED_VALUE"""),3327.25)</f>
        <v>3327.25</v>
      </c>
      <c r="J2015" s="5">
        <f>IFERROR(__xludf.DUMMYFUNCTION("""COMPUTED_VALUE"""),3972.1)</f>
        <v>3972.1</v>
      </c>
      <c r="K2015" s="5">
        <f>IFERROR(__xludf.DUMMYFUNCTION("""COMPUTED_VALUE"""),9560.13)</f>
        <v>9560.13</v>
      </c>
      <c r="L2015" s="4">
        <f>IFERROR(__xludf.DUMMYFUNCTION("""COMPUTED_VALUE"""),6.0)</f>
        <v>6</v>
      </c>
      <c r="M2015" s="4">
        <f>IFERROR(__xludf.DUMMYFUNCTION("""COMPUTED_VALUE"""),42.0)</f>
        <v>42</v>
      </c>
      <c r="N2015" s="2" t="b">
        <f>IFERROR(__xludf.DUMMYFUNCTION("""COMPUTED_VALUE"""),FALSE)</f>
        <v>0</v>
      </c>
    </row>
    <row r="2016">
      <c r="A2016" s="2">
        <f>IFERROR(__xludf.DUMMYFUNCTION("""COMPUTED_VALUE"""),2015.0)</f>
        <v>2015</v>
      </c>
      <c r="B2016" s="2" t="str">
        <f>IFERROR(__xludf.DUMMYFUNCTION("""COMPUTED_VALUE"""),"Kara Kleinsmuntz")</f>
        <v>Kara Kleinsmuntz</v>
      </c>
      <c r="C2016" s="2" t="str">
        <f>IFERROR(__xludf.DUMMYFUNCTION("""COMPUTED_VALUE"""),"kkleinsmuntzf@yellowbook.com")</f>
        <v>kkleinsmuntzf@yellowbook.com</v>
      </c>
      <c r="D2016" s="4">
        <f>IFERROR(__xludf.DUMMYFUNCTION("""COMPUTED_VALUE"""),23.0)</f>
        <v>23</v>
      </c>
      <c r="E2016" s="4">
        <f>IFERROR(__xludf.DUMMYFUNCTION("""COMPUTED_VALUE"""),1.0)</f>
        <v>1</v>
      </c>
      <c r="F2016" s="4">
        <f>IFERROR(__xludf.DUMMYFUNCTION("""COMPUTED_VALUE"""),13.0)</f>
        <v>13</v>
      </c>
      <c r="G2016" s="4">
        <f>IFERROR(__xludf.DUMMYFUNCTION("""COMPUTED_VALUE"""),1226.0)</f>
        <v>1226</v>
      </c>
      <c r="H2016" s="5">
        <f>IFERROR(__xludf.DUMMYFUNCTION("""COMPUTED_VALUE"""),2285.24)</f>
        <v>2285.24</v>
      </c>
      <c r="I2016" s="5">
        <f>IFERROR(__xludf.DUMMYFUNCTION("""COMPUTED_VALUE"""),7089.7)</f>
        <v>7089.7</v>
      </c>
      <c r="J2016" s="5">
        <f>IFERROR(__xludf.DUMMYFUNCTION("""COMPUTED_VALUE"""),9174.07)</f>
        <v>9174.07</v>
      </c>
      <c r="K2016" s="5">
        <f>IFERROR(__xludf.DUMMYFUNCTION("""COMPUTED_VALUE"""),869.78)</f>
        <v>869.78</v>
      </c>
      <c r="L2016" s="4">
        <f>IFERROR(__xludf.DUMMYFUNCTION("""COMPUTED_VALUE"""),2.0)</f>
        <v>2</v>
      </c>
      <c r="M2016" s="4">
        <f>IFERROR(__xludf.DUMMYFUNCTION("""COMPUTED_VALUE"""),18.0)</f>
        <v>18</v>
      </c>
      <c r="N2016" s="2" t="b">
        <f>IFERROR(__xludf.DUMMYFUNCTION("""COMPUTED_VALUE"""),TRUE)</f>
        <v>1</v>
      </c>
    </row>
    <row r="2017">
      <c r="A2017" s="2">
        <f>IFERROR(__xludf.DUMMYFUNCTION("""COMPUTED_VALUE"""),2016.0)</f>
        <v>2016</v>
      </c>
      <c r="B2017" s="2" t="str">
        <f>IFERROR(__xludf.DUMMYFUNCTION("""COMPUTED_VALUE"""),"Pryce Leate")</f>
        <v>Pryce Leate</v>
      </c>
      <c r="C2017" s="2" t="str">
        <f>IFERROR(__xludf.DUMMYFUNCTION("""COMPUTED_VALUE"""),"pleateg@123-reg.co.uk")</f>
        <v>pleateg@123-reg.co.uk</v>
      </c>
      <c r="D2017" s="4">
        <f>IFERROR(__xludf.DUMMYFUNCTION("""COMPUTED_VALUE"""),79.0)</f>
        <v>79</v>
      </c>
      <c r="E2017" s="4">
        <f>IFERROR(__xludf.DUMMYFUNCTION("""COMPUTED_VALUE"""),14.0)</f>
        <v>14</v>
      </c>
      <c r="F2017" s="4">
        <f>IFERROR(__xludf.DUMMYFUNCTION("""COMPUTED_VALUE"""),6.0)</f>
        <v>6</v>
      </c>
      <c r="G2017" s="4">
        <f>IFERROR(__xludf.DUMMYFUNCTION("""COMPUTED_VALUE"""),1486.0)</f>
        <v>1486</v>
      </c>
      <c r="H2017" s="5">
        <f>IFERROR(__xludf.DUMMYFUNCTION("""COMPUTED_VALUE"""),3898.12)</f>
        <v>3898.12</v>
      </c>
      <c r="I2017" s="5">
        <f>IFERROR(__xludf.DUMMYFUNCTION("""COMPUTED_VALUE"""),253.04)</f>
        <v>253.04</v>
      </c>
      <c r="J2017" s="5">
        <f>IFERROR(__xludf.DUMMYFUNCTION("""COMPUTED_VALUE"""),3164.3)</f>
        <v>3164.3</v>
      </c>
      <c r="K2017" s="5">
        <f>IFERROR(__xludf.DUMMYFUNCTION("""COMPUTED_VALUE"""),4843.0)</f>
        <v>4843</v>
      </c>
      <c r="L2017" s="4">
        <f>IFERROR(__xludf.DUMMYFUNCTION("""COMPUTED_VALUE"""),13.0)</f>
        <v>13</v>
      </c>
      <c r="M2017" s="4">
        <f>IFERROR(__xludf.DUMMYFUNCTION("""COMPUTED_VALUE"""),10.0)</f>
        <v>10</v>
      </c>
      <c r="N2017" s="2" t="b">
        <f>IFERROR(__xludf.DUMMYFUNCTION("""COMPUTED_VALUE"""),TRUE)</f>
        <v>1</v>
      </c>
    </row>
    <row r="2018">
      <c r="A2018" s="2">
        <f>IFERROR(__xludf.DUMMYFUNCTION("""COMPUTED_VALUE"""),2017.0)</f>
        <v>2017</v>
      </c>
      <c r="B2018" s="2" t="str">
        <f>IFERROR(__xludf.DUMMYFUNCTION("""COMPUTED_VALUE"""),"Arron Roll")</f>
        <v>Arron Roll</v>
      </c>
      <c r="C2018" s="2"/>
      <c r="D2018" s="4">
        <f>IFERROR(__xludf.DUMMYFUNCTION("""COMPUTED_VALUE"""),142.0)</f>
        <v>142</v>
      </c>
      <c r="E2018" s="4">
        <f>IFERROR(__xludf.DUMMYFUNCTION("""COMPUTED_VALUE"""),15.0)</f>
        <v>15</v>
      </c>
      <c r="F2018" s="4">
        <f>IFERROR(__xludf.DUMMYFUNCTION("""COMPUTED_VALUE"""),11.0)</f>
        <v>11</v>
      </c>
      <c r="G2018" s="4">
        <f>IFERROR(__xludf.DUMMYFUNCTION("""COMPUTED_VALUE"""),554.0)</f>
        <v>554</v>
      </c>
      <c r="H2018" s="5">
        <f>IFERROR(__xludf.DUMMYFUNCTION("""COMPUTED_VALUE"""),4882.14)</f>
        <v>4882.14</v>
      </c>
      <c r="I2018" s="5">
        <f>IFERROR(__xludf.DUMMYFUNCTION("""COMPUTED_VALUE"""),4200.29)</f>
        <v>4200.29</v>
      </c>
      <c r="J2018" s="5">
        <f>IFERROR(__xludf.DUMMYFUNCTION("""COMPUTED_VALUE"""),4742.42)</f>
        <v>4742.42</v>
      </c>
      <c r="K2018" s="5">
        <f>IFERROR(__xludf.DUMMYFUNCTION("""COMPUTED_VALUE"""),3036.0)</f>
        <v>3036</v>
      </c>
      <c r="L2018" s="4">
        <f>IFERROR(__xludf.DUMMYFUNCTION("""COMPUTED_VALUE"""),17.0)</f>
        <v>17</v>
      </c>
      <c r="M2018" s="4">
        <f>IFERROR(__xludf.DUMMYFUNCTION("""COMPUTED_VALUE"""),91.0)</f>
        <v>91</v>
      </c>
      <c r="N2018" s="2" t="b">
        <f>IFERROR(__xludf.DUMMYFUNCTION("""COMPUTED_VALUE"""),FALSE)</f>
        <v>0</v>
      </c>
    </row>
    <row r="2019">
      <c r="A2019" s="2">
        <f>IFERROR(__xludf.DUMMYFUNCTION("""COMPUTED_VALUE"""),2018.0)</f>
        <v>2018</v>
      </c>
      <c r="B2019" s="2" t="str">
        <f>IFERROR(__xludf.DUMMYFUNCTION("""COMPUTED_VALUE"""),"Jammie Fawdry")</f>
        <v>Jammie Fawdry</v>
      </c>
      <c r="C2019" s="2" t="str">
        <f>IFERROR(__xludf.DUMMYFUNCTION("""COMPUTED_VALUE"""),"jfawdryi@aboutads.info")</f>
        <v>jfawdryi@aboutads.info</v>
      </c>
      <c r="D2019" s="4">
        <f>IFERROR(__xludf.DUMMYFUNCTION("""COMPUTED_VALUE"""),61.0)</f>
        <v>61</v>
      </c>
      <c r="E2019" s="4">
        <f>IFERROR(__xludf.DUMMYFUNCTION("""COMPUTED_VALUE"""),104.0)</f>
        <v>104</v>
      </c>
      <c r="F2019" s="4">
        <f>IFERROR(__xludf.DUMMYFUNCTION("""COMPUTED_VALUE"""),6.0)</f>
        <v>6</v>
      </c>
      <c r="G2019" s="4">
        <f>IFERROR(__xludf.DUMMYFUNCTION("""COMPUTED_VALUE"""),1551.0)</f>
        <v>1551</v>
      </c>
      <c r="H2019" s="5">
        <f>IFERROR(__xludf.DUMMYFUNCTION("""COMPUTED_VALUE"""),9103.56)</f>
        <v>9103.56</v>
      </c>
      <c r="I2019" s="5">
        <f>IFERROR(__xludf.DUMMYFUNCTION("""COMPUTED_VALUE"""),3747.27)</f>
        <v>3747.27</v>
      </c>
      <c r="J2019" s="5">
        <f>IFERROR(__xludf.DUMMYFUNCTION("""COMPUTED_VALUE"""),7215.5)</f>
        <v>7215.5</v>
      </c>
      <c r="K2019" s="5">
        <f>IFERROR(__xludf.DUMMYFUNCTION("""COMPUTED_VALUE"""),9260.46)</f>
        <v>9260.46</v>
      </c>
      <c r="L2019" s="4">
        <f>IFERROR(__xludf.DUMMYFUNCTION("""COMPUTED_VALUE"""),4.0)</f>
        <v>4</v>
      </c>
      <c r="M2019" s="4">
        <f>IFERROR(__xludf.DUMMYFUNCTION("""COMPUTED_VALUE"""),98.0)</f>
        <v>98</v>
      </c>
      <c r="N2019" s="2" t="b">
        <f>IFERROR(__xludf.DUMMYFUNCTION("""COMPUTED_VALUE"""),FALSE)</f>
        <v>0</v>
      </c>
    </row>
    <row r="2020">
      <c r="A2020" s="2">
        <f>IFERROR(__xludf.DUMMYFUNCTION("""COMPUTED_VALUE"""),2019.0)</f>
        <v>2019</v>
      </c>
      <c r="B2020" s="2" t="str">
        <f>IFERROR(__xludf.DUMMYFUNCTION("""COMPUTED_VALUE"""),"Karena Dauber")</f>
        <v>Karena Dauber</v>
      </c>
      <c r="C2020" s="2"/>
      <c r="D2020" s="4">
        <f>IFERROR(__xludf.DUMMYFUNCTION("""COMPUTED_VALUE"""),97.0)</f>
        <v>97</v>
      </c>
      <c r="E2020" s="4">
        <f>IFERROR(__xludf.DUMMYFUNCTION("""COMPUTED_VALUE"""),75.0)</f>
        <v>75</v>
      </c>
      <c r="F2020" s="4">
        <f>IFERROR(__xludf.DUMMYFUNCTION("""COMPUTED_VALUE"""),4.0)</f>
        <v>4</v>
      </c>
      <c r="G2020" s="4">
        <f>IFERROR(__xludf.DUMMYFUNCTION("""COMPUTED_VALUE"""),374.0)</f>
        <v>374</v>
      </c>
      <c r="H2020" s="5">
        <f>IFERROR(__xludf.DUMMYFUNCTION("""COMPUTED_VALUE"""),4905.96)</f>
        <v>4905.96</v>
      </c>
      <c r="I2020" s="5">
        <f>IFERROR(__xludf.DUMMYFUNCTION("""COMPUTED_VALUE"""),9052.91)</f>
        <v>9052.91</v>
      </c>
      <c r="J2020" s="5">
        <f>IFERROR(__xludf.DUMMYFUNCTION("""COMPUTED_VALUE"""),7990.06)</f>
        <v>7990.06</v>
      </c>
      <c r="K2020" s="5">
        <f>IFERROR(__xludf.DUMMYFUNCTION("""COMPUTED_VALUE"""),2201.22)</f>
        <v>2201.22</v>
      </c>
      <c r="L2020" s="4">
        <f>IFERROR(__xludf.DUMMYFUNCTION("""COMPUTED_VALUE"""),17.0)</f>
        <v>17</v>
      </c>
      <c r="M2020" s="4">
        <f>IFERROR(__xludf.DUMMYFUNCTION("""COMPUTED_VALUE"""),88.0)</f>
        <v>88</v>
      </c>
      <c r="N2020" s="2" t="b">
        <f>IFERROR(__xludf.DUMMYFUNCTION("""COMPUTED_VALUE"""),FALSE)</f>
        <v>0</v>
      </c>
    </row>
    <row r="2021">
      <c r="A2021" s="2">
        <f>IFERROR(__xludf.DUMMYFUNCTION("""COMPUTED_VALUE"""),2020.0)</f>
        <v>2020</v>
      </c>
      <c r="B2021" s="2" t="str">
        <f>IFERROR(__xludf.DUMMYFUNCTION("""COMPUTED_VALUE"""),"Aleta Kilfeather")</f>
        <v>Aleta Kilfeather</v>
      </c>
      <c r="C2021" s="2"/>
      <c r="D2021" s="4">
        <f>IFERROR(__xludf.DUMMYFUNCTION("""COMPUTED_VALUE"""),75.0)</f>
        <v>75</v>
      </c>
      <c r="E2021" s="4">
        <f>IFERROR(__xludf.DUMMYFUNCTION("""COMPUTED_VALUE"""),119.0)</f>
        <v>119</v>
      </c>
      <c r="F2021" s="4">
        <f>IFERROR(__xludf.DUMMYFUNCTION("""COMPUTED_VALUE"""),7.0)</f>
        <v>7</v>
      </c>
      <c r="G2021" s="4">
        <f>IFERROR(__xludf.DUMMYFUNCTION("""COMPUTED_VALUE"""),1304.0)</f>
        <v>1304</v>
      </c>
      <c r="H2021" s="5">
        <f>IFERROR(__xludf.DUMMYFUNCTION("""COMPUTED_VALUE"""),848.27)</f>
        <v>848.27</v>
      </c>
      <c r="I2021" s="5">
        <f>IFERROR(__xludf.DUMMYFUNCTION("""COMPUTED_VALUE"""),2836.06)</f>
        <v>2836.06</v>
      </c>
      <c r="J2021" s="5">
        <f>IFERROR(__xludf.DUMMYFUNCTION("""COMPUTED_VALUE"""),8385.08)</f>
        <v>8385.08</v>
      </c>
      <c r="K2021" s="5">
        <f>IFERROR(__xludf.DUMMYFUNCTION("""COMPUTED_VALUE"""),8444.96)</f>
        <v>8444.96</v>
      </c>
      <c r="L2021" s="4">
        <f>IFERROR(__xludf.DUMMYFUNCTION("""COMPUTED_VALUE"""),3.0)</f>
        <v>3</v>
      </c>
      <c r="M2021" s="4">
        <f>IFERROR(__xludf.DUMMYFUNCTION("""COMPUTED_VALUE"""),60.0)</f>
        <v>60</v>
      </c>
      <c r="N2021" s="2" t="b">
        <f>IFERROR(__xludf.DUMMYFUNCTION("""COMPUTED_VALUE"""),FALSE)</f>
        <v>0</v>
      </c>
    </row>
    <row r="2022">
      <c r="A2022" s="2">
        <f>IFERROR(__xludf.DUMMYFUNCTION("""COMPUTED_VALUE"""),2021.0)</f>
        <v>2021</v>
      </c>
      <c r="B2022" s="2" t="str">
        <f>IFERROR(__xludf.DUMMYFUNCTION("""COMPUTED_VALUE"""),"Sapphire Gutherson")</f>
        <v>Sapphire Gutherson</v>
      </c>
      <c r="C2022" s="2" t="str">
        <f>IFERROR(__xludf.DUMMYFUNCTION("""COMPUTED_VALUE"""),"sguthersonl@mozilla.org")</f>
        <v>sguthersonl@mozilla.org</v>
      </c>
      <c r="D2022" s="4">
        <f>IFERROR(__xludf.DUMMYFUNCTION("""COMPUTED_VALUE"""),146.0)</f>
        <v>146</v>
      </c>
      <c r="E2022" s="4">
        <f>IFERROR(__xludf.DUMMYFUNCTION("""COMPUTED_VALUE"""),57.0)</f>
        <v>57</v>
      </c>
      <c r="F2022" s="4">
        <f>IFERROR(__xludf.DUMMYFUNCTION("""COMPUTED_VALUE"""),9.0)</f>
        <v>9</v>
      </c>
      <c r="G2022" s="4">
        <f>IFERROR(__xludf.DUMMYFUNCTION("""COMPUTED_VALUE"""),396.0)</f>
        <v>396</v>
      </c>
      <c r="H2022" s="5">
        <f>IFERROR(__xludf.DUMMYFUNCTION("""COMPUTED_VALUE"""),2752.23)</f>
        <v>2752.23</v>
      </c>
      <c r="I2022" s="5">
        <f>IFERROR(__xludf.DUMMYFUNCTION("""COMPUTED_VALUE"""),8823.17)</f>
        <v>8823.17</v>
      </c>
      <c r="J2022" s="5">
        <f>IFERROR(__xludf.DUMMYFUNCTION("""COMPUTED_VALUE"""),6721.29)</f>
        <v>6721.29</v>
      </c>
      <c r="K2022" s="5">
        <f>IFERROR(__xludf.DUMMYFUNCTION("""COMPUTED_VALUE"""),1736.94)</f>
        <v>1736.94</v>
      </c>
      <c r="L2022" s="4">
        <f>IFERROR(__xludf.DUMMYFUNCTION("""COMPUTED_VALUE"""),5.0)</f>
        <v>5</v>
      </c>
      <c r="M2022" s="4">
        <f>IFERROR(__xludf.DUMMYFUNCTION("""COMPUTED_VALUE"""),17.0)</f>
        <v>17</v>
      </c>
      <c r="N2022" s="2" t="b">
        <f>IFERROR(__xludf.DUMMYFUNCTION("""COMPUTED_VALUE"""),TRUE)</f>
        <v>1</v>
      </c>
    </row>
    <row r="2023">
      <c r="A2023" s="2">
        <f>IFERROR(__xludf.DUMMYFUNCTION("""COMPUTED_VALUE"""),2022.0)</f>
        <v>2022</v>
      </c>
      <c r="B2023" s="2" t="str">
        <f>IFERROR(__xludf.DUMMYFUNCTION("""COMPUTED_VALUE"""),"Ermengarde Cankett")</f>
        <v>Ermengarde Cankett</v>
      </c>
      <c r="C2023" s="2"/>
      <c r="D2023" s="4">
        <f>IFERROR(__xludf.DUMMYFUNCTION("""COMPUTED_VALUE"""),145.0)</f>
        <v>145</v>
      </c>
      <c r="E2023" s="4">
        <f>IFERROR(__xludf.DUMMYFUNCTION("""COMPUTED_VALUE"""),69.0)</f>
        <v>69</v>
      </c>
      <c r="F2023" s="4">
        <f>IFERROR(__xludf.DUMMYFUNCTION("""COMPUTED_VALUE"""),12.0)</f>
        <v>12</v>
      </c>
      <c r="G2023" s="4">
        <f>IFERROR(__xludf.DUMMYFUNCTION("""COMPUTED_VALUE"""),445.0)</f>
        <v>445</v>
      </c>
      <c r="H2023" s="5">
        <f>IFERROR(__xludf.DUMMYFUNCTION("""COMPUTED_VALUE"""),605.31)</f>
        <v>605.31</v>
      </c>
      <c r="I2023" s="5">
        <f>IFERROR(__xludf.DUMMYFUNCTION("""COMPUTED_VALUE"""),5627.89)</f>
        <v>5627.89</v>
      </c>
      <c r="J2023" s="5">
        <f>IFERROR(__xludf.DUMMYFUNCTION("""COMPUTED_VALUE"""),8605.27)</f>
        <v>8605.27</v>
      </c>
      <c r="K2023" s="5">
        <f>IFERROR(__xludf.DUMMYFUNCTION("""COMPUTED_VALUE"""),2675.44)</f>
        <v>2675.44</v>
      </c>
      <c r="L2023" s="4">
        <f>IFERROR(__xludf.DUMMYFUNCTION("""COMPUTED_VALUE"""),10.0)</f>
        <v>10</v>
      </c>
      <c r="M2023" s="4">
        <f>IFERROR(__xludf.DUMMYFUNCTION("""COMPUTED_VALUE"""),46.0)</f>
        <v>46</v>
      </c>
      <c r="N2023" s="2" t="b">
        <f>IFERROR(__xludf.DUMMYFUNCTION("""COMPUTED_VALUE"""),FALSE)</f>
        <v>0</v>
      </c>
    </row>
    <row r="2024">
      <c r="A2024" s="2">
        <f>IFERROR(__xludf.DUMMYFUNCTION("""COMPUTED_VALUE"""),2023.0)</f>
        <v>2023</v>
      </c>
      <c r="B2024" s="2" t="str">
        <f>IFERROR(__xludf.DUMMYFUNCTION("""COMPUTED_VALUE"""),"Vitoria Liddle")</f>
        <v>Vitoria Liddle</v>
      </c>
      <c r="C2024" s="2" t="str">
        <f>IFERROR(__xludf.DUMMYFUNCTION("""COMPUTED_VALUE"""),"vliddlen@ning.com")</f>
        <v>vliddlen@ning.com</v>
      </c>
      <c r="D2024" s="4">
        <f>IFERROR(__xludf.DUMMYFUNCTION("""COMPUTED_VALUE"""),130.0)</f>
        <v>130</v>
      </c>
      <c r="E2024" s="4">
        <f>IFERROR(__xludf.DUMMYFUNCTION("""COMPUTED_VALUE"""),56.0)</f>
        <v>56</v>
      </c>
      <c r="F2024" s="4">
        <f>IFERROR(__xludf.DUMMYFUNCTION("""COMPUTED_VALUE"""),11.0)</f>
        <v>11</v>
      </c>
      <c r="G2024" s="4">
        <f>IFERROR(__xludf.DUMMYFUNCTION("""COMPUTED_VALUE"""),945.0)</f>
        <v>945</v>
      </c>
      <c r="H2024" s="5">
        <f>IFERROR(__xludf.DUMMYFUNCTION("""COMPUTED_VALUE"""),6297.98)</f>
        <v>6297.98</v>
      </c>
      <c r="I2024" s="5">
        <f>IFERROR(__xludf.DUMMYFUNCTION("""COMPUTED_VALUE"""),5651.81)</f>
        <v>5651.81</v>
      </c>
      <c r="J2024" s="5">
        <f>IFERROR(__xludf.DUMMYFUNCTION("""COMPUTED_VALUE"""),3311.95)</f>
        <v>3311.95</v>
      </c>
      <c r="K2024" s="5">
        <f>IFERROR(__xludf.DUMMYFUNCTION("""COMPUTED_VALUE"""),4532.42)</f>
        <v>4532.42</v>
      </c>
      <c r="L2024" s="4">
        <f>IFERROR(__xludf.DUMMYFUNCTION("""COMPUTED_VALUE"""),7.0)</f>
        <v>7</v>
      </c>
      <c r="M2024" s="4">
        <f>IFERROR(__xludf.DUMMYFUNCTION("""COMPUTED_VALUE"""),100.0)</f>
        <v>100</v>
      </c>
      <c r="N2024" s="2" t="b">
        <f>IFERROR(__xludf.DUMMYFUNCTION("""COMPUTED_VALUE"""),FALSE)</f>
        <v>0</v>
      </c>
    </row>
    <row r="2025">
      <c r="A2025" s="2">
        <f>IFERROR(__xludf.DUMMYFUNCTION("""COMPUTED_VALUE"""),2024.0)</f>
        <v>2024</v>
      </c>
      <c r="B2025" s="2" t="str">
        <f>IFERROR(__xludf.DUMMYFUNCTION("""COMPUTED_VALUE"""),"Immanuel Crame")</f>
        <v>Immanuel Crame</v>
      </c>
      <c r="C2025" s="2" t="str">
        <f>IFERROR(__xludf.DUMMYFUNCTION("""COMPUTED_VALUE"""),"icrameo@tinypic.com")</f>
        <v>icrameo@tinypic.com</v>
      </c>
      <c r="D2025" s="4">
        <f>IFERROR(__xludf.DUMMYFUNCTION("""COMPUTED_VALUE"""),48.0)</f>
        <v>48</v>
      </c>
      <c r="E2025" s="4">
        <f>IFERROR(__xludf.DUMMYFUNCTION("""COMPUTED_VALUE"""),10.0)</f>
        <v>10</v>
      </c>
      <c r="F2025" s="4">
        <f>IFERROR(__xludf.DUMMYFUNCTION("""COMPUTED_VALUE"""),12.0)</f>
        <v>12</v>
      </c>
      <c r="G2025" s="4">
        <f>IFERROR(__xludf.DUMMYFUNCTION("""COMPUTED_VALUE"""),1029.0)</f>
        <v>1029</v>
      </c>
      <c r="H2025" s="5">
        <f>IFERROR(__xludf.DUMMYFUNCTION("""COMPUTED_VALUE"""),7031.79)</f>
        <v>7031.79</v>
      </c>
      <c r="I2025" s="5">
        <f>IFERROR(__xludf.DUMMYFUNCTION("""COMPUTED_VALUE"""),3690.58)</f>
        <v>3690.58</v>
      </c>
      <c r="J2025" s="5">
        <f>IFERROR(__xludf.DUMMYFUNCTION("""COMPUTED_VALUE"""),1980.59)</f>
        <v>1980.59</v>
      </c>
      <c r="K2025" s="5">
        <f>IFERROR(__xludf.DUMMYFUNCTION("""COMPUTED_VALUE"""),5242.6)</f>
        <v>5242.6</v>
      </c>
      <c r="L2025" s="4">
        <f>IFERROR(__xludf.DUMMYFUNCTION("""COMPUTED_VALUE"""),13.0)</f>
        <v>13</v>
      </c>
      <c r="M2025" s="4">
        <f>IFERROR(__xludf.DUMMYFUNCTION("""COMPUTED_VALUE"""),27.0)</f>
        <v>27</v>
      </c>
      <c r="N2025" s="2" t="b">
        <f>IFERROR(__xludf.DUMMYFUNCTION("""COMPUTED_VALUE"""),TRUE)</f>
        <v>1</v>
      </c>
    </row>
    <row r="2026">
      <c r="A2026" s="2">
        <f>IFERROR(__xludf.DUMMYFUNCTION("""COMPUTED_VALUE"""),2025.0)</f>
        <v>2025</v>
      </c>
      <c r="B2026" s="2" t="str">
        <f>IFERROR(__xludf.DUMMYFUNCTION("""COMPUTED_VALUE"""),"Milzie Vondrys")</f>
        <v>Milzie Vondrys</v>
      </c>
      <c r="C2026" s="2" t="str">
        <f>IFERROR(__xludf.DUMMYFUNCTION("""COMPUTED_VALUE"""),"mvondrysp@google.es")</f>
        <v>mvondrysp@google.es</v>
      </c>
      <c r="D2026" s="4">
        <f>IFERROR(__xludf.DUMMYFUNCTION("""COMPUTED_VALUE"""),70.0)</f>
        <v>70</v>
      </c>
      <c r="E2026" s="4">
        <f>IFERROR(__xludf.DUMMYFUNCTION("""COMPUTED_VALUE"""),109.0)</f>
        <v>109</v>
      </c>
      <c r="F2026" s="4">
        <f>IFERROR(__xludf.DUMMYFUNCTION("""COMPUTED_VALUE"""),6.0)</f>
        <v>6</v>
      </c>
      <c r="G2026" s="4">
        <f>IFERROR(__xludf.DUMMYFUNCTION("""COMPUTED_VALUE"""),1275.0)</f>
        <v>1275</v>
      </c>
      <c r="H2026" s="5">
        <f>IFERROR(__xludf.DUMMYFUNCTION("""COMPUTED_VALUE"""),6424.49)</f>
        <v>6424.49</v>
      </c>
      <c r="I2026" s="5">
        <f>IFERROR(__xludf.DUMMYFUNCTION("""COMPUTED_VALUE"""),3180.13)</f>
        <v>3180.13</v>
      </c>
      <c r="J2026" s="5">
        <f>IFERROR(__xludf.DUMMYFUNCTION("""COMPUTED_VALUE"""),4292.66)</f>
        <v>4292.66</v>
      </c>
      <c r="K2026" s="5">
        <f>IFERROR(__xludf.DUMMYFUNCTION("""COMPUTED_VALUE"""),4227.95)</f>
        <v>4227.95</v>
      </c>
      <c r="L2026" s="4">
        <f>IFERROR(__xludf.DUMMYFUNCTION("""COMPUTED_VALUE"""),4.0)</f>
        <v>4</v>
      </c>
      <c r="M2026" s="4">
        <f>IFERROR(__xludf.DUMMYFUNCTION("""COMPUTED_VALUE"""),22.0)</f>
        <v>22</v>
      </c>
      <c r="N2026" s="2" t="b">
        <f>IFERROR(__xludf.DUMMYFUNCTION("""COMPUTED_VALUE"""),TRUE)</f>
        <v>1</v>
      </c>
    </row>
    <row r="2027">
      <c r="A2027" s="2">
        <f>IFERROR(__xludf.DUMMYFUNCTION("""COMPUTED_VALUE"""),2026.0)</f>
        <v>2026</v>
      </c>
      <c r="B2027" s="2" t="str">
        <f>IFERROR(__xludf.DUMMYFUNCTION("""COMPUTED_VALUE"""),"Ike Speke")</f>
        <v>Ike Speke</v>
      </c>
      <c r="C2027" s="2"/>
      <c r="D2027" s="4">
        <f>IFERROR(__xludf.DUMMYFUNCTION("""COMPUTED_VALUE"""),147.0)</f>
        <v>147</v>
      </c>
      <c r="E2027" s="4">
        <f>IFERROR(__xludf.DUMMYFUNCTION("""COMPUTED_VALUE"""),55.0)</f>
        <v>55</v>
      </c>
      <c r="F2027" s="4">
        <f>IFERROR(__xludf.DUMMYFUNCTION("""COMPUTED_VALUE"""),8.0)</f>
        <v>8</v>
      </c>
      <c r="G2027" s="4">
        <f>IFERROR(__xludf.DUMMYFUNCTION("""COMPUTED_VALUE"""),1129.0)</f>
        <v>1129</v>
      </c>
      <c r="H2027" s="5">
        <f>IFERROR(__xludf.DUMMYFUNCTION("""COMPUTED_VALUE"""),1042.44)</f>
        <v>1042.44</v>
      </c>
      <c r="I2027" s="5">
        <f>IFERROR(__xludf.DUMMYFUNCTION("""COMPUTED_VALUE"""),5160.8)</f>
        <v>5160.8</v>
      </c>
      <c r="J2027" s="5">
        <f>IFERROR(__xludf.DUMMYFUNCTION("""COMPUTED_VALUE"""),8205.56)</f>
        <v>8205.56</v>
      </c>
      <c r="K2027" s="5">
        <f>IFERROR(__xludf.DUMMYFUNCTION("""COMPUTED_VALUE"""),2527.73)</f>
        <v>2527.73</v>
      </c>
      <c r="L2027" s="4">
        <f>IFERROR(__xludf.DUMMYFUNCTION("""COMPUTED_VALUE"""),10.0)</f>
        <v>10</v>
      </c>
      <c r="M2027" s="4">
        <f>IFERROR(__xludf.DUMMYFUNCTION("""COMPUTED_VALUE"""),82.0)</f>
        <v>82</v>
      </c>
      <c r="N2027" s="2" t="b">
        <f>IFERROR(__xludf.DUMMYFUNCTION("""COMPUTED_VALUE"""),TRUE)</f>
        <v>1</v>
      </c>
    </row>
    <row r="2028">
      <c r="A2028" s="2">
        <f>IFERROR(__xludf.DUMMYFUNCTION("""COMPUTED_VALUE"""),2027.0)</f>
        <v>2027</v>
      </c>
      <c r="B2028" s="2" t="str">
        <f>IFERROR(__xludf.DUMMYFUNCTION("""COMPUTED_VALUE"""),"Marj Rosenthaler")</f>
        <v>Marj Rosenthaler</v>
      </c>
      <c r="C2028" s="2"/>
      <c r="D2028" s="4">
        <f>IFERROR(__xludf.DUMMYFUNCTION("""COMPUTED_VALUE"""),114.0)</f>
        <v>114</v>
      </c>
      <c r="E2028" s="4">
        <f>IFERROR(__xludf.DUMMYFUNCTION("""COMPUTED_VALUE"""),45.0)</f>
        <v>45</v>
      </c>
      <c r="F2028" s="4">
        <f>IFERROR(__xludf.DUMMYFUNCTION("""COMPUTED_VALUE"""),4.0)</f>
        <v>4</v>
      </c>
      <c r="G2028" s="4">
        <f>IFERROR(__xludf.DUMMYFUNCTION("""COMPUTED_VALUE"""),1101.0)</f>
        <v>1101</v>
      </c>
      <c r="H2028" s="5">
        <f>IFERROR(__xludf.DUMMYFUNCTION("""COMPUTED_VALUE"""),9340.97)</f>
        <v>9340.97</v>
      </c>
      <c r="I2028" s="5">
        <f>IFERROR(__xludf.DUMMYFUNCTION("""COMPUTED_VALUE"""),5353.62)</f>
        <v>5353.62</v>
      </c>
      <c r="J2028" s="5">
        <f>IFERROR(__xludf.DUMMYFUNCTION("""COMPUTED_VALUE"""),6555.41)</f>
        <v>6555.41</v>
      </c>
      <c r="K2028" s="5">
        <f>IFERROR(__xludf.DUMMYFUNCTION("""COMPUTED_VALUE"""),8841.52)</f>
        <v>8841.52</v>
      </c>
      <c r="L2028" s="4">
        <f>IFERROR(__xludf.DUMMYFUNCTION("""COMPUTED_VALUE"""),3.0)</f>
        <v>3</v>
      </c>
      <c r="M2028" s="4">
        <f>IFERROR(__xludf.DUMMYFUNCTION("""COMPUTED_VALUE"""),84.0)</f>
        <v>84</v>
      </c>
      <c r="N2028" s="2" t="b">
        <f>IFERROR(__xludf.DUMMYFUNCTION("""COMPUTED_VALUE"""),TRUE)</f>
        <v>1</v>
      </c>
    </row>
    <row r="2029">
      <c r="A2029" s="2">
        <f>IFERROR(__xludf.DUMMYFUNCTION("""COMPUTED_VALUE"""),2028.0)</f>
        <v>2028</v>
      </c>
      <c r="B2029" s="2" t="str">
        <f>IFERROR(__xludf.DUMMYFUNCTION("""COMPUTED_VALUE"""),"Rena Sainsberry")</f>
        <v>Rena Sainsberry</v>
      </c>
      <c r="C2029" s="2"/>
      <c r="D2029" s="4">
        <f>IFERROR(__xludf.DUMMYFUNCTION("""COMPUTED_VALUE"""),112.0)</f>
        <v>112</v>
      </c>
      <c r="E2029" s="4">
        <f>IFERROR(__xludf.DUMMYFUNCTION("""COMPUTED_VALUE"""),60.0)</f>
        <v>60</v>
      </c>
      <c r="F2029" s="4">
        <f>IFERROR(__xludf.DUMMYFUNCTION("""COMPUTED_VALUE"""),11.0)</f>
        <v>11</v>
      </c>
      <c r="G2029" s="4">
        <f>IFERROR(__xludf.DUMMYFUNCTION("""COMPUTED_VALUE"""),1223.0)</f>
        <v>1223</v>
      </c>
      <c r="H2029" s="5">
        <f>IFERROR(__xludf.DUMMYFUNCTION("""COMPUTED_VALUE"""),6084.99)</f>
        <v>6084.99</v>
      </c>
      <c r="I2029" s="5">
        <f>IFERROR(__xludf.DUMMYFUNCTION("""COMPUTED_VALUE"""),9632.48)</f>
        <v>9632.48</v>
      </c>
      <c r="J2029" s="5">
        <f>IFERROR(__xludf.DUMMYFUNCTION("""COMPUTED_VALUE"""),6258.86)</f>
        <v>6258.86</v>
      </c>
      <c r="K2029" s="5">
        <f>IFERROR(__xludf.DUMMYFUNCTION("""COMPUTED_VALUE"""),2092.51)</f>
        <v>2092.51</v>
      </c>
      <c r="L2029" s="4">
        <f>IFERROR(__xludf.DUMMYFUNCTION("""COMPUTED_VALUE"""),9.0)</f>
        <v>9</v>
      </c>
      <c r="M2029" s="4">
        <f>IFERROR(__xludf.DUMMYFUNCTION("""COMPUTED_VALUE"""),97.0)</f>
        <v>97</v>
      </c>
      <c r="N2029" s="2" t="b">
        <f>IFERROR(__xludf.DUMMYFUNCTION("""COMPUTED_VALUE"""),TRUE)</f>
        <v>1</v>
      </c>
    </row>
    <row r="2030">
      <c r="A2030" s="2">
        <f>IFERROR(__xludf.DUMMYFUNCTION("""COMPUTED_VALUE"""),2029.0)</f>
        <v>2029</v>
      </c>
      <c r="B2030" s="2" t="str">
        <f>IFERROR(__xludf.DUMMYFUNCTION("""COMPUTED_VALUE"""),"Paco Simnett")</f>
        <v>Paco Simnett</v>
      </c>
      <c r="C2030" s="2" t="str">
        <f>IFERROR(__xludf.DUMMYFUNCTION("""COMPUTED_VALUE"""),"psimnettt@skype.com")</f>
        <v>psimnettt@skype.com</v>
      </c>
      <c r="D2030" s="4">
        <f>IFERROR(__xludf.DUMMYFUNCTION("""COMPUTED_VALUE"""),54.0)</f>
        <v>54</v>
      </c>
      <c r="E2030" s="4">
        <f>IFERROR(__xludf.DUMMYFUNCTION("""COMPUTED_VALUE"""),6.0)</f>
        <v>6</v>
      </c>
      <c r="F2030" s="4">
        <f>IFERROR(__xludf.DUMMYFUNCTION("""COMPUTED_VALUE"""),12.0)</f>
        <v>12</v>
      </c>
      <c r="G2030" s="4">
        <f>IFERROR(__xludf.DUMMYFUNCTION("""COMPUTED_VALUE"""),1425.0)</f>
        <v>1425</v>
      </c>
      <c r="H2030" s="5">
        <f>IFERROR(__xludf.DUMMYFUNCTION("""COMPUTED_VALUE"""),9368.46)</f>
        <v>9368.46</v>
      </c>
      <c r="I2030" s="5">
        <f>IFERROR(__xludf.DUMMYFUNCTION("""COMPUTED_VALUE"""),8264.3)</f>
        <v>8264.3</v>
      </c>
      <c r="J2030" s="5">
        <f>IFERROR(__xludf.DUMMYFUNCTION("""COMPUTED_VALUE"""),9481.58)</f>
        <v>9481.58</v>
      </c>
      <c r="K2030" s="5">
        <f>IFERROR(__xludf.DUMMYFUNCTION("""COMPUTED_VALUE"""),6012.33)</f>
        <v>6012.33</v>
      </c>
      <c r="L2030" s="4">
        <f>IFERROR(__xludf.DUMMYFUNCTION("""COMPUTED_VALUE"""),7.0)</f>
        <v>7</v>
      </c>
      <c r="M2030" s="4">
        <f>IFERROR(__xludf.DUMMYFUNCTION("""COMPUTED_VALUE"""),63.0)</f>
        <v>63</v>
      </c>
      <c r="N2030" s="2" t="b">
        <f>IFERROR(__xludf.DUMMYFUNCTION("""COMPUTED_VALUE"""),FALSE)</f>
        <v>0</v>
      </c>
    </row>
    <row r="2031">
      <c r="A2031" s="2">
        <f>IFERROR(__xludf.DUMMYFUNCTION("""COMPUTED_VALUE"""),2030.0)</f>
        <v>2030</v>
      </c>
      <c r="B2031" s="2" t="str">
        <f>IFERROR(__xludf.DUMMYFUNCTION("""COMPUTED_VALUE"""),"Nataline Patrono")</f>
        <v>Nataline Patrono</v>
      </c>
      <c r="C2031" s="2" t="str">
        <f>IFERROR(__xludf.DUMMYFUNCTION("""COMPUTED_VALUE"""),"npatronou@nih.gov")</f>
        <v>npatronou@nih.gov</v>
      </c>
      <c r="D2031" s="4">
        <f>IFERROR(__xludf.DUMMYFUNCTION("""COMPUTED_VALUE"""),12.0)</f>
        <v>12</v>
      </c>
      <c r="E2031" s="4">
        <f>IFERROR(__xludf.DUMMYFUNCTION("""COMPUTED_VALUE"""),68.0)</f>
        <v>68</v>
      </c>
      <c r="F2031" s="4">
        <f>IFERROR(__xludf.DUMMYFUNCTION("""COMPUTED_VALUE"""),7.0)</f>
        <v>7</v>
      </c>
      <c r="G2031" s="4">
        <f>IFERROR(__xludf.DUMMYFUNCTION("""COMPUTED_VALUE"""),241.0)</f>
        <v>241</v>
      </c>
      <c r="H2031" s="5">
        <f>IFERROR(__xludf.DUMMYFUNCTION("""COMPUTED_VALUE"""),1442.82)</f>
        <v>1442.82</v>
      </c>
      <c r="I2031" s="5">
        <f>IFERROR(__xludf.DUMMYFUNCTION("""COMPUTED_VALUE"""),4511.21)</f>
        <v>4511.21</v>
      </c>
      <c r="J2031" s="5">
        <f>IFERROR(__xludf.DUMMYFUNCTION("""COMPUTED_VALUE"""),2486.2)</f>
        <v>2486.2</v>
      </c>
      <c r="K2031" s="5">
        <f>IFERROR(__xludf.DUMMYFUNCTION("""COMPUTED_VALUE"""),3688.57)</f>
        <v>3688.57</v>
      </c>
      <c r="L2031" s="4">
        <f>IFERROR(__xludf.DUMMYFUNCTION("""COMPUTED_VALUE"""),5.0)</f>
        <v>5</v>
      </c>
      <c r="M2031" s="4">
        <f>IFERROR(__xludf.DUMMYFUNCTION("""COMPUTED_VALUE"""),54.0)</f>
        <v>54</v>
      </c>
      <c r="N2031" s="2" t="b">
        <f>IFERROR(__xludf.DUMMYFUNCTION("""COMPUTED_VALUE"""),TRUE)</f>
        <v>1</v>
      </c>
    </row>
    <row r="2032">
      <c r="A2032" s="2">
        <f>IFERROR(__xludf.DUMMYFUNCTION("""COMPUTED_VALUE"""),2031.0)</f>
        <v>2031</v>
      </c>
      <c r="B2032" s="2" t="str">
        <f>IFERROR(__xludf.DUMMYFUNCTION("""COMPUTED_VALUE"""),"Jerrilyn Livermore")</f>
        <v>Jerrilyn Livermore</v>
      </c>
      <c r="C2032" s="2" t="str">
        <f>IFERROR(__xludf.DUMMYFUNCTION("""COMPUTED_VALUE"""),"jlivermorev@msu.edu")</f>
        <v>jlivermorev@msu.edu</v>
      </c>
      <c r="D2032" s="4">
        <f>IFERROR(__xludf.DUMMYFUNCTION("""COMPUTED_VALUE"""),92.0)</f>
        <v>92</v>
      </c>
      <c r="E2032" s="4">
        <f>IFERROR(__xludf.DUMMYFUNCTION("""COMPUTED_VALUE"""),13.0)</f>
        <v>13</v>
      </c>
      <c r="F2032" s="4">
        <f>IFERROR(__xludf.DUMMYFUNCTION("""COMPUTED_VALUE"""),6.0)</f>
        <v>6</v>
      </c>
      <c r="G2032" s="4">
        <f>IFERROR(__xludf.DUMMYFUNCTION("""COMPUTED_VALUE"""),1023.0)</f>
        <v>1023</v>
      </c>
      <c r="H2032" s="5">
        <f>IFERROR(__xludf.DUMMYFUNCTION("""COMPUTED_VALUE"""),4182.45)</f>
        <v>4182.45</v>
      </c>
      <c r="I2032" s="5">
        <f>IFERROR(__xludf.DUMMYFUNCTION("""COMPUTED_VALUE"""),4774.92)</f>
        <v>4774.92</v>
      </c>
      <c r="J2032" s="5">
        <f>IFERROR(__xludf.DUMMYFUNCTION("""COMPUTED_VALUE"""),4280.5)</f>
        <v>4280.5</v>
      </c>
      <c r="K2032" s="5">
        <f>IFERROR(__xludf.DUMMYFUNCTION("""COMPUTED_VALUE"""),7089.8)</f>
        <v>7089.8</v>
      </c>
      <c r="L2032" s="4">
        <f>IFERROR(__xludf.DUMMYFUNCTION("""COMPUTED_VALUE"""),17.0)</f>
        <v>17</v>
      </c>
      <c r="M2032" s="4">
        <f>IFERROR(__xludf.DUMMYFUNCTION("""COMPUTED_VALUE"""),39.0)</f>
        <v>39</v>
      </c>
      <c r="N2032" s="2" t="b">
        <f>IFERROR(__xludf.DUMMYFUNCTION("""COMPUTED_VALUE"""),FALSE)</f>
        <v>0</v>
      </c>
    </row>
    <row r="2033">
      <c r="A2033" s="2">
        <f>IFERROR(__xludf.DUMMYFUNCTION("""COMPUTED_VALUE"""),2032.0)</f>
        <v>2032</v>
      </c>
      <c r="B2033" s="2" t="str">
        <f>IFERROR(__xludf.DUMMYFUNCTION("""COMPUTED_VALUE"""),"Barbette Trowell")</f>
        <v>Barbette Trowell</v>
      </c>
      <c r="C2033" s="2" t="str">
        <f>IFERROR(__xludf.DUMMYFUNCTION("""COMPUTED_VALUE"""),"btrowellw@aol.com")</f>
        <v>btrowellw@aol.com</v>
      </c>
      <c r="D2033" s="4">
        <f>IFERROR(__xludf.DUMMYFUNCTION("""COMPUTED_VALUE"""),64.0)</f>
        <v>64</v>
      </c>
      <c r="E2033" s="4">
        <f>IFERROR(__xludf.DUMMYFUNCTION("""COMPUTED_VALUE"""),61.0)</f>
        <v>61</v>
      </c>
      <c r="F2033" s="4">
        <f>IFERROR(__xludf.DUMMYFUNCTION("""COMPUTED_VALUE"""),3.0)</f>
        <v>3</v>
      </c>
      <c r="G2033" s="4">
        <f>IFERROR(__xludf.DUMMYFUNCTION("""COMPUTED_VALUE"""),860.0)</f>
        <v>860</v>
      </c>
      <c r="H2033" s="5">
        <f>IFERROR(__xludf.DUMMYFUNCTION("""COMPUTED_VALUE"""),4021.34)</f>
        <v>4021.34</v>
      </c>
      <c r="I2033" s="5">
        <f>IFERROR(__xludf.DUMMYFUNCTION("""COMPUTED_VALUE"""),4580.62)</f>
        <v>4580.62</v>
      </c>
      <c r="J2033" s="5">
        <f>IFERROR(__xludf.DUMMYFUNCTION("""COMPUTED_VALUE"""),5194.54)</f>
        <v>5194.54</v>
      </c>
      <c r="K2033" s="5">
        <f>IFERROR(__xludf.DUMMYFUNCTION("""COMPUTED_VALUE"""),2341.1)</f>
        <v>2341.1</v>
      </c>
      <c r="L2033" s="4">
        <f>IFERROR(__xludf.DUMMYFUNCTION("""COMPUTED_VALUE"""),5.0)</f>
        <v>5</v>
      </c>
      <c r="M2033" s="4">
        <f>IFERROR(__xludf.DUMMYFUNCTION("""COMPUTED_VALUE"""),53.0)</f>
        <v>53</v>
      </c>
      <c r="N2033" s="2" t="b">
        <f>IFERROR(__xludf.DUMMYFUNCTION("""COMPUTED_VALUE"""),TRUE)</f>
        <v>1</v>
      </c>
    </row>
    <row r="2034">
      <c r="A2034" s="2">
        <f>IFERROR(__xludf.DUMMYFUNCTION("""COMPUTED_VALUE"""),2033.0)</f>
        <v>2033</v>
      </c>
      <c r="B2034" s="2" t="str">
        <f>IFERROR(__xludf.DUMMYFUNCTION("""COMPUTED_VALUE"""),"Gerty Vigurs")</f>
        <v>Gerty Vigurs</v>
      </c>
      <c r="C2034" s="2" t="str">
        <f>IFERROR(__xludf.DUMMYFUNCTION("""COMPUTED_VALUE"""),"gvigursx@addthis.com")</f>
        <v>gvigursx@addthis.com</v>
      </c>
      <c r="D2034" s="4">
        <f>IFERROR(__xludf.DUMMYFUNCTION("""COMPUTED_VALUE"""),92.0)</f>
        <v>92</v>
      </c>
      <c r="E2034" s="4">
        <f>IFERROR(__xludf.DUMMYFUNCTION("""COMPUTED_VALUE"""),56.0)</f>
        <v>56</v>
      </c>
      <c r="F2034" s="4">
        <f>IFERROR(__xludf.DUMMYFUNCTION("""COMPUTED_VALUE"""),3.0)</f>
        <v>3</v>
      </c>
      <c r="G2034" s="4">
        <f>IFERROR(__xludf.DUMMYFUNCTION("""COMPUTED_VALUE"""),245.0)</f>
        <v>245</v>
      </c>
      <c r="H2034" s="5">
        <f>IFERROR(__xludf.DUMMYFUNCTION("""COMPUTED_VALUE"""),6425.51)</f>
        <v>6425.51</v>
      </c>
      <c r="I2034" s="5">
        <f>IFERROR(__xludf.DUMMYFUNCTION("""COMPUTED_VALUE"""),8345.7)</f>
        <v>8345.7</v>
      </c>
      <c r="J2034" s="5">
        <f>IFERROR(__xludf.DUMMYFUNCTION("""COMPUTED_VALUE"""),8526.88)</f>
        <v>8526.88</v>
      </c>
      <c r="K2034" s="5">
        <f>IFERROR(__xludf.DUMMYFUNCTION("""COMPUTED_VALUE"""),4736.23)</f>
        <v>4736.23</v>
      </c>
      <c r="L2034" s="4">
        <f>IFERROR(__xludf.DUMMYFUNCTION("""COMPUTED_VALUE"""),7.0)</f>
        <v>7</v>
      </c>
      <c r="M2034" s="4">
        <f>IFERROR(__xludf.DUMMYFUNCTION("""COMPUTED_VALUE"""),73.0)</f>
        <v>73</v>
      </c>
      <c r="N2034" s="2" t="b">
        <f>IFERROR(__xludf.DUMMYFUNCTION("""COMPUTED_VALUE"""),FALSE)</f>
        <v>0</v>
      </c>
    </row>
    <row r="2035">
      <c r="A2035" s="2">
        <f>IFERROR(__xludf.DUMMYFUNCTION("""COMPUTED_VALUE"""),2034.0)</f>
        <v>2034</v>
      </c>
      <c r="B2035" s="2" t="str">
        <f>IFERROR(__xludf.DUMMYFUNCTION("""COMPUTED_VALUE"""),"Kaylee Dibley")</f>
        <v>Kaylee Dibley</v>
      </c>
      <c r="C2035" s="2"/>
      <c r="D2035" s="4">
        <f>IFERROR(__xludf.DUMMYFUNCTION("""COMPUTED_VALUE"""),9.0)</f>
        <v>9</v>
      </c>
      <c r="E2035" s="4">
        <f>IFERROR(__xludf.DUMMYFUNCTION("""COMPUTED_VALUE"""),88.0)</f>
        <v>88</v>
      </c>
      <c r="F2035" s="4">
        <f>IFERROR(__xludf.DUMMYFUNCTION("""COMPUTED_VALUE"""),7.0)</f>
        <v>7</v>
      </c>
      <c r="G2035" s="4">
        <f>IFERROR(__xludf.DUMMYFUNCTION("""COMPUTED_VALUE"""),914.0)</f>
        <v>914</v>
      </c>
      <c r="H2035" s="5">
        <f>IFERROR(__xludf.DUMMYFUNCTION("""COMPUTED_VALUE"""),4751.07)</f>
        <v>4751.07</v>
      </c>
      <c r="I2035" s="5">
        <f>IFERROR(__xludf.DUMMYFUNCTION("""COMPUTED_VALUE"""),1916.13)</f>
        <v>1916.13</v>
      </c>
      <c r="J2035" s="5">
        <f>IFERROR(__xludf.DUMMYFUNCTION("""COMPUTED_VALUE"""),7215.61)</f>
        <v>7215.61</v>
      </c>
      <c r="K2035" s="5">
        <f>IFERROR(__xludf.DUMMYFUNCTION("""COMPUTED_VALUE"""),2657.55)</f>
        <v>2657.55</v>
      </c>
      <c r="L2035" s="4">
        <f>IFERROR(__xludf.DUMMYFUNCTION("""COMPUTED_VALUE"""),16.0)</f>
        <v>16</v>
      </c>
      <c r="M2035" s="4">
        <f>IFERROR(__xludf.DUMMYFUNCTION("""COMPUTED_VALUE"""),80.0)</f>
        <v>80</v>
      </c>
      <c r="N2035" s="2" t="b">
        <f>IFERROR(__xludf.DUMMYFUNCTION("""COMPUTED_VALUE"""),TRUE)</f>
        <v>1</v>
      </c>
    </row>
    <row r="2036">
      <c r="A2036" s="2">
        <f>IFERROR(__xludf.DUMMYFUNCTION("""COMPUTED_VALUE"""),2035.0)</f>
        <v>2035</v>
      </c>
      <c r="B2036" s="2" t="str">
        <f>IFERROR(__xludf.DUMMYFUNCTION("""COMPUTED_VALUE"""),"Mile Ruxton")</f>
        <v>Mile Ruxton</v>
      </c>
      <c r="C2036" s="2" t="str">
        <f>IFERROR(__xludf.DUMMYFUNCTION("""COMPUTED_VALUE"""),"mruxtonz@behance.net")</f>
        <v>mruxtonz@behance.net</v>
      </c>
      <c r="D2036" s="4">
        <f>IFERROR(__xludf.DUMMYFUNCTION("""COMPUTED_VALUE"""),103.0)</f>
        <v>103</v>
      </c>
      <c r="E2036" s="4">
        <f>IFERROR(__xludf.DUMMYFUNCTION("""COMPUTED_VALUE"""),71.0)</f>
        <v>71</v>
      </c>
      <c r="F2036" s="4">
        <f>IFERROR(__xludf.DUMMYFUNCTION("""COMPUTED_VALUE"""),9.0)</f>
        <v>9</v>
      </c>
      <c r="G2036" s="4">
        <f>IFERROR(__xludf.DUMMYFUNCTION("""COMPUTED_VALUE"""),803.0)</f>
        <v>803</v>
      </c>
      <c r="H2036" s="5">
        <f>IFERROR(__xludf.DUMMYFUNCTION("""COMPUTED_VALUE"""),5369.87)</f>
        <v>5369.87</v>
      </c>
      <c r="I2036" s="5">
        <f>IFERROR(__xludf.DUMMYFUNCTION("""COMPUTED_VALUE"""),7999.88)</f>
        <v>7999.88</v>
      </c>
      <c r="J2036" s="5">
        <f>IFERROR(__xludf.DUMMYFUNCTION("""COMPUTED_VALUE"""),9003.56)</f>
        <v>9003.56</v>
      </c>
      <c r="K2036" s="5">
        <f>IFERROR(__xludf.DUMMYFUNCTION("""COMPUTED_VALUE"""),4679.47)</f>
        <v>4679.47</v>
      </c>
      <c r="L2036" s="4">
        <f>IFERROR(__xludf.DUMMYFUNCTION("""COMPUTED_VALUE"""),15.0)</f>
        <v>15</v>
      </c>
      <c r="M2036" s="4">
        <f>IFERROR(__xludf.DUMMYFUNCTION("""COMPUTED_VALUE"""),49.0)</f>
        <v>49</v>
      </c>
      <c r="N2036" s="2" t="b">
        <f>IFERROR(__xludf.DUMMYFUNCTION("""COMPUTED_VALUE"""),FALSE)</f>
        <v>0</v>
      </c>
    </row>
    <row r="2037">
      <c r="A2037" s="2">
        <f>IFERROR(__xludf.DUMMYFUNCTION("""COMPUTED_VALUE"""),2036.0)</f>
        <v>2036</v>
      </c>
      <c r="B2037" s="2" t="str">
        <f>IFERROR(__xludf.DUMMYFUNCTION("""COMPUTED_VALUE"""),"Leticia Jagger")</f>
        <v>Leticia Jagger</v>
      </c>
      <c r="C2037" s="2"/>
      <c r="D2037" s="4">
        <f>IFERROR(__xludf.DUMMYFUNCTION("""COMPUTED_VALUE"""),46.0)</f>
        <v>46</v>
      </c>
      <c r="E2037" s="4">
        <f>IFERROR(__xludf.DUMMYFUNCTION("""COMPUTED_VALUE"""),87.0)</f>
        <v>87</v>
      </c>
      <c r="F2037" s="4">
        <f>IFERROR(__xludf.DUMMYFUNCTION("""COMPUTED_VALUE"""),8.0)</f>
        <v>8</v>
      </c>
      <c r="G2037" s="4">
        <f>IFERROR(__xludf.DUMMYFUNCTION("""COMPUTED_VALUE"""),950.0)</f>
        <v>950</v>
      </c>
      <c r="H2037" s="5">
        <f>IFERROR(__xludf.DUMMYFUNCTION("""COMPUTED_VALUE"""),2454.04)</f>
        <v>2454.04</v>
      </c>
      <c r="I2037" s="5">
        <f>IFERROR(__xludf.DUMMYFUNCTION("""COMPUTED_VALUE"""),6733.9)</f>
        <v>6733.9</v>
      </c>
      <c r="J2037" s="5">
        <f>IFERROR(__xludf.DUMMYFUNCTION("""COMPUTED_VALUE"""),3899.43)</f>
        <v>3899.43</v>
      </c>
      <c r="K2037" s="5">
        <f>IFERROR(__xludf.DUMMYFUNCTION("""COMPUTED_VALUE"""),3558.2)</f>
        <v>3558.2</v>
      </c>
      <c r="L2037" s="4">
        <f>IFERROR(__xludf.DUMMYFUNCTION("""COMPUTED_VALUE"""),14.0)</f>
        <v>14</v>
      </c>
      <c r="M2037" s="4">
        <f>IFERROR(__xludf.DUMMYFUNCTION("""COMPUTED_VALUE"""),11.0)</f>
        <v>11</v>
      </c>
      <c r="N2037" s="2" t="b">
        <f>IFERROR(__xludf.DUMMYFUNCTION("""COMPUTED_VALUE"""),TRUE)</f>
        <v>1</v>
      </c>
    </row>
    <row r="2038">
      <c r="A2038" s="2">
        <f>IFERROR(__xludf.DUMMYFUNCTION("""COMPUTED_VALUE"""),2037.0)</f>
        <v>2037</v>
      </c>
      <c r="B2038" s="2" t="str">
        <f>IFERROR(__xludf.DUMMYFUNCTION("""COMPUTED_VALUE"""),"Nicolai Womersley")</f>
        <v>Nicolai Womersley</v>
      </c>
      <c r="C2038" s="2"/>
      <c r="D2038" s="4">
        <f>IFERROR(__xludf.DUMMYFUNCTION("""COMPUTED_VALUE"""),24.0)</f>
        <v>24</v>
      </c>
      <c r="E2038" s="4">
        <f>IFERROR(__xludf.DUMMYFUNCTION("""COMPUTED_VALUE"""),44.0)</f>
        <v>44</v>
      </c>
      <c r="F2038" s="4">
        <f>IFERROR(__xludf.DUMMYFUNCTION("""COMPUTED_VALUE"""),5.0)</f>
        <v>5</v>
      </c>
      <c r="G2038" s="4">
        <f>IFERROR(__xludf.DUMMYFUNCTION("""COMPUTED_VALUE"""),1392.0)</f>
        <v>1392</v>
      </c>
      <c r="H2038" s="5">
        <f>IFERROR(__xludf.DUMMYFUNCTION("""COMPUTED_VALUE"""),3904.91)</f>
        <v>3904.91</v>
      </c>
      <c r="I2038" s="5">
        <f>IFERROR(__xludf.DUMMYFUNCTION("""COMPUTED_VALUE"""),822.88)</f>
        <v>822.88</v>
      </c>
      <c r="J2038" s="5">
        <f>IFERROR(__xludf.DUMMYFUNCTION("""COMPUTED_VALUE"""),826.2)</f>
        <v>826.2</v>
      </c>
      <c r="K2038" s="5">
        <f>IFERROR(__xludf.DUMMYFUNCTION("""COMPUTED_VALUE"""),3015.2)</f>
        <v>3015.2</v>
      </c>
      <c r="L2038" s="4">
        <f>IFERROR(__xludf.DUMMYFUNCTION("""COMPUTED_VALUE"""),10.0)</f>
        <v>10</v>
      </c>
      <c r="M2038" s="4">
        <f>IFERROR(__xludf.DUMMYFUNCTION("""COMPUTED_VALUE"""),53.0)</f>
        <v>53</v>
      </c>
      <c r="N2038" s="2" t="b">
        <f>IFERROR(__xludf.DUMMYFUNCTION("""COMPUTED_VALUE"""),TRUE)</f>
        <v>1</v>
      </c>
    </row>
    <row r="2039">
      <c r="A2039" s="2">
        <f>IFERROR(__xludf.DUMMYFUNCTION("""COMPUTED_VALUE"""),2038.0)</f>
        <v>2038</v>
      </c>
      <c r="B2039" s="2" t="str">
        <f>IFERROR(__xludf.DUMMYFUNCTION("""COMPUTED_VALUE"""),"Thalia Comiskey")</f>
        <v>Thalia Comiskey</v>
      </c>
      <c r="C2039" s="2" t="str">
        <f>IFERROR(__xludf.DUMMYFUNCTION("""COMPUTED_VALUE"""),"tcomiskey12@ehow.com")</f>
        <v>tcomiskey12@ehow.com</v>
      </c>
      <c r="D2039" s="4">
        <f>IFERROR(__xludf.DUMMYFUNCTION("""COMPUTED_VALUE"""),106.0)</f>
        <v>106</v>
      </c>
      <c r="E2039" s="4">
        <f>IFERROR(__xludf.DUMMYFUNCTION("""COMPUTED_VALUE"""),61.0)</f>
        <v>61</v>
      </c>
      <c r="F2039" s="4">
        <f>IFERROR(__xludf.DUMMYFUNCTION("""COMPUTED_VALUE"""),1.0)</f>
        <v>1</v>
      </c>
      <c r="G2039" s="4">
        <f>IFERROR(__xludf.DUMMYFUNCTION("""COMPUTED_VALUE"""),749.0)</f>
        <v>749</v>
      </c>
      <c r="H2039" s="5">
        <f>IFERROR(__xludf.DUMMYFUNCTION("""COMPUTED_VALUE"""),2363.97)</f>
        <v>2363.97</v>
      </c>
      <c r="I2039" s="5">
        <f>IFERROR(__xludf.DUMMYFUNCTION("""COMPUTED_VALUE"""),7389.27)</f>
        <v>7389.27</v>
      </c>
      <c r="J2039" s="5">
        <f>IFERROR(__xludf.DUMMYFUNCTION("""COMPUTED_VALUE"""),6724.06)</f>
        <v>6724.06</v>
      </c>
      <c r="K2039" s="5">
        <f>IFERROR(__xludf.DUMMYFUNCTION("""COMPUTED_VALUE"""),9070.18)</f>
        <v>9070.18</v>
      </c>
      <c r="L2039" s="4">
        <f>IFERROR(__xludf.DUMMYFUNCTION("""COMPUTED_VALUE"""),19.0)</f>
        <v>19</v>
      </c>
      <c r="M2039" s="4">
        <f>IFERROR(__xludf.DUMMYFUNCTION("""COMPUTED_VALUE"""),65.0)</f>
        <v>65</v>
      </c>
      <c r="N2039" s="2" t="b">
        <f>IFERROR(__xludf.DUMMYFUNCTION("""COMPUTED_VALUE"""),TRUE)</f>
        <v>1</v>
      </c>
    </row>
    <row r="2040">
      <c r="A2040" s="2">
        <f>IFERROR(__xludf.DUMMYFUNCTION("""COMPUTED_VALUE"""),2039.0)</f>
        <v>2039</v>
      </c>
      <c r="B2040" s="2" t="str">
        <f>IFERROR(__xludf.DUMMYFUNCTION("""COMPUTED_VALUE"""),"Levy Gimber")</f>
        <v>Levy Gimber</v>
      </c>
      <c r="C2040" s="2" t="str">
        <f>IFERROR(__xludf.DUMMYFUNCTION("""COMPUTED_VALUE"""),"lgimber13@barnesandnoble.com")</f>
        <v>lgimber13@barnesandnoble.com</v>
      </c>
      <c r="D2040" s="4">
        <f>IFERROR(__xludf.DUMMYFUNCTION("""COMPUTED_VALUE"""),12.0)</f>
        <v>12</v>
      </c>
      <c r="E2040" s="4">
        <f>IFERROR(__xludf.DUMMYFUNCTION("""COMPUTED_VALUE"""),43.0)</f>
        <v>43</v>
      </c>
      <c r="F2040" s="4">
        <f>IFERROR(__xludf.DUMMYFUNCTION("""COMPUTED_VALUE"""),11.0)</f>
        <v>11</v>
      </c>
      <c r="G2040" s="4">
        <f>IFERROR(__xludf.DUMMYFUNCTION("""COMPUTED_VALUE"""),738.0)</f>
        <v>738</v>
      </c>
      <c r="H2040" s="5">
        <f>IFERROR(__xludf.DUMMYFUNCTION("""COMPUTED_VALUE"""),7054.75)</f>
        <v>7054.75</v>
      </c>
      <c r="I2040" s="5">
        <f>IFERROR(__xludf.DUMMYFUNCTION("""COMPUTED_VALUE"""),4550.03)</f>
        <v>4550.03</v>
      </c>
      <c r="J2040" s="5">
        <f>IFERROR(__xludf.DUMMYFUNCTION("""COMPUTED_VALUE"""),415.17)</f>
        <v>415.17</v>
      </c>
      <c r="K2040" s="5">
        <f>IFERROR(__xludf.DUMMYFUNCTION("""COMPUTED_VALUE"""),2237.89)</f>
        <v>2237.89</v>
      </c>
      <c r="L2040" s="4">
        <f>IFERROR(__xludf.DUMMYFUNCTION("""COMPUTED_VALUE"""),12.0)</f>
        <v>12</v>
      </c>
      <c r="M2040" s="4">
        <f>IFERROR(__xludf.DUMMYFUNCTION("""COMPUTED_VALUE"""),32.0)</f>
        <v>32</v>
      </c>
      <c r="N2040" s="2" t="b">
        <f>IFERROR(__xludf.DUMMYFUNCTION("""COMPUTED_VALUE"""),TRUE)</f>
        <v>1</v>
      </c>
    </row>
    <row r="2041">
      <c r="A2041" s="2">
        <f>IFERROR(__xludf.DUMMYFUNCTION("""COMPUTED_VALUE"""),2040.0)</f>
        <v>2040</v>
      </c>
      <c r="B2041" s="2" t="str">
        <f>IFERROR(__xludf.DUMMYFUNCTION("""COMPUTED_VALUE"""),"Althea Tween")</f>
        <v>Althea Tween</v>
      </c>
      <c r="C2041" s="2" t="str">
        <f>IFERROR(__xludf.DUMMYFUNCTION("""COMPUTED_VALUE"""),"atween14@ifeng.com")</f>
        <v>atween14@ifeng.com</v>
      </c>
      <c r="D2041" s="4">
        <f>IFERROR(__xludf.DUMMYFUNCTION("""COMPUTED_VALUE"""),140.0)</f>
        <v>140</v>
      </c>
      <c r="E2041" s="4">
        <f>IFERROR(__xludf.DUMMYFUNCTION("""COMPUTED_VALUE"""),89.0)</f>
        <v>89</v>
      </c>
      <c r="F2041" s="4">
        <f>IFERROR(__xludf.DUMMYFUNCTION("""COMPUTED_VALUE"""),5.0)</f>
        <v>5</v>
      </c>
      <c r="G2041" s="4">
        <f>IFERROR(__xludf.DUMMYFUNCTION("""COMPUTED_VALUE"""),881.0)</f>
        <v>881</v>
      </c>
      <c r="H2041" s="5">
        <f>IFERROR(__xludf.DUMMYFUNCTION("""COMPUTED_VALUE"""),6096.52)</f>
        <v>6096.52</v>
      </c>
      <c r="I2041" s="5">
        <f>IFERROR(__xludf.DUMMYFUNCTION("""COMPUTED_VALUE"""),2143.94)</f>
        <v>2143.94</v>
      </c>
      <c r="J2041" s="5">
        <f>IFERROR(__xludf.DUMMYFUNCTION("""COMPUTED_VALUE"""),6146.0)</f>
        <v>6146</v>
      </c>
      <c r="K2041" s="5">
        <f>IFERROR(__xludf.DUMMYFUNCTION("""COMPUTED_VALUE"""),7319.19)</f>
        <v>7319.19</v>
      </c>
      <c r="L2041" s="4">
        <f>IFERROR(__xludf.DUMMYFUNCTION("""COMPUTED_VALUE"""),7.0)</f>
        <v>7</v>
      </c>
      <c r="M2041" s="4">
        <f>IFERROR(__xludf.DUMMYFUNCTION("""COMPUTED_VALUE"""),27.0)</f>
        <v>27</v>
      </c>
      <c r="N2041" s="2" t="b">
        <f>IFERROR(__xludf.DUMMYFUNCTION("""COMPUTED_VALUE"""),TRUE)</f>
        <v>1</v>
      </c>
    </row>
    <row r="2042">
      <c r="A2042" s="2">
        <f>IFERROR(__xludf.DUMMYFUNCTION("""COMPUTED_VALUE"""),2041.0)</f>
        <v>2041</v>
      </c>
      <c r="B2042" s="2" t="str">
        <f>IFERROR(__xludf.DUMMYFUNCTION("""COMPUTED_VALUE"""),"Jocko Willimott")</f>
        <v>Jocko Willimott</v>
      </c>
      <c r="C2042" s="2"/>
      <c r="D2042" s="4">
        <f>IFERROR(__xludf.DUMMYFUNCTION("""COMPUTED_VALUE"""),99.0)</f>
        <v>99</v>
      </c>
      <c r="E2042" s="4">
        <f>IFERROR(__xludf.DUMMYFUNCTION("""COMPUTED_VALUE"""),35.0)</f>
        <v>35</v>
      </c>
      <c r="F2042" s="4">
        <f>IFERROR(__xludf.DUMMYFUNCTION("""COMPUTED_VALUE"""),9.0)</f>
        <v>9</v>
      </c>
      <c r="G2042" s="4">
        <f>IFERROR(__xludf.DUMMYFUNCTION("""COMPUTED_VALUE"""),1523.0)</f>
        <v>1523</v>
      </c>
      <c r="H2042" s="5">
        <f>IFERROR(__xludf.DUMMYFUNCTION("""COMPUTED_VALUE"""),8278.19)</f>
        <v>8278.19</v>
      </c>
      <c r="I2042" s="5">
        <f>IFERROR(__xludf.DUMMYFUNCTION("""COMPUTED_VALUE"""),7381.18)</f>
        <v>7381.18</v>
      </c>
      <c r="J2042" s="5">
        <f>IFERROR(__xludf.DUMMYFUNCTION("""COMPUTED_VALUE"""),5955.86)</f>
        <v>5955.86</v>
      </c>
      <c r="K2042" s="5">
        <f>IFERROR(__xludf.DUMMYFUNCTION("""COMPUTED_VALUE"""),5205.2)</f>
        <v>5205.2</v>
      </c>
      <c r="L2042" s="4">
        <f>IFERROR(__xludf.DUMMYFUNCTION("""COMPUTED_VALUE"""),18.0)</f>
        <v>18</v>
      </c>
      <c r="M2042" s="4">
        <f>IFERROR(__xludf.DUMMYFUNCTION("""COMPUTED_VALUE"""),26.0)</f>
        <v>26</v>
      </c>
      <c r="N2042" s="2" t="b">
        <f>IFERROR(__xludf.DUMMYFUNCTION("""COMPUTED_VALUE"""),TRUE)</f>
        <v>1</v>
      </c>
    </row>
    <row r="2043">
      <c r="A2043" s="2">
        <f>IFERROR(__xludf.DUMMYFUNCTION("""COMPUTED_VALUE"""),2042.0)</f>
        <v>2042</v>
      </c>
      <c r="B2043" s="2" t="str">
        <f>IFERROR(__xludf.DUMMYFUNCTION("""COMPUTED_VALUE"""),"Kali Caldera")</f>
        <v>Kali Caldera</v>
      </c>
      <c r="C2043" s="2"/>
      <c r="D2043" s="4">
        <f>IFERROR(__xludf.DUMMYFUNCTION("""COMPUTED_VALUE"""),41.0)</f>
        <v>41</v>
      </c>
      <c r="E2043" s="4">
        <f>IFERROR(__xludf.DUMMYFUNCTION("""COMPUTED_VALUE"""),4.0)</f>
        <v>4</v>
      </c>
      <c r="F2043" s="4">
        <f>IFERROR(__xludf.DUMMYFUNCTION("""COMPUTED_VALUE"""),10.0)</f>
        <v>10</v>
      </c>
      <c r="G2043" s="4">
        <f>IFERROR(__xludf.DUMMYFUNCTION("""COMPUTED_VALUE"""),1300.0)</f>
        <v>1300</v>
      </c>
      <c r="H2043" s="5">
        <f>IFERROR(__xludf.DUMMYFUNCTION("""COMPUTED_VALUE"""),6035.1)</f>
        <v>6035.1</v>
      </c>
      <c r="I2043" s="5">
        <f>IFERROR(__xludf.DUMMYFUNCTION("""COMPUTED_VALUE"""),6238.58)</f>
        <v>6238.58</v>
      </c>
      <c r="J2043" s="5">
        <f>IFERROR(__xludf.DUMMYFUNCTION("""COMPUTED_VALUE"""),5553.97)</f>
        <v>5553.97</v>
      </c>
      <c r="K2043" s="5">
        <f>IFERROR(__xludf.DUMMYFUNCTION("""COMPUTED_VALUE"""),3909.64)</f>
        <v>3909.64</v>
      </c>
      <c r="L2043" s="4">
        <f>IFERROR(__xludf.DUMMYFUNCTION("""COMPUTED_VALUE"""),20.0)</f>
        <v>20</v>
      </c>
      <c r="M2043" s="4">
        <f>IFERROR(__xludf.DUMMYFUNCTION("""COMPUTED_VALUE"""),34.0)</f>
        <v>34</v>
      </c>
      <c r="N2043" s="2" t="b">
        <f>IFERROR(__xludf.DUMMYFUNCTION("""COMPUTED_VALUE"""),TRUE)</f>
        <v>1</v>
      </c>
    </row>
    <row r="2044">
      <c r="A2044" s="2">
        <f>IFERROR(__xludf.DUMMYFUNCTION("""COMPUTED_VALUE"""),2043.0)</f>
        <v>2043</v>
      </c>
      <c r="B2044" s="2" t="str">
        <f>IFERROR(__xludf.DUMMYFUNCTION("""COMPUTED_VALUE"""),"Arlan Spaight")</f>
        <v>Arlan Spaight</v>
      </c>
      <c r="C2044" s="2"/>
      <c r="D2044" s="4">
        <f>IFERROR(__xludf.DUMMYFUNCTION("""COMPUTED_VALUE"""),21.0)</f>
        <v>21</v>
      </c>
      <c r="E2044" s="4">
        <f>IFERROR(__xludf.DUMMYFUNCTION("""COMPUTED_VALUE"""),96.0)</f>
        <v>96</v>
      </c>
      <c r="F2044" s="4">
        <f>IFERROR(__xludf.DUMMYFUNCTION("""COMPUTED_VALUE"""),5.0)</f>
        <v>5</v>
      </c>
      <c r="G2044" s="4">
        <f>IFERROR(__xludf.DUMMYFUNCTION("""COMPUTED_VALUE"""),104.0)</f>
        <v>104</v>
      </c>
      <c r="H2044" s="5">
        <f>IFERROR(__xludf.DUMMYFUNCTION("""COMPUTED_VALUE"""),7947.83)</f>
        <v>7947.83</v>
      </c>
      <c r="I2044" s="5">
        <f>IFERROR(__xludf.DUMMYFUNCTION("""COMPUTED_VALUE"""),4108.46)</f>
        <v>4108.46</v>
      </c>
      <c r="J2044" s="5">
        <f>IFERROR(__xludf.DUMMYFUNCTION("""COMPUTED_VALUE"""),6572.4)</f>
        <v>6572.4</v>
      </c>
      <c r="K2044" s="5">
        <f>IFERROR(__xludf.DUMMYFUNCTION("""COMPUTED_VALUE"""),5028.19)</f>
        <v>5028.19</v>
      </c>
      <c r="L2044" s="4">
        <f>IFERROR(__xludf.DUMMYFUNCTION("""COMPUTED_VALUE"""),7.0)</f>
        <v>7</v>
      </c>
      <c r="M2044" s="4">
        <f>IFERROR(__xludf.DUMMYFUNCTION("""COMPUTED_VALUE"""),55.0)</f>
        <v>55</v>
      </c>
      <c r="N2044" s="2" t="b">
        <f>IFERROR(__xludf.DUMMYFUNCTION("""COMPUTED_VALUE"""),FALSE)</f>
        <v>0</v>
      </c>
    </row>
    <row r="2045">
      <c r="A2045" s="2">
        <f>IFERROR(__xludf.DUMMYFUNCTION("""COMPUTED_VALUE"""),2044.0)</f>
        <v>2044</v>
      </c>
      <c r="B2045" s="2" t="str">
        <f>IFERROR(__xludf.DUMMYFUNCTION("""COMPUTED_VALUE"""),"Emiline Assender")</f>
        <v>Emiline Assender</v>
      </c>
      <c r="C2045" s="2" t="str">
        <f>IFERROR(__xludf.DUMMYFUNCTION("""COMPUTED_VALUE"""),"eassender18@hatena.ne.jp")</f>
        <v>eassender18@hatena.ne.jp</v>
      </c>
      <c r="D2045" s="4">
        <f>IFERROR(__xludf.DUMMYFUNCTION("""COMPUTED_VALUE"""),131.0)</f>
        <v>131</v>
      </c>
      <c r="E2045" s="4">
        <f>IFERROR(__xludf.DUMMYFUNCTION("""COMPUTED_VALUE"""),30.0)</f>
        <v>30</v>
      </c>
      <c r="F2045" s="4">
        <f>IFERROR(__xludf.DUMMYFUNCTION("""COMPUTED_VALUE"""),5.0)</f>
        <v>5</v>
      </c>
      <c r="G2045" s="4">
        <f>IFERROR(__xludf.DUMMYFUNCTION("""COMPUTED_VALUE"""),455.0)</f>
        <v>455</v>
      </c>
      <c r="H2045" s="5">
        <f>IFERROR(__xludf.DUMMYFUNCTION("""COMPUTED_VALUE"""),3062.44)</f>
        <v>3062.44</v>
      </c>
      <c r="I2045" s="5">
        <f>IFERROR(__xludf.DUMMYFUNCTION("""COMPUTED_VALUE"""),8218.01)</f>
        <v>8218.01</v>
      </c>
      <c r="J2045" s="5">
        <f>IFERROR(__xludf.DUMMYFUNCTION("""COMPUTED_VALUE"""),6787.58)</f>
        <v>6787.58</v>
      </c>
      <c r="K2045" s="5">
        <f>IFERROR(__xludf.DUMMYFUNCTION("""COMPUTED_VALUE"""),7879.09)</f>
        <v>7879.09</v>
      </c>
      <c r="L2045" s="4">
        <f>IFERROR(__xludf.DUMMYFUNCTION("""COMPUTED_VALUE"""),19.0)</f>
        <v>19</v>
      </c>
      <c r="M2045" s="4">
        <f>IFERROR(__xludf.DUMMYFUNCTION("""COMPUTED_VALUE"""),18.0)</f>
        <v>18</v>
      </c>
      <c r="N2045" s="2" t="b">
        <f>IFERROR(__xludf.DUMMYFUNCTION("""COMPUTED_VALUE"""),FALSE)</f>
        <v>0</v>
      </c>
    </row>
    <row r="2046">
      <c r="A2046" s="2">
        <f>IFERROR(__xludf.DUMMYFUNCTION("""COMPUTED_VALUE"""),2045.0)</f>
        <v>2045</v>
      </c>
      <c r="B2046" s="2" t="str">
        <f>IFERROR(__xludf.DUMMYFUNCTION("""COMPUTED_VALUE"""),"Brandice Willshire")</f>
        <v>Brandice Willshire</v>
      </c>
      <c r="C2046" s="2" t="str">
        <f>IFERROR(__xludf.DUMMYFUNCTION("""COMPUTED_VALUE"""),"bwillshire19@irs.gov")</f>
        <v>bwillshire19@irs.gov</v>
      </c>
      <c r="D2046" s="4">
        <f>IFERROR(__xludf.DUMMYFUNCTION("""COMPUTED_VALUE"""),30.0)</f>
        <v>30</v>
      </c>
      <c r="E2046" s="4">
        <f>IFERROR(__xludf.DUMMYFUNCTION("""COMPUTED_VALUE"""),72.0)</f>
        <v>72</v>
      </c>
      <c r="F2046" s="4">
        <f>IFERROR(__xludf.DUMMYFUNCTION("""COMPUTED_VALUE"""),5.0)</f>
        <v>5</v>
      </c>
      <c r="G2046" s="4">
        <f>IFERROR(__xludf.DUMMYFUNCTION("""COMPUTED_VALUE"""),1523.0)</f>
        <v>1523</v>
      </c>
      <c r="H2046" s="5">
        <f>IFERROR(__xludf.DUMMYFUNCTION("""COMPUTED_VALUE"""),9444.74)</f>
        <v>9444.74</v>
      </c>
      <c r="I2046" s="5">
        <f>IFERROR(__xludf.DUMMYFUNCTION("""COMPUTED_VALUE"""),2813.57)</f>
        <v>2813.57</v>
      </c>
      <c r="J2046" s="5">
        <f>IFERROR(__xludf.DUMMYFUNCTION("""COMPUTED_VALUE"""),4297.16)</f>
        <v>4297.16</v>
      </c>
      <c r="K2046" s="5">
        <f>IFERROR(__xludf.DUMMYFUNCTION("""COMPUTED_VALUE"""),9258.97)</f>
        <v>9258.97</v>
      </c>
      <c r="L2046" s="4">
        <f>IFERROR(__xludf.DUMMYFUNCTION("""COMPUTED_VALUE"""),20.0)</f>
        <v>20</v>
      </c>
      <c r="M2046" s="4">
        <f>IFERROR(__xludf.DUMMYFUNCTION("""COMPUTED_VALUE"""),12.0)</f>
        <v>12</v>
      </c>
      <c r="N2046" s="2" t="b">
        <f>IFERROR(__xludf.DUMMYFUNCTION("""COMPUTED_VALUE"""),TRUE)</f>
        <v>1</v>
      </c>
    </row>
    <row r="2047">
      <c r="A2047" s="2">
        <f>IFERROR(__xludf.DUMMYFUNCTION("""COMPUTED_VALUE"""),2046.0)</f>
        <v>2046</v>
      </c>
      <c r="B2047" s="2" t="str">
        <f>IFERROR(__xludf.DUMMYFUNCTION("""COMPUTED_VALUE"""),"Margarete Perfect")</f>
        <v>Margarete Perfect</v>
      </c>
      <c r="C2047" s="2"/>
      <c r="D2047" s="4">
        <f>IFERROR(__xludf.DUMMYFUNCTION("""COMPUTED_VALUE"""),141.0)</f>
        <v>141</v>
      </c>
      <c r="E2047" s="4">
        <f>IFERROR(__xludf.DUMMYFUNCTION("""COMPUTED_VALUE"""),61.0)</f>
        <v>61</v>
      </c>
      <c r="F2047" s="4">
        <f>IFERROR(__xludf.DUMMYFUNCTION("""COMPUTED_VALUE"""),8.0)</f>
        <v>8</v>
      </c>
      <c r="G2047" s="4">
        <f>IFERROR(__xludf.DUMMYFUNCTION("""COMPUTED_VALUE"""),1030.0)</f>
        <v>1030</v>
      </c>
      <c r="H2047" s="5">
        <f>IFERROR(__xludf.DUMMYFUNCTION("""COMPUTED_VALUE"""),5223.43)</f>
        <v>5223.43</v>
      </c>
      <c r="I2047" s="5">
        <f>IFERROR(__xludf.DUMMYFUNCTION("""COMPUTED_VALUE"""),2433.46)</f>
        <v>2433.46</v>
      </c>
      <c r="J2047" s="5">
        <f>IFERROR(__xludf.DUMMYFUNCTION("""COMPUTED_VALUE"""),2672.29)</f>
        <v>2672.29</v>
      </c>
      <c r="K2047" s="5">
        <f>IFERROR(__xludf.DUMMYFUNCTION("""COMPUTED_VALUE"""),1377.82)</f>
        <v>1377.82</v>
      </c>
      <c r="L2047" s="4">
        <f>IFERROR(__xludf.DUMMYFUNCTION("""COMPUTED_VALUE"""),8.0)</f>
        <v>8</v>
      </c>
      <c r="M2047" s="4">
        <f>IFERROR(__xludf.DUMMYFUNCTION("""COMPUTED_VALUE"""),91.0)</f>
        <v>91</v>
      </c>
      <c r="N2047" s="2" t="b">
        <f>IFERROR(__xludf.DUMMYFUNCTION("""COMPUTED_VALUE"""),TRUE)</f>
        <v>1</v>
      </c>
    </row>
    <row r="2048">
      <c r="A2048" s="2">
        <f>IFERROR(__xludf.DUMMYFUNCTION("""COMPUTED_VALUE"""),2047.0)</f>
        <v>2047</v>
      </c>
      <c r="B2048" s="2" t="str">
        <f>IFERROR(__xludf.DUMMYFUNCTION("""COMPUTED_VALUE"""),"Renae Wagner")</f>
        <v>Renae Wagner</v>
      </c>
      <c r="C2048" s="2" t="str">
        <f>IFERROR(__xludf.DUMMYFUNCTION("""COMPUTED_VALUE"""),"rwagner1b@smugmug.com")</f>
        <v>rwagner1b@smugmug.com</v>
      </c>
      <c r="D2048" s="4">
        <f>IFERROR(__xludf.DUMMYFUNCTION("""COMPUTED_VALUE"""),100.0)</f>
        <v>100</v>
      </c>
      <c r="E2048" s="4">
        <f>IFERROR(__xludf.DUMMYFUNCTION("""COMPUTED_VALUE"""),65.0)</f>
        <v>65</v>
      </c>
      <c r="F2048" s="4">
        <f>IFERROR(__xludf.DUMMYFUNCTION("""COMPUTED_VALUE"""),3.0)</f>
        <v>3</v>
      </c>
      <c r="G2048" s="4">
        <f>IFERROR(__xludf.DUMMYFUNCTION("""COMPUTED_VALUE"""),120.0)</f>
        <v>120</v>
      </c>
      <c r="H2048" s="5">
        <f>IFERROR(__xludf.DUMMYFUNCTION("""COMPUTED_VALUE"""),8501.14)</f>
        <v>8501.14</v>
      </c>
      <c r="I2048" s="5">
        <f>IFERROR(__xludf.DUMMYFUNCTION("""COMPUTED_VALUE"""),519.46)</f>
        <v>519.46</v>
      </c>
      <c r="J2048" s="5">
        <f>IFERROR(__xludf.DUMMYFUNCTION("""COMPUTED_VALUE"""),3247.16)</f>
        <v>3247.16</v>
      </c>
      <c r="K2048" s="5">
        <f>IFERROR(__xludf.DUMMYFUNCTION("""COMPUTED_VALUE"""),1158.47)</f>
        <v>1158.47</v>
      </c>
      <c r="L2048" s="4">
        <f>IFERROR(__xludf.DUMMYFUNCTION("""COMPUTED_VALUE"""),18.0)</f>
        <v>18</v>
      </c>
      <c r="M2048" s="4">
        <f>IFERROR(__xludf.DUMMYFUNCTION("""COMPUTED_VALUE"""),63.0)</f>
        <v>63</v>
      </c>
      <c r="N2048" s="2" t="b">
        <f>IFERROR(__xludf.DUMMYFUNCTION("""COMPUTED_VALUE"""),TRUE)</f>
        <v>1</v>
      </c>
    </row>
    <row r="2049">
      <c r="A2049" s="2">
        <f>IFERROR(__xludf.DUMMYFUNCTION("""COMPUTED_VALUE"""),2048.0)</f>
        <v>2048</v>
      </c>
      <c r="B2049" s="2" t="str">
        <f>IFERROR(__xludf.DUMMYFUNCTION("""COMPUTED_VALUE"""),"Dahlia Thunder")</f>
        <v>Dahlia Thunder</v>
      </c>
      <c r="C2049" s="2" t="str">
        <f>IFERROR(__xludf.DUMMYFUNCTION("""COMPUTED_VALUE"""),"dthunder1c@ifeng.com")</f>
        <v>dthunder1c@ifeng.com</v>
      </c>
      <c r="D2049" s="4">
        <f>IFERROR(__xludf.DUMMYFUNCTION("""COMPUTED_VALUE"""),80.0)</f>
        <v>80</v>
      </c>
      <c r="E2049" s="4">
        <f>IFERROR(__xludf.DUMMYFUNCTION("""COMPUTED_VALUE"""),96.0)</f>
        <v>96</v>
      </c>
      <c r="F2049" s="4">
        <f>IFERROR(__xludf.DUMMYFUNCTION("""COMPUTED_VALUE"""),13.0)</f>
        <v>13</v>
      </c>
      <c r="G2049" s="4">
        <f>IFERROR(__xludf.DUMMYFUNCTION("""COMPUTED_VALUE"""),1018.0)</f>
        <v>1018</v>
      </c>
      <c r="H2049" s="5">
        <f>IFERROR(__xludf.DUMMYFUNCTION("""COMPUTED_VALUE"""),3003.67)</f>
        <v>3003.67</v>
      </c>
      <c r="I2049" s="5">
        <f>IFERROR(__xludf.DUMMYFUNCTION("""COMPUTED_VALUE"""),7945.93)</f>
        <v>7945.93</v>
      </c>
      <c r="J2049" s="5">
        <f>IFERROR(__xludf.DUMMYFUNCTION("""COMPUTED_VALUE"""),5869.9)</f>
        <v>5869.9</v>
      </c>
      <c r="K2049" s="5">
        <f>IFERROR(__xludf.DUMMYFUNCTION("""COMPUTED_VALUE"""),7940.06)</f>
        <v>7940.06</v>
      </c>
      <c r="L2049" s="4">
        <f>IFERROR(__xludf.DUMMYFUNCTION("""COMPUTED_VALUE"""),5.0)</f>
        <v>5</v>
      </c>
      <c r="M2049" s="4">
        <f>IFERROR(__xludf.DUMMYFUNCTION("""COMPUTED_VALUE"""),41.0)</f>
        <v>41</v>
      </c>
      <c r="N2049" s="2" t="b">
        <f>IFERROR(__xludf.DUMMYFUNCTION("""COMPUTED_VALUE"""),FALSE)</f>
        <v>0</v>
      </c>
    </row>
    <row r="2050">
      <c r="A2050" s="2">
        <f>IFERROR(__xludf.DUMMYFUNCTION("""COMPUTED_VALUE"""),2049.0)</f>
        <v>2049</v>
      </c>
      <c r="B2050" s="2" t="str">
        <f>IFERROR(__xludf.DUMMYFUNCTION("""COMPUTED_VALUE"""),"Mack Houseley")</f>
        <v>Mack Houseley</v>
      </c>
      <c r="C2050" s="2" t="str">
        <f>IFERROR(__xludf.DUMMYFUNCTION("""COMPUTED_VALUE"""),"mhouseley1d@typepad.com")</f>
        <v>mhouseley1d@typepad.com</v>
      </c>
      <c r="D2050" s="4">
        <f>IFERROR(__xludf.DUMMYFUNCTION("""COMPUTED_VALUE"""),21.0)</f>
        <v>21</v>
      </c>
      <c r="E2050" s="4">
        <f>IFERROR(__xludf.DUMMYFUNCTION("""COMPUTED_VALUE"""),114.0)</f>
        <v>114</v>
      </c>
      <c r="F2050" s="4">
        <f>IFERROR(__xludf.DUMMYFUNCTION("""COMPUTED_VALUE"""),5.0)</f>
        <v>5</v>
      </c>
      <c r="G2050" s="4">
        <f>IFERROR(__xludf.DUMMYFUNCTION("""COMPUTED_VALUE"""),41.0)</f>
        <v>41</v>
      </c>
      <c r="H2050" s="5">
        <f>IFERROR(__xludf.DUMMYFUNCTION("""COMPUTED_VALUE"""),1774.76)</f>
        <v>1774.76</v>
      </c>
      <c r="I2050" s="5">
        <f>IFERROR(__xludf.DUMMYFUNCTION("""COMPUTED_VALUE"""),788.92)</f>
        <v>788.92</v>
      </c>
      <c r="J2050" s="5">
        <f>IFERROR(__xludf.DUMMYFUNCTION("""COMPUTED_VALUE"""),3139.83)</f>
        <v>3139.83</v>
      </c>
      <c r="K2050" s="5">
        <f>IFERROR(__xludf.DUMMYFUNCTION("""COMPUTED_VALUE"""),2340.27)</f>
        <v>2340.27</v>
      </c>
      <c r="L2050" s="4">
        <f>IFERROR(__xludf.DUMMYFUNCTION("""COMPUTED_VALUE"""),3.0)</f>
        <v>3</v>
      </c>
      <c r="M2050" s="4">
        <f>IFERROR(__xludf.DUMMYFUNCTION("""COMPUTED_VALUE"""),95.0)</f>
        <v>95</v>
      </c>
      <c r="N2050" s="2" t="b">
        <f>IFERROR(__xludf.DUMMYFUNCTION("""COMPUTED_VALUE"""),TRUE)</f>
        <v>1</v>
      </c>
    </row>
    <row r="2051">
      <c r="A2051" s="2">
        <f>IFERROR(__xludf.DUMMYFUNCTION("""COMPUTED_VALUE"""),2050.0)</f>
        <v>2050</v>
      </c>
      <c r="B2051" s="2" t="str">
        <f>IFERROR(__xludf.DUMMYFUNCTION("""COMPUTED_VALUE"""),"Penn Wrettum")</f>
        <v>Penn Wrettum</v>
      </c>
      <c r="C2051" s="2"/>
      <c r="D2051" s="4">
        <f>IFERROR(__xludf.DUMMYFUNCTION("""COMPUTED_VALUE"""),20.0)</f>
        <v>20</v>
      </c>
      <c r="E2051" s="4">
        <f>IFERROR(__xludf.DUMMYFUNCTION("""COMPUTED_VALUE"""),30.0)</f>
        <v>30</v>
      </c>
      <c r="F2051" s="4">
        <f>IFERROR(__xludf.DUMMYFUNCTION("""COMPUTED_VALUE"""),2.0)</f>
        <v>2</v>
      </c>
      <c r="G2051" s="4">
        <f>IFERROR(__xludf.DUMMYFUNCTION("""COMPUTED_VALUE"""),397.0)</f>
        <v>397</v>
      </c>
      <c r="H2051" s="5">
        <f>IFERROR(__xludf.DUMMYFUNCTION("""COMPUTED_VALUE"""),4941.4)</f>
        <v>4941.4</v>
      </c>
      <c r="I2051" s="5">
        <f>IFERROR(__xludf.DUMMYFUNCTION("""COMPUTED_VALUE"""),2376.2)</f>
        <v>2376.2</v>
      </c>
      <c r="J2051" s="5">
        <f>IFERROR(__xludf.DUMMYFUNCTION("""COMPUTED_VALUE"""),3724.75)</f>
        <v>3724.75</v>
      </c>
      <c r="K2051" s="5">
        <f>IFERROR(__xludf.DUMMYFUNCTION("""COMPUTED_VALUE"""),4221.56)</f>
        <v>4221.56</v>
      </c>
      <c r="L2051" s="4">
        <f>IFERROR(__xludf.DUMMYFUNCTION("""COMPUTED_VALUE"""),7.0)</f>
        <v>7</v>
      </c>
      <c r="M2051" s="4">
        <f>IFERROR(__xludf.DUMMYFUNCTION("""COMPUTED_VALUE"""),83.0)</f>
        <v>83</v>
      </c>
      <c r="N2051" s="2" t="b">
        <f>IFERROR(__xludf.DUMMYFUNCTION("""COMPUTED_VALUE"""),TRUE)</f>
        <v>1</v>
      </c>
    </row>
    <row r="2052">
      <c r="A2052" s="2">
        <f>IFERROR(__xludf.DUMMYFUNCTION("""COMPUTED_VALUE"""),2051.0)</f>
        <v>2051</v>
      </c>
      <c r="B2052" s="2" t="str">
        <f>IFERROR(__xludf.DUMMYFUNCTION("""COMPUTED_VALUE"""),"Urson Stowte")</f>
        <v>Urson Stowte</v>
      </c>
      <c r="C2052" s="2" t="str">
        <f>IFERROR(__xludf.DUMMYFUNCTION("""COMPUTED_VALUE"""),"ustowte1f@tiny.cc")</f>
        <v>ustowte1f@tiny.cc</v>
      </c>
      <c r="D2052" s="4">
        <f>IFERROR(__xludf.DUMMYFUNCTION("""COMPUTED_VALUE"""),70.0)</f>
        <v>70</v>
      </c>
      <c r="E2052" s="4">
        <f>IFERROR(__xludf.DUMMYFUNCTION("""COMPUTED_VALUE"""),54.0)</f>
        <v>54</v>
      </c>
      <c r="F2052" s="4">
        <f>IFERROR(__xludf.DUMMYFUNCTION("""COMPUTED_VALUE"""),12.0)</f>
        <v>12</v>
      </c>
      <c r="G2052" s="4">
        <f>IFERROR(__xludf.DUMMYFUNCTION("""COMPUTED_VALUE"""),384.0)</f>
        <v>384</v>
      </c>
      <c r="H2052" s="5">
        <f>IFERROR(__xludf.DUMMYFUNCTION("""COMPUTED_VALUE"""),54.82)</f>
        <v>54.82</v>
      </c>
      <c r="I2052" s="5">
        <f>IFERROR(__xludf.DUMMYFUNCTION("""COMPUTED_VALUE"""),4721.0)</f>
        <v>4721</v>
      </c>
      <c r="J2052" s="5">
        <f>IFERROR(__xludf.DUMMYFUNCTION("""COMPUTED_VALUE"""),6764.45)</f>
        <v>6764.45</v>
      </c>
      <c r="K2052" s="5">
        <f>IFERROR(__xludf.DUMMYFUNCTION("""COMPUTED_VALUE"""),1018.49)</f>
        <v>1018.49</v>
      </c>
      <c r="L2052" s="4">
        <f>IFERROR(__xludf.DUMMYFUNCTION("""COMPUTED_VALUE"""),8.0)</f>
        <v>8</v>
      </c>
      <c r="M2052" s="4">
        <f>IFERROR(__xludf.DUMMYFUNCTION("""COMPUTED_VALUE"""),87.0)</f>
        <v>87</v>
      </c>
      <c r="N2052" s="2" t="b">
        <f>IFERROR(__xludf.DUMMYFUNCTION("""COMPUTED_VALUE"""),FALSE)</f>
        <v>0</v>
      </c>
    </row>
    <row r="2053">
      <c r="A2053" s="2">
        <f>IFERROR(__xludf.DUMMYFUNCTION("""COMPUTED_VALUE"""),2052.0)</f>
        <v>2052</v>
      </c>
      <c r="B2053" s="2" t="str">
        <f>IFERROR(__xludf.DUMMYFUNCTION("""COMPUTED_VALUE"""),"Wakefield Sayles")</f>
        <v>Wakefield Sayles</v>
      </c>
      <c r="C2053" s="2" t="str">
        <f>IFERROR(__xludf.DUMMYFUNCTION("""COMPUTED_VALUE"""),"wsayles1g@yolasite.com")</f>
        <v>wsayles1g@yolasite.com</v>
      </c>
      <c r="D2053" s="4">
        <f>IFERROR(__xludf.DUMMYFUNCTION("""COMPUTED_VALUE"""),59.0)</f>
        <v>59</v>
      </c>
      <c r="E2053" s="4">
        <f>IFERROR(__xludf.DUMMYFUNCTION("""COMPUTED_VALUE"""),8.0)</f>
        <v>8</v>
      </c>
      <c r="F2053" s="4">
        <f>IFERROR(__xludf.DUMMYFUNCTION("""COMPUTED_VALUE"""),1.0)</f>
        <v>1</v>
      </c>
      <c r="G2053" s="4">
        <f>IFERROR(__xludf.DUMMYFUNCTION("""COMPUTED_VALUE"""),1394.0)</f>
        <v>1394</v>
      </c>
      <c r="H2053" s="5">
        <f>IFERROR(__xludf.DUMMYFUNCTION("""COMPUTED_VALUE"""),6035.39)</f>
        <v>6035.39</v>
      </c>
      <c r="I2053" s="5">
        <f>IFERROR(__xludf.DUMMYFUNCTION("""COMPUTED_VALUE"""),4868.9)</f>
        <v>4868.9</v>
      </c>
      <c r="J2053" s="5">
        <f>IFERROR(__xludf.DUMMYFUNCTION("""COMPUTED_VALUE"""),1244.7)</f>
        <v>1244.7</v>
      </c>
      <c r="K2053" s="5">
        <f>IFERROR(__xludf.DUMMYFUNCTION("""COMPUTED_VALUE"""),2198.43)</f>
        <v>2198.43</v>
      </c>
      <c r="L2053" s="4">
        <f>IFERROR(__xludf.DUMMYFUNCTION("""COMPUTED_VALUE"""),14.0)</f>
        <v>14</v>
      </c>
      <c r="M2053" s="4">
        <f>IFERROR(__xludf.DUMMYFUNCTION("""COMPUTED_VALUE"""),65.0)</f>
        <v>65</v>
      </c>
      <c r="N2053" s="2" t="b">
        <f>IFERROR(__xludf.DUMMYFUNCTION("""COMPUTED_VALUE"""),FALSE)</f>
        <v>0</v>
      </c>
    </row>
    <row r="2054">
      <c r="A2054" s="2">
        <f>IFERROR(__xludf.DUMMYFUNCTION("""COMPUTED_VALUE"""),2053.0)</f>
        <v>2053</v>
      </c>
      <c r="B2054" s="2" t="str">
        <f>IFERROR(__xludf.DUMMYFUNCTION("""COMPUTED_VALUE"""),"Ned Mellsop")</f>
        <v>Ned Mellsop</v>
      </c>
      <c r="C2054" s="2" t="str">
        <f>IFERROR(__xludf.DUMMYFUNCTION("""COMPUTED_VALUE"""),"nmellsop1h@abc.net.au")</f>
        <v>nmellsop1h@abc.net.au</v>
      </c>
      <c r="D2054" s="4">
        <f>IFERROR(__xludf.DUMMYFUNCTION("""COMPUTED_VALUE"""),39.0)</f>
        <v>39</v>
      </c>
      <c r="E2054" s="4">
        <f>IFERROR(__xludf.DUMMYFUNCTION("""COMPUTED_VALUE"""),11.0)</f>
        <v>11</v>
      </c>
      <c r="F2054" s="4">
        <f>IFERROR(__xludf.DUMMYFUNCTION("""COMPUTED_VALUE"""),11.0)</f>
        <v>11</v>
      </c>
      <c r="G2054" s="4">
        <f>IFERROR(__xludf.DUMMYFUNCTION("""COMPUTED_VALUE"""),968.0)</f>
        <v>968</v>
      </c>
      <c r="H2054" s="5">
        <f>IFERROR(__xludf.DUMMYFUNCTION("""COMPUTED_VALUE"""),5410.91)</f>
        <v>5410.91</v>
      </c>
      <c r="I2054" s="5">
        <f>IFERROR(__xludf.DUMMYFUNCTION("""COMPUTED_VALUE"""),9095.44)</f>
        <v>9095.44</v>
      </c>
      <c r="J2054" s="5">
        <f>IFERROR(__xludf.DUMMYFUNCTION("""COMPUTED_VALUE"""),9240.19)</f>
        <v>9240.19</v>
      </c>
      <c r="K2054" s="5">
        <f>IFERROR(__xludf.DUMMYFUNCTION("""COMPUTED_VALUE"""),2533.26)</f>
        <v>2533.26</v>
      </c>
      <c r="L2054" s="4">
        <f>IFERROR(__xludf.DUMMYFUNCTION("""COMPUTED_VALUE"""),19.0)</f>
        <v>19</v>
      </c>
      <c r="M2054" s="4">
        <f>IFERROR(__xludf.DUMMYFUNCTION("""COMPUTED_VALUE"""),85.0)</f>
        <v>85</v>
      </c>
      <c r="N2054" s="2" t="b">
        <f>IFERROR(__xludf.DUMMYFUNCTION("""COMPUTED_VALUE"""),TRUE)</f>
        <v>1</v>
      </c>
    </row>
    <row r="2055">
      <c r="A2055" s="2">
        <f>IFERROR(__xludf.DUMMYFUNCTION("""COMPUTED_VALUE"""),2054.0)</f>
        <v>2054</v>
      </c>
      <c r="B2055" s="2" t="str">
        <f>IFERROR(__xludf.DUMMYFUNCTION("""COMPUTED_VALUE"""),"Wilton Saffin")</f>
        <v>Wilton Saffin</v>
      </c>
      <c r="C2055" s="2"/>
      <c r="D2055" s="4">
        <f>IFERROR(__xludf.DUMMYFUNCTION("""COMPUTED_VALUE"""),40.0)</f>
        <v>40</v>
      </c>
      <c r="E2055" s="4">
        <f>IFERROR(__xludf.DUMMYFUNCTION("""COMPUTED_VALUE"""),99.0)</f>
        <v>99</v>
      </c>
      <c r="F2055" s="4">
        <f>IFERROR(__xludf.DUMMYFUNCTION("""COMPUTED_VALUE"""),9.0)</f>
        <v>9</v>
      </c>
      <c r="G2055" s="4">
        <f>IFERROR(__xludf.DUMMYFUNCTION("""COMPUTED_VALUE"""),706.0)</f>
        <v>706</v>
      </c>
      <c r="H2055" s="5">
        <f>IFERROR(__xludf.DUMMYFUNCTION("""COMPUTED_VALUE"""),1556.19)</f>
        <v>1556.19</v>
      </c>
      <c r="I2055" s="5">
        <f>IFERROR(__xludf.DUMMYFUNCTION("""COMPUTED_VALUE"""),2642.3)</f>
        <v>2642.3</v>
      </c>
      <c r="J2055" s="5">
        <f>IFERROR(__xludf.DUMMYFUNCTION("""COMPUTED_VALUE"""),1602.69)</f>
        <v>1602.69</v>
      </c>
      <c r="K2055" s="5">
        <f>IFERROR(__xludf.DUMMYFUNCTION("""COMPUTED_VALUE"""),9926.99)</f>
        <v>9926.99</v>
      </c>
      <c r="L2055" s="4">
        <f>IFERROR(__xludf.DUMMYFUNCTION("""COMPUTED_VALUE"""),20.0)</f>
        <v>20</v>
      </c>
      <c r="M2055" s="4">
        <f>IFERROR(__xludf.DUMMYFUNCTION("""COMPUTED_VALUE"""),54.0)</f>
        <v>54</v>
      </c>
      <c r="N2055" s="2" t="b">
        <f>IFERROR(__xludf.DUMMYFUNCTION("""COMPUTED_VALUE"""),FALSE)</f>
        <v>0</v>
      </c>
    </row>
    <row r="2056">
      <c r="A2056" s="2">
        <f>IFERROR(__xludf.DUMMYFUNCTION("""COMPUTED_VALUE"""),2055.0)</f>
        <v>2055</v>
      </c>
      <c r="B2056" s="2" t="str">
        <f>IFERROR(__xludf.DUMMYFUNCTION("""COMPUTED_VALUE"""),"Karmen Studdal")</f>
        <v>Karmen Studdal</v>
      </c>
      <c r="C2056" s="2" t="str">
        <f>IFERROR(__xludf.DUMMYFUNCTION("""COMPUTED_VALUE"""),"kstuddal1j@dot.gov")</f>
        <v>kstuddal1j@dot.gov</v>
      </c>
      <c r="D2056" s="4">
        <f>IFERROR(__xludf.DUMMYFUNCTION("""COMPUTED_VALUE"""),89.0)</f>
        <v>89</v>
      </c>
      <c r="E2056" s="4">
        <f>IFERROR(__xludf.DUMMYFUNCTION("""COMPUTED_VALUE"""),93.0)</f>
        <v>93</v>
      </c>
      <c r="F2056" s="4">
        <f>IFERROR(__xludf.DUMMYFUNCTION("""COMPUTED_VALUE"""),10.0)</f>
        <v>10</v>
      </c>
      <c r="G2056" s="4">
        <f>IFERROR(__xludf.DUMMYFUNCTION("""COMPUTED_VALUE"""),1333.0)</f>
        <v>1333</v>
      </c>
      <c r="H2056" s="5">
        <f>IFERROR(__xludf.DUMMYFUNCTION("""COMPUTED_VALUE"""),8546.55)</f>
        <v>8546.55</v>
      </c>
      <c r="I2056" s="5">
        <f>IFERROR(__xludf.DUMMYFUNCTION("""COMPUTED_VALUE"""),8324.24)</f>
        <v>8324.24</v>
      </c>
      <c r="J2056" s="5">
        <f>IFERROR(__xludf.DUMMYFUNCTION("""COMPUTED_VALUE"""),546.25)</f>
        <v>546.25</v>
      </c>
      <c r="K2056" s="5">
        <f>IFERROR(__xludf.DUMMYFUNCTION("""COMPUTED_VALUE"""),7311.17)</f>
        <v>7311.17</v>
      </c>
      <c r="L2056" s="4">
        <f>IFERROR(__xludf.DUMMYFUNCTION("""COMPUTED_VALUE"""),7.0)</f>
        <v>7</v>
      </c>
      <c r="M2056" s="4">
        <f>IFERROR(__xludf.DUMMYFUNCTION("""COMPUTED_VALUE"""),56.0)</f>
        <v>56</v>
      </c>
      <c r="N2056" s="2" t="b">
        <f>IFERROR(__xludf.DUMMYFUNCTION("""COMPUTED_VALUE"""),TRUE)</f>
        <v>1</v>
      </c>
    </row>
    <row r="2057">
      <c r="A2057" s="2">
        <f>IFERROR(__xludf.DUMMYFUNCTION("""COMPUTED_VALUE"""),2056.0)</f>
        <v>2056</v>
      </c>
      <c r="B2057" s="2" t="str">
        <f>IFERROR(__xludf.DUMMYFUNCTION("""COMPUTED_VALUE"""),"Kelby Eacle")</f>
        <v>Kelby Eacle</v>
      </c>
      <c r="C2057" s="2"/>
      <c r="D2057" s="4">
        <f>IFERROR(__xludf.DUMMYFUNCTION("""COMPUTED_VALUE"""),78.0)</f>
        <v>78</v>
      </c>
      <c r="E2057" s="4">
        <f>IFERROR(__xludf.DUMMYFUNCTION("""COMPUTED_VALUE"""),98.0)</f>
        <v>98</v>
      </c>
      <c r="F2057" s="4">
        <f>IFERROR(__xludf.DUMMYFUNCTION("""COMPUTED_VALUE"""),10.0)</f>
        <v>10</v>
      </c>
      <c r="G2057" s="4">
        <f>IFERROR(__xludf.DUMMYFUNCTION("""COMPUTED_VALUE"""),213.0)</f>
        <v>213</v>
      </c>
      <c r="H2057" s="5">
        <f>IFERROR(__xludf.DUMMYFUNCTION("""COMPUTED_VALUE"""),4578.49)</f>
        <v>4578.49</v>
      </c>
      <c r="I2057" s="5">
        <f>IFERROR(__xludf.DUMMYFUNCTION("""COMPUTED_VALUE"""),5165.37)</f>
        <v>5165.37</v>
      </c>
      <c r="J2057" s="5">
        <f>IFERROR(__xludf.DUMMYFUNCTION("""COMPUTED_VALUE"""),9167.5)</f>
        <v>9167.5</v>
      </c>
      <c r="K2057" s="5">
        <f>IFERROR(__xludf.DUMMYFUNCTION("""COMPUTED_VALUE"""),9819.46)</f>
        <v>9819.46</v>
      </c>
      <c r="L2057" s="4">
        <f>IFERROR(__xludf.DUMMYFUNCTION("""COMPUTED_VALUE"""),12.0)</f>
        <v>12</v>
      </c>
      <c r="M2057" s="4">
        <f>IFERROR(__xludf.DUMMYFUNCTION("""COMPUTED_VALUE"""),14.0)</f>
        <v>14</v>
      </c>
      <c r="N2057" s="2" t="b">
        <f>IFERROR(__xludf.DUMMYFUNCTION("""COMPUTED_VALUE"""),FALSE)</f>
        <v>0</v>
      </c>
    </row>
    <row r="2058">
      <c r="A2058" s="2">
        <f>IFERROR(__xludf.DUMMYFUNCTION("""COMPUTED_VALUE"""),2057.0)</f>
        <v>2057</v>
      </c>
      <c r="B2058" s="2" t="str">
        <f>IFERROR(__xludf.DUMMYFUNCTION("""COMPUTED_VALUE"""),"Stella Baselli")</f>
        <v>Stella Baselli</v>
      </c>
      <c r="C2058" s="2"/>
      <c r="D2058" s="4">
        <f>IFERROR(__xludf.DUMMYFUNCTION("""COMPUTED_VALUE"""),138.0)</f>
        <v>138</v>
      </c>
      <c r="E2058" s="4">
        <f>IFERROR(__xludf.DUMMYFUNCTION("""COMPUTED_VALUE"""),121.0)</f>
        <v>121</v>
      </c>
      <c r="F2058" s="4">
        <f>IFERROR(__xludf.DUMMYFUNCTION("""COMPUTED_VALUE"""),13.0)</f>
        <v>13</v>
      </c>
      <c r="G2058" s="4">
        <f>IFERROR(__xludf.DUMMYFUNCTION("""COMPUTED_VALUE"""),672.0)</f>
        <v>672</v>
      </c>
      <c r="H2058" s="5">
        <f>IFERROR(__xludf.DUMMYFUNCTION("""COMPUTED_VALUE"""),2411.88)</f>
        <v>2411.88</v>
      </c>
      <c r="I2058" s="5">
        <f>IFERROR(__xludf.DUMMYFUNCTION("""COMPUTED_VALUE"""),9367.26)</f>
        <v>9367.26</v>
      </c>
      <c r="J2058" s="5">
        <f>IFERROR(__xludf.DUMMYFUNCTION("""COMPUTED_VALUE"""),6861.28)</f>
        <v>6861.28</v>
      </c>
      <c r="K2058" s="5">
        <f>IFERROR(__xludf.DUMMYFUNCTION("""COMPUTED_VALUE"""),8634.66)</f>
        <v>8634.66</v>
      </c>
      <c r="L2058" s="4">
        <f>IFERROR(__xludf.DUMMYFUNCTION("""COMPUTED_VALUE"""),5.0)</f>
        <v>5</v>
      </c>
      <c r="M2058" s="4">
        <f>IFERROR(__xludf.DUMMYFUNCTION("""COMPUTED_VALUE"""),78.0)</f>
        <v>78</v>
      </c>
      <c r="N2058" s="2" t="b">
        <f>IFERROR(__xludf.DUMMYFUNCTION("""COMPUTED_VALUE"""),FALSE)</f>
        <v>0</v>
      </c>
    </row>
    <row r="2059">
      <c r="A2059" s="2">
        <f>IFERROR(__xludf.DUMMYFUNCTION("""COMPUTED_VALUE"""),2058.0)</f>
        <v>2058</v>
      </c>
      <c r="B2059" s="2" t="str">
        <f>IFERROR(__xludf.DUMMYFUNCTION("""COMPUTED_VALUE"""),"Cristin O'Lenechan")</f>
        <v>Cristin O'Lenechan</v>
      </c>
      <c r="C2059" s="2"/>
      <c r="D2059" s="4">
        <f>IFERROR(__xludf.DUMMYFUNCTION("""COMPUTED_VALUE"""),160.0)</f>
        <v>160</v>
      </c>
      <c r="E2059" s="4">
        <f>IFERROR(__xludf.DUMMYFUNCTION("""COMPUTED_VALUE"""),84.0)</f>
        <v>84</v>
      </c>
      <c r="F2059" s="4">
        <f>IFERROR(__xludf.DUMMYFUNCTION("""COMPUTED_VALUE"""),7.0)</f>
        <v>7</v>
      </c>
      <c r="G2059" s="4">
        <f>IFERROR(__xludf.DUMMYFUNCTION("""COMPUTED_VALUE"""),1260.0)</f>
        <v>1260</v>
      </c>
      <c r="H2059" s="5">
        <f>IFERROR(__xludf.DUMMYFUNCTION("""COMPUTED_VALUE"""),253.14)</f>
        <v>253.14</v>
      </c>
      <c r="I2059" s="5">
        <f>IFERROR(__xludf.DUMMYFUNCTION("""COMPUTED_VALUE"""),5353.26)</f>
        <v>5353.26</v>
      </c>
      <c r="J2059" s="5">
        <f>IFERROR(__xludf.DUMMYFUNCTION("""COMPUTED_VALUE"""),6004.27)</f>
        <v>6004.27</v>
      </c>
      <c r="K2059" s="5">
        <f>IFERROR(__xludf.DUMMYFUNCTION("""COMPUTED_VALUE"""),2428.45)</f>
        <v>2428.45</v>
      </c>
      <c r="L2059" s="4">
        <f>IFERROR(__xludf.DUMMYFUNCTION("""COMPUTED_VALUE"""),7.0)</f>
        <v>7</v>
      </c>
      <c r="M2059" s="4">
        <f>IFERROR(__xludf.DUMMYFUNCTION("""COMPUTED_VALUE"""),33.0)</f>
        <v>33</v>
      </c>
      <c r="N2059" s="2" t="b">
        <f>IFERROR(__xludf.DUMMYFUNCTION("""COMPUTED_VALUE"""),FALSE)</f>
        <v>0</v>
      </c>
    </row>
    <row r="2060">
      <c r="A2060" s="2">
        <f>IFERROR(__xludf.DUMMYFUNCTION("""COMPUTED_VALUE"""),2059.0)</f>
        <v>2059</v>
      </c>
      <c r="B2060" s="2" t="str">
        <f>IFERROR(__xludf.DUMMYFUNCTION("""COMPUTED_VALUE"""),"Jude Warham")</f>
        <v>Jude Warham</v>
      </c>
      <c r="C2060" s="2" t="str">
        <f>IFERROR(__xludf.DUMMYFUNCTION("""COMPUTED_VALUE"""),"jwarham1n@umn.edu")</f>
        <v>jwarham1n@umn.edu</v>
      </c>
      <c r="D2060" s="4">
        <f>IFERROR(__xludf.DUMMYFUNCTION("""COMPUTED_VALUE"""),76.0)</f>
        <v>76</v>
      </c>
      <c r="E2060" s="4">
        <f>IFERROR(__xludf.DUMMYFUNCTION("""COMPUTED_VALUE"""),106.0)</f>
        <v>106</v>
      </c>
      <c r="F2060" s="4">
        <f>IFERROR(__xludf.DUMMYFUNCTION("""COMPUTED_VALUE"""),6.0)</f>
        <v>6</v>
      </c>
      <c r="G2060" s="4">
        <f>IFERROR(__xludf.DUMMYFUNCTION("""COMPUTED_VALUE"""),22.0)</f>
        <v>22</v>
      </c>
      <c r="H2060" s="5">
        <f>IFERROR(__xludf.DUMMYFUNCTION("""COMPUTED_VALUE"""),3551.0)</f>
        <v>3551</v>
      </c>
      <c r="I2060" s="5">
        <f>IFERROR(__xludf.DUMMYFUNCTION("""COMPUTED_VALUE"""),8620.42)</f>
        <v>8620.42</v>
      </c>
      <c r="J2060" s="5">
        <f>IFERROR(__xludf.DUMMYFUNCTION("""COMPUTED_VALUE"""),9715.68)</f>
        <v>9715.68</v>
      </c>
      <c r="K2060" s="5">
        <f>IFERROR(__xludf.DUMMYFUNCTION("""COMPUTED_VALUE"""),6604.48)</f>
        <v>6604.48</v>
      </c>
      <c r="L2060" s="4">
        <f>IFERROR(__xludf.DUMMYFUNCTION("""COMPUTED_VALUE"""),9.0)</f>
        <v>9</v>
      </c>
      <c r="M2060" s="4">
        <f>IFERROR(__xludf.DUMMYFUNCTION("""COMPUTED_VALUE"""),63.0)</f>
        <v>63</v>
      </c>
      <c r="N2060" s="2" t="b">
        <f>IFERROR(__xludf.DUMMYFUNCTION("""COMPUTED_VALUE"""),TRUE)</f>
        <v>1</v>
      </c>
    </row>
    <row r="2061">
      <c r="A2061" s="2">
        <f>IFERROR(__xludf.DUMMYFUNCTION("""COMPUTED_VALUE"""),2060.0)</f>
        <v>2060</v>
      </c>
      <c r="B2061" s="2" t="str">
        <f>IFERROR(__xludf.DUMMYFUNCTION("""COMPUTED_VALUE"""),"Maribel O'Leary")</f>
        <v>Maribel O'Leary</v>
      </c>
      <c r="C2061" s="2" t="str">
        <f>IFERROR(__xludf.DUMMYFUNCTION("""COMPUTED_VALUE"""),"moleary1o@youku.com")</f>
        <v>moleary1o@youku.com</v>
      </c>
      <c r="D2061" s="4">
        <f>IFERROR(__xludf.DUMMYFUNCTION("""COMPUTED_VALUE"""),110.0)</f>
        <v>110</v>
      </c>
      <c r="E2061" s="4">
        <f>IFERROR(__xludf.DUMMYFUNCTION("""COMPUTED_VALUE"""),8.0)</f>
        <v>8</v>
      </c>
      <c r="F2061" s="4">
        <f>IFERROR(__xludf.DUMMYFUNCTION("""COMPUTED_VALUE"""),11.0)</f>
        <v>11</v>
      </c>
      <c r="G2061" s="4">
        <f>IFERROR(__xludf.DUMMYFUNCTION("""COMPUTED_VALUE"""),409.0)</f>
        <v>409</v>
      </c>
      <c r="H2061" s="5">
        <f>IFERROR(__xludf.DUMMYFUNCTION("""COMPUTED_VALUE"""),6866.74)</f>
        <v>6866.74</v>
      </c>
      <c r="I2061" s="5">
        <f>IFERROR(__xludf.DUMMYFUNCTION("""COMPUTED_VALUE"""),7062.29)</f>
        <v>7062.29</v>
      </c>
      <c r="J2061" s="5">
        <f>IFERROR(__xludf.DUMMYFUNCTION("""COMPUTED_VALUE"""),5177.44)</f>
        <v>5177.44</v>
      </c>
      <c r="K2061" s="5">
        <f>IFERROR(__xludf.DUMMYFUNCTION("""COMPUTED_VALUE"""),1145.67)</f>
        <v>1145.67</v>
      </c>
      <c r="L2061" s="4">
        <f>IFERROR(__xludf.DUMMYFUNCTION("""COMPUTED_VALUE"""),9.0)</f>
        <v>9</v>
      </c>
      <c r="M2061" s="4">
        <f>IFERROR(__xludf.DUMMYFUNCTION("""COMPUTED_VALUE"""),37.0)</f>
        <v>37</v>
      </c>
      <c r="N2061" s="2" t="b">
        <f>IFERROR(__xludf.DUMMYFUNCTION("""COMPUTED_VALUE"""),FALSE)</f>
        <v>0</v>
      </c>
    </row>
    <row r="2062">
      <c r="A2062" s="2">
        <f>IFERROR(__xludf.DUMMYFUNCTION("""COMPUTED_VALUE"""),2061.0)</f>
        <v>2061</v>
      </c>
      <c r="B2062" s="2" t="str">
        <f>IFERROR(__xludf.DUMMYFUNCTION("""COMPUTED_VALUE"""),"Mathilda Olyfant")</f>
        <v>Mathilda Olyfant</v>
      </c>
      <c r="C2062" s="2"/>
      <c r="D2062" s="4">
        <f>IFERROR(__xludf.DUMMYFUNCTION("""COMPUTED_VALUE"""),80.0)</f>
        <v>80</v>
      </c>
      <c r="E2062" s="4">
        <f>IFERROR(__xludf.DUMMYFUNCTION("""COMPUTED_VALUE"""),57.0)</f>
        <v>57</v>
      </c>
      <c r="F2062" s="4">
        <f>IFERROR(__xludf.DUMMYFUNCTION("""COMPUTED_VALUE"""),1.0)</f>
        <v>1</v>
      </c>
      <c r="G2062" s="4">
        <f>IFERROR(__xludf.DUMMYFUNCTION("""COMPUTED_VALUE"""),329.0)</f>
        <v>329</v>
      </c>
      <c r="H2062" s="5">
        <f>IFERROR(__xludf.DUMMYFUNCTION("""COMPUTED_VALUE"""),2971.37)</f>
        <v>2971.37</v>
      </c>
      <c r="I2062" s="5">
        <f>IFERROR(__xludf.DUMMYFUNCTION("""COMPUTED_VALUE"""),9519.17)</f>
        <v>9519.17</v>
      </c>
      <c r="J2062" s="5">
        <f>IFERROR(__xludf.DUMMYFUNCTION("""COMPUTED_VALUE"""),6800.98)</f>
        <v>6800.98</v>
      </c>
      <c r="K2062" s="5">
        <f>IFERROR(__xludf.DUMMYFUNCTION("""COMPUTED_VALUE"""),6691.29)</f>
        <v>6691.29</v>
      </c>
      <c r="L2062" s="4">
        <f>IFERROR(__xludf.DUMMYFUNCTION("""COMPUTED_VALUE"""),9.0)</f>
        <v>9</v>
      </c>
      <c r="M2062" s="4">
        <f>IFERROR(__xludf.DUMMYFUNCTION("""COMPUTED_VALUE"""),9.0)</f>
        <v>9</v>
      </c>
      <c r="N2062" s="2" t="b">
        <f>IFERROR(__xludf.DUMMYFUNCTION("""COMPUTED_VALUE"""),FALSE)</f>
        <v>0</v>
      </c>
    </row>
    <row r="2063">
      <c r="A2063" s="2">
        <f>IFERROR(__xludf.DUMMYFUNCTION("""COMPUTED_VALUE"""),2062.0)</f>
        <v>2062</v>
      </c>
      <c r="B2063" s="2" t="str">
        <f>IFERROR(__xludf.DUMMYFUNCTION("""COMPUTED_VALUE"""),"Alexis Clewarth")</f>
        <v>Alexis Clewarth</v>
      </c>
      <c r="C2063" s="2" t="str">
        <f>IFERROR(__xludf.DUMMYFUNCTION("""COMPUTED_VALUE"""),"aclewarth1q@google.co.jp")</f>
        <v>aclewarth1q@google.co.jp</v>
      </c>
      <c r="D2063" s="4">
        <f>IFERROR(__xludf.DUMMYFUNCTION("""COMPUTED_VALUE"""),65.0)</f>
        <v>65</v>
      </c>
      <c r="E2063" s="4">
        <f>IFERROR(__xludf.DUMMYFUNCTION("""COMPUTED_VALUE"""),32.0)</f>
        <v>32</v>
      </c>
      <c r="F2063" s="4">
        <f>IFERROR(__xludf.DUMMYFUNCTION("""COMPUTED_VALUE"""),3.0)</f>
        <v>3</v>
      </c>
      <c r="G2063" s="4">
        <f>IFERROR(__xludf.DUMMYFUNCTION("""COMPUTED_VALUE"""),646.0)</f>
        <v>646</v>
      </c>
      <c r="H2063" s="5">
        <f>IFERROR(__xludf.DUMMYFUNCTION("""COMPUTED_VALUE"""),33.66)</f>
        <v>33.66</v>
      </c>
      <c r="I2063" s="5">
        <f>IFERROR(__xludf.DUMMYFUNCTION("""COMPUTED_VALUE"""),6481.9)</f>
        <v>6481.9</v>
      </c>
      <c r="J2063" s="5">
        <f>IFERROR(__xludf.DUMMYFUNCTION("""COMPUTED_VALUE"""),2468.73)</f>
        <v>2468.73</v>
      </c>
      <c r="K2063" s="5">
        <f>IFERROR(__xludf.DUMMYFUNCTION("""COMPUTED_VALUE"""),7777.08)</f>
        <v>7777.08</v>
      </c>
      <c r="L2063" s="4">
        <f>IFERROR(__xludf.DUMMYFUNCTION("""COMPUTED_VALUE"""),19.0)</f>
        <v>19</v>
      </c>
      <c r="M2063" s="4">
        <f>IFERROR(__xludf.DUMMYFUNCTION("""COMPUTED_VALUE"""),41.0)</f>
        <v>41</v>
      </c>
      <c r="N2063" s="2" t="b">
        <f>IFERROR(__xludf.DUMMYFUNCTION("""COMPUTED_VALUE"""),FALSE)</f>
        <v>0</v>
      </c>
    </row>
    <row r="2064">
      <c r="A2064" s="2">
        <f>IFERROR(__xludf.DUMMYFUNCTION("""COMPUTED_VALUE"""),2063.0)</f>
        <v>2063</v>
      </c>
      <c r="B2064" s="2" t="str">
        <f>IFERROR(__xludf.DUMMYFUNCTION("""COMPUTED_VALUE"""),"Frasquito Forrington")</f>
        <v>Frasquito Forrington</v>
      </c>
      <c r="C2064" s="2" t="str">
        <f>IFERROR(__xludf.DUMMYFUNCTION("""COMPUTED_VALUE"""),"fforrington1r@hibu.com")</f>
        <v>fforrington1r@hibu.com</v>
      </c>
      <c r="D2064" s="4">
        <f>IFERROR(__xludf.DUMMYFUNCTION("""COMPUTED_VALUE"""),61.0)</f>
        <v>61</v>
      </c>
      <c r="E2064" s="4">
        <f>IFERROR(__xludf.DUMMYFUNCTION("""COMPUTED_VALUE"""),115.0)</f>
        <v>115</v>
      </c>
      <c r="F2064" s="4">
        <f>IFERROR(__xludf.DUMMYFUNCTION("""COMPUTED_VALUE"""),11.0)</f>
        <v>11</v>
      </c>
      <c r="G2064" s="4">
        <f>IFERROR(__xludf.DUMMYFUNCTION("""COMPUTED_VALUE"""),267.0)</f>
        <v>267</v>
      </c>
      <c r="H2064" s="5">
        <f>IFERROR(__xludf.DUMMYFUNCTION("""COMPUTED_VALUE"""),9509.39)</f>
        <v>9509.39</v>
      </c>
      <c r="I2064" s="5">
        <f>IFERROR(__xludf.DUMMYFUNCTION("""COMPUTED_VALUE"""),8357.79)</f>
        <v>8357.79</v>
      </c>
      <c r="J2064" s="5">
        <f>IFERROR(__xludf.DUMMYFUNCTION("""COMPUTED_VALUE"""),930.95)</f>
        <v>930.95</v>
      </c>
      <c r="K2064" s="5">
        <f>IFERROR(__xludf.DUMMYFUNCTION("""COMPUTED_VALUE"""),9773.68)</f>
        <v>9773.68</v>
      </c>
      <c r="L2064" s="4">
        <f>IFERROR(__xludf.DUMMYFUNCTION("""COMPUTED_VALUE"""),6.0)</f>
        <v>6</v>
      </c>
      <c r="M2064" s="4">
        <f>IFERROR(__xludf.DUMMYFUNCTION("""COMPUTED_VALUE"""),54.0)</f>
        <v>54</v>
      </c>
      <c r="N2064" s="2" t="b">
        <f>IFERROR(__xludf.DUMMYFUNCTION("""COMPUTED_VALUE"""),TRUE)</f>
        <v>1</v>
      </c>
    </row>
    <row r="2065">
      <c r="A2065" s="2">
        <f>IFERROR(__xludf.DUMMYFUNCTION("""COMPUTED_VALUE"""),2064.0)</f>
        <v>2064</v>
      </c>
      <c r="B2065" s="2" t="str">
        <f>IFERROR(__xludf.DUMMYFUNCTION("""COMPUTED_VALUE"""),"Pedro Absolem")</f>
        <v>Pedro Absolem</v>
      </c>
      <c r="C2065" s="2" t="str">
        <f>IFERROR(__xludf.DUMMYFUNCTION("""COMPUTED_VALUE"""),"pabsolem1s@dyndns.org")</f>
        <v>pabsolem1s@dyndns.org</v>
      </c>
      <c r="D2065" s="4">
        <f>IFERROR(__xludf.DUMMYFUNCTION("""COMPUTED_VALUE"""),93.0)</f>
        <v>93</v>
      </c>
      <c r="E2065" s="4">
        <f>IFERROR(__xludf.DUMMYFUNCTION("""COMPUTED_VALUE"""),56.0)</f>
        <v>56</v>
      </c>
      <c r="F2065" s="4">
        <f>IFERROR(__xludf.DUMMYFUNCTION("""COMPUTED_VALUE"""),9.0)</f>
        <v>9</v>
      </c>
      <c r="G2065" s="4">
        <f>IFERROR(__xludf.DUMMYFUNCTION("""COMPUTED_VALUE"""),176.0)</f>
        <v>176</v>
      </c>
      <c r="H2065" s="5">
        <f>IFERROR(__xludf.DUMMYFUNCTION("""COMPUTED_VALUE"""),587.43)</f>
        <v>587.43</v>
      </c>
      <c r="I2065" s="5">
        <f>IFERROR(__xludf.DUMMYFUNCTION("""COMPUTED_VALUE"""),9381.23)</f>
        <v>9381.23</v>
      </c>
      <c r="J2065" s="5">
        <f>IFERROR(__xludf.DUMMYFUNCTION("""COMPUTED_VALUE"""),6289.37)</f>
        <v>6289.37</v>
      </c>
      <c r="K2065" s="5">
        <f>IFERROR(__xludf.DUMMYFUNCTION("""COMPUTED_VALUE"""),713.24)</f>
        <v>713.24</v>
      </c>
      <c r="L2065" s="4">
        <f>IFERROR(__xludf.DUMMYFUNCTION("""COMPUTED_VALUE"""),16.0)</f>
        <v>16</v>
      </c>
      <c r="M2065" s="4">
        <f>IFERROR(__xludf.DUMMYFUNCTION("""COMPUTED_VALUE"""),84.0)</f>
        <v>84</v>
      </c>
      <c r="N2065" s="2" t="b">
        <f>IFERROR(__xludf.DUMMYFUNCTION("""COMPUTED_VALUE"""),FALSE)</f>
        <v>0</v>
      </c>
    </row>
    <row r="2066">
      <c r="A2066" s="2">
        <f>IFERROR(__xludf.DUMMYFUNCTION("""COMPUTED_VALUE"""),2065.0)</f>
        <v>2065</v>
      </c>
      <c r="B2066" s="2" t="str">
        <f>IFERROR(__xludf.DUMMYFUNCTION("""COMPUTED_VALUE"""),"Jannelle Monckton")</f>
        <v>Jannelle Monckton</v>
      </c>
      <c r="C2066" s="2" t="str">
        <f>IFERROR(__xludf.DUMMYFUNCTION("""COMPUTED_VALUE"""),"jmonckton1t@ebay.com")</f>
        <v>jmonckton1t@ebay.com</v>
      </c>
      <c r="D2066" s="4">
        <f>IFERROR(__xludf.DUMMYFUNCTION("""COMPUTED_VALUE"""),134.0)</f>
        <v>134</v>
      </c>
      <c r="E2066" s="4">
        <f>IFERROR(__xludf.DUMMYFUNCTION("""COMPUTED_VALUE"""),25.0)</f>
        <v>25</v>
      </c>
      <c r="F2066" s="4">
        <f>IFERROR(__xludf.DUMMYFUNCTION("""COMPUTED_VALUE"""),8.0)</f>
        <v>8</v>
      </c>
      <c r="G2066" s="4">
        <f>IFERROR(__xludf.DUMMYFUNCTION("""COMPUTED_VALUE"""),442.0)</f>
        <v>442</v>
      </c>
      <c r="H2066" s="5">
        <f>IFERROR(__xludf.DUMMYFUNCTION("""COMPUTED_VALUE"""),9982.44)</f>
        <v>9982.44</v>
      </c>
      <c r="I2066" s="5">
        <f>IFERROR(__xludf.DUMMYFUNCTION("""COMPUTED_VALUE"""),5125.81)</f>
        <v>5125.81</v>
      </c>
      <c r="J2066" s="5">
        <f>IFERROR(__xludf.DUMMYFUNCTION("""COMPUTED_VALUE"""),1285.01)</f>
        <v>1285.01</v>
      </c>
      <c r="K2066" s="5">
        <f>IFERROR(__xludf.DUMMYFUNCTION("""COMPUTED_VALUE"""),414.61)</f>
        <v>414.61</v>
      </c>
      <c r="L2066" s="4">
        <f>IFERROR(__xludf.DUMMYFUNCTION("""COMPUTED_VALUE"""),6.0)</f>
        <v>6</v>
      </c>
      <c r="M2066" s="4">
        <f>IFERROR(__xludf.DUMMYFUNCTION("""COMPUTED_VALUE"""),32.0)</f>
        <v>32</v>
      </c>
      <c r="N2066" s="2" t="b">
        <f>IFERROR(__xludf.DUMMYFUNCTION("""COMPUTED_VALUE"""),FALSE)</f>
        <v>0</v>
      </c>
    </row>
    <row r="2067">
      <c r="A2067" s="2">
        <f>IFERROR(__xludf.DUMMYFUNCTION("""COMPUTED_VALUE"""),2066.0)</f>
        <v>2066</v>
      </c>
      <c r="B2067" s="2" t="str">
        <f>IFERROR(__xludf.DUMMYFUNCTION("""COMPUTED_VALUE"""),"Hallsy Hugues")</f>
        <v>Hallsy Hugues</v>
      </c>
      <c r="C2067" s="2"/>
      <c r="D2067" s="4">
        <f>IFERROR(__xludf.DUMMYFUNCTION("""COMPUTED_VALUE"""),60.0)</f>
        <v>60</v>
      </c>
      <c r="E2067" s="4">
        <f>IFERROR(__xludf.DUMMYFUNCTION("""COMPUTED_VALUE"""),62.0)</f>
        <v>62</v>
      </c>
      <c r="F2067" s="4">
        <f>IFERROR(__xludf.DUMMYFUNCTION("""COMPUTED_VALUE"""),2.0)</f>
        <v>2</v>
      </c>
      <c r="G2067" s="4">
        <f>IFERROR(__xludf.DUMMYFUNCTION("""COMPUTED_VALUE"""),818.0)</f>
        <v>818</v>
      </c>
      <c r="H2067" s="5">
        <f>IFERROR(__xludf.DUMMYFUNCTION("""COMPUTED_VALUE"""),6242.08)</f>
        <v>6242.08</v>
      </c>
      <c r="I2067" s="5">
        <f>IFERROR(__xludf.DUMMYFUNCTION("""COMPUTED_VALUE"""),2194.79)</f>
        <v>2194.79</v>
      </c>
      <c r="J2067" s="5">
        <f>IFERROR(__xludf.DUMMYFUNCTION("""COMPUTED_VALUE"""),4109.64)</f>
        <v>4109.64</v>
      </c>
      <c r="K2067" s="5">
        <f>IFERROR(__xludf.DUMMYFUNCTION("""COMPUTED_VALUE"""),2160.61)</f>
        <v>2160.61</v>
      </c>
      <c r="L2067" s="4">
        <f>IFERROR(__xludf.DUMMYFUNCTION("""COMPUTED_VALUE"""),19.0)</f>
        <v>19</v>
      </c>
      <c r="M2067" s="4">
        <f>IFERROR(__xludf.DUMMYFUNCTION("""COMPUTED_VALUE"""),23.0)</f>
        <v>23</v>
      </c>
      <c r="N2067" s="2" t="b">
        <f>IFERROR(__xludf.DUMMYFUNCTION("""COMPUTED_VALUE"""),TRUE)</f>
        <v>1</v>
      </c>
    </row>
    <row r="2068">
      <c r="A2068" s="2">
        <f>IFERROR(__xludf.DUMMYFUNCTION("""COMPUTED_VALUE"""),2067.0)</f>
        <v>2067</v>
      </c>
      <c r="B2068" s="2" t="str">
        <f>IFERROR(__xludf.DUMMYFUNCTION("""COMPUTED_VALUE"""),"Kinnie Heyball")</f>
        <v>Kinnie Heyball</v>
      </c>
      <c r="C2068" s="2" t="str">
        <f>IFERROR(__xludf.DUMMYFUNCTION("""COMPUTED_VALUE"""),"kheyball1v@umn.edu")</f>
        <v>kheyball1v@umn.edu</v>
      </c>
      <c r="D2068" s="4">
        <f>IFERROR(__xludf.DUMMYFUNCTION("""COMPUTED_VALUE"""),84.0)</f>
        <v>84</v>
      </c>
      <c r="E2068" s="4">
        <f>IFERROR(__xludf.DUMMYFUNCTION("""COMPUTED_VALUE"""),55.0)</f>
        <v>55</v>
      </c>
      <c r="F2068" s="4">
        <f>IFERROR(__xludf.DUMMYFUNCTION("""COMPUTED_VALUE"""),11.0)</f>
        <v>11</v>
      </c>
      <c r="G2068" s="4">
        <f>IFERROR(__xludf.DUMMYFUNCTION("""COMPUTED_VALUE"""),1154.0)</f>
        <v>1154</v>
      </c>
      <c r="H2068" s="5">
        <f>IFERROR(__xludf.DUMMYFUNCTION("""COMPUTED_VALUE"""),678.23)</f>
        <v>678.23</v>
      </c>
      <c r="I2068" s="5">
        <f>IFERROR(__xludf.DUMMYFUNCTION("""COMPUTED_VALUE"""),2267.62)</f>
        <v>2267.62</v>
      </c>
      <c r="J2068" s="5">
        <f>IFERROR(__xludf.DUMMYFUNCTION("""COMPUTED_VALUE"""),9777.49)</f>
        <v>9777.49</v>
      </c>
      <c r="K2068" s="5">
        <f>IFERROR(__xludf.DUMMYFUNCTION("""COMPUTED_VALUE"""),9682.88)</f>
        <v>9682.88</v>
      </c>
      <c r="L2068" s="4">
        <f>IFERROR(__xludf.DUMMYFUNCTION("""COMPUTED_VALUE"""),9.0)</f>
        <v>9</v>
      </c>
      <c r="M2068" s="4">
        <f>IFERROR(__xludf.DUMMYFUNCTION("""COMPUTED_VALUE"""),89.0)</f>
        <v>89</v>
      </c>
      <c r="N2068" s="2" t="b">
        <f>IFERROR(__xludf.DUMMYFUNCTION("""COMPUTED_VALUE"""),FALSE)</f>
        <v>0</v>
      </c>
    </row>
    <row r="2069">
      <c r="A2069" s="2">
        <f>IFERROR(__xludf.DUMMYFUNCTION("""COMPUTED_VALUE"""),2068.0)</f>
        <v>2068</v>
      </c>
      <c r="B2069" s="2" t="str">
        <f>IFERROR(__xludf.DUMMYFUNCTION("""COMPUTED_VALUE"""),"Iolande Hadgraft")</f>
        <v>Iolande Hadgraft</v>
      </c>
      <c r="C2069" s="2" t="str">
        <f>IFERROR(__xludf.DUMMYFUNCTION("""COMPUTED_VALUE"""),"ihadgraft1w@hhs.gov")</f>
        <v>ihadgraft1w@hhs.gov</v>
      </c>
      <c r="D2069" s="4">
        <f>IFERROR(__xludf.DUMMYFUNCTION("""COMPUTED_VALUE"""),30.0)</f>
        <v>30</v>
      </c>
      <c r="E2069" s="4">
        <f>IFERROR(__xludf.DUMMYFUNCTION("""COMPUTED_VALUE"""),7.0)</f>
        <v>7</v>
      </c>
      <c r="F2069" s="4">
        <f>IFERROR(__xludf.DUMMYFUNCTION("""COMPUTED_VALUE"""),13.0)</f>
        <v>13</v>
      </c>
      <c r="G2069" s="4">
        <f>IFERROR(__xludf.DUMMYFUNCTION("""COMPUTED_VALUE"""),1120.0)</f>
        <v>1120</v>
      </c>
      <c r="H2069" s="5">
        <f>IFERROR(__xludf.DUMMYFUNCTION("""COMPUTED_VALUE"""),5864.46)</f>
        <v>5864.46</v>
      </c>
      <c r="I2069" s="5">
        <f>IFERROR(__xludf.DUMMYFUNCTION("""COMPUTED_VALUE"""),4143.98)</f>
        <v>4143.98</v>
      </c>
      <c r="J2069" s="5">
        <f>IFERROR(__xludf.DUMMYFUNCTION("""COMPUTED_VALUE"""),724.07)</f>
        <v>724.07</v>
      </c>
      <c r="K2069" s="5">
        <f>IFERROR(__xludf.DUMMYFUNCTION("""COMPUTED_VALUE"""),7880.66)</f>
        <v>7880.66</v>
      </c>
      <c r="L2069" s="4">
        <f>IFERROR(__xludf.DUMMYFUNCTION("""COMPUTED_VALUE"""),11.0)</f>
        <v>11</v>
      </c>
      <c r="M2069" s="4">
        <f>IFERROR(__xludf.DUMMYFUNCTION("""COMPUTED_VALUE"""),66.0)</f>
        <v>66</v>
      </c>
      <c r="N2069" s="2" t="b">
        <f>IFERROR(__xludf.DUMMYFUNCTION("""COMPUTED_VALUE"""),TRUE)</f>
        <v>1</v>
      </c>
    </row>
    <row r="2070">
      <c r="A2070" s="2">
        <f>IFERROR(__xludf.DUMMYFUNCTION("""COMPUTED_VALUE"""),2069.0)</f>
        <v>2069</v>
      </c>
      <c r="B2070" s="2" t="str">
        <f>IFERROR(__xludf.DUMMYFUNCTION("""COMPUTED_VALUE"""),"Brose Simonnin")</f>
        <v>Brose Simonnin</v>
      </c>
      <c r="C2070" s="2" t="str">
        <f>IFERROR(__xludf.DUMMYFUNCTION("""COMPUTED_VALUE"""),"bsimonnin1x@census.gov")</f>
        <v>bsimonnin1x@census.gov</v>
      </c>
      <c r="D2070" s="4">
        <f>IFERROR(__xludf.DUMMYFUNCTION("""COMPUTED_VALUE"""),45.0)</f>
        <v>45</v>
      </c>
      <c r="E2070" s="4">
        <f>IFERROR(__xludf.DUMMYFUNCTION("""COMPUTED_VALUE"""),71.0)</f>
        <v>71</v>
      </c>
      <c r="F2070" s="4">
        <f>IFERROR(__xludf.DUMMYFUNCTION("""COMPUTED_VALUE"""),11.0)</f>
        <v>11</v>
      </c>
      <c r="G2070" s="4">
        <f>IFERROR(__xludf.DUMMYFUNCTION("""COMPUTED_VALUE"""),1191.0)</f>
        <v>1191</v>
      </c>
      <c r="H2070" s="5">
        <f>IFERROR(__xludf.DUMMYFUNCTION("""COMPUTED_VALUE"""),310.94)</f>
        <v>310.94</v>
      </c>
      <c r="I2070" s="5">
        <f>IFERROR(__xludf.DUMMYFUNCTION("""COMPUTED_VALUE"""),6373.25)</f>
        <v>6373.25</v>
      </c>
      <c r="J2070" s="5">
        <f>IFERROR(__xludf.DUMMYFUNCTION("""COMPUTED_VALUE"""),206.19)</f>
        <v>206.19</v>
      </c>
      <c r="K2070" s="5">
        <f>IFERROR(__xludf.DUMMYFUNCTION("""COMPUTED_VALUE"""),2379.49)</f>
        <v>2379.49</v>
      </c>
      <c r="L2070" s="4">
        <f>IFERROR(__xludf.DUMMYFUNCTION("""COMPUTED_VALUE"""),11.0)</f>
        <v>11</v>
      </c>
      <c r="M2070" s="4">
        <f>IFERROR(__xludf.DUMMYFUNCTION("""COMPUTED_VALUE"""),14.0)</f>
        <v>14</v>
      </c>
      <c r="N2070" s="2" t="b">
        <f>IFERROR(__xludf.DUMMYFUNCTION("""COMPUTED_VALUE"""),TRUE)</f>
        <v>1</v>
      </c>
    </row>
    <row r="2071">
      <c r="A2071" s="2">
        <f>IFERROR(__xludf.DUMMYFUNCTION("""COMPUTED_VALUE"""),2070.0)</f>
        <v>2070</v>
      </c>
      <c r="B2071" s="2" t="str">
        <f>IFERROR(__xludf.DUMMYFUNCTION("""COMPUTED_VALUE"""),"Mendie Gilkison")</f>
        <v>Mendie Gilkison</v>
      </c>
      <c r="C2071" s="2"/>
      <c r="D2071" s="4">
        <f>IFERROR(__xludf.DUMMYFUNCTION("""COMPUTED_VALUE"""),31.0)</f>
        <v>31</v>
      </c>
      <c r="E2071" s="4">
        <f>IFERROR(__xludf.DUMMYFUNCTION("""COMPUTED_VALUE"""),102.0)</f>
        <v>102</v>
      </c>
      <c r="F2071" s="4">
        <f>IFERROR(__xludf.DUMMYFUNCTION("""COMPUTED_VALUE"""),3.0)</f>
        <v>3</v>
      </c>
      <c r="G2071" s="4">
        <f>IFERROR(__xludf.DUMMYFUNCTION("""COMPUTED_VALUE"""),48.0)</f>
        <v>48</v>
      </c>
      <c r="H2071" s="5">
        <f>IFERROR(__xludf.DUMMYFUNCTION("""COMPUTED_VALUE"""),1644.55)</f>
        <v>1644.55</v>
      </c>
      <c r="I2071" s="5">
        <f>IFERROR(__xludf.DUMMYFUNCTION("""COMPUTED_VALUE"""),7521.22)</f>
        <v>7521.22</v>
      </c>
      <c r="J2071" s="5">
        <f>IFERROR(__xludf.DUMMYFUNCTION("""COMPUTED_VALUE"""),7817.85)</f>
        <v>7817.85</v>
      </c>
      <c r="K2071" s="5">
        <f>IFERROR(__xludf.DUMMYFUNCTION("""COMPUTED_VALUE"""),3570.91)</f>
        <v>3570.91</v>
      </c>
      <c r="L2071" s="4">
        <f>IFERROR(__xludf.DUMMYFUNCTION("""COMPUTED_VALUE"""),12.0)</f>
        <v>12</v>
      </c>
      <c r="M2071" s="4">
        <f>IFERROR(__xludf.DUMMYFUNCTION("""COMPUTED_VALUE"""),99.0)</f>
        <v>99</v>
      </c>
      <c r="N2071" s="2" t="b">
        <f>IFERROR(__xludf.DUMMYFUNCTION("""COMPUTED_VALUE"""),TRUE)</f>
        <v>1</v>
      </c>
    </row>
    <row r="2072">
      <c r="A2072" s="2">
        <f>IFERROR(__xludf.DUMMYFUNCTION("""COMPUTED_VALUE"""),2071.0)</f>
        <v>2071</v>
      </c>
      <c r="B2072" s="2" t="str">
        <f>IFERROR(__xludf.DUMMYFUNCTION("""COMPUTED_VALUE"""),"Merilyn Mavin")</f>
        <v>Merilyn Mavin</v>
      </c>
      <c r="C2072" s="2" t="str">
        <f>IFERROR(__xludf.DUMMYFUNCTION("""COMPUTED_VALUE"""),"mmavin1z@prlog.org")</f>
        <v>mmavin1z@prlog.org</v>
      </c>
      <c r="D2072" s="4">
        <f>IFERROR(__xludf.DUMMYFUNCTION("""COMPUTED_VALUE"""),78.0)</f>
        <v>78</v>
      </c>
      <c r="E2072" s="4">
        <f>IFERROR(__xludf.DUMMYFUNCTION("""COMPUTED_VALUE"""),122.0)</f>
        <v>122</v>
      </c>
      <c r="F2072" s="4">
        <f>IFERROR(__xludf.DUMMYFUNCTION("""COMPUTED_VALUE"""),6.0)</f>
        <v>6</v>
      </c>
      <c r="G2072" s="4">
        <f>IFERROR(__xludf.DUMMYFUNCTION("""COMPUTED_VALUE"""),197.0)</f>
        <v>197</v>
      </c>
      <c r="H2072" s="5">
        <f>IFERROR(__xludf.DUMMYFUNCTION("""COMPUTED_VALUE"""),2661.51)</f>
        <v>2661.51</v>
      </c>
      <c r="I2072" s="5">
        <f>IFERROR(__xludf.DUMMYFUNCTION("""COMPUTED_VALUE"""),784.2)</f>
        <v>784.2</v>
      </c>
      <c r="J2072" s="5">
        <f>IFERROR(__xludf.DUMMYFUNCTION("""COMPUTED_VALUE"""),3752.11)</f>
        <v>3752.11</v>
      </c>
      <c r="K2072" s="5">
        <f>IFERROR(__xludf.DUMMYFUNCTION("""COMPUTED_VALUE"""),4589.39)</f>
        <v>4589.39</v>
      </c>
      <c r="L2072" s="4">
        <f>IFERROR(__xludf.DUMMYFUNCTION("""COMPUTED_VALUE"""),1.0)</f>
        <v>1</v>
      </c>
      <c r="M2072" s="4">
        <f>IFERROR(__xludf.DUMMYFUNCTION("""COMPUTED_VALUE"""),83.0)</f>
        <v>83</v>
      </c>
      <c r="N2072" s="2" t="b">
        <f>IFERROR(__xludf.DUMMYFUNCTION("""COMPUTED_VALUE"""),FALSE)</f>
        <v>0</v>
      </c>
    </row>
    <row r="2073">
      <c r="A2073" s="2">
        <f>IFERROR(__xludf.DUMMYFUNCTION("""COMPUTED_VALUE"""),2072.0)</f>
        <v>2072</v>
      </c>
      <c r="B2073" s="2" t="str">
        <f>IFERROR(__xludf.DUMMYFUNCTION("""COMPUTED_VALUE"""),"Rice Kitto")</f>
        <v>Rice Kitto</v>
      </c>
      <c r="C2073" s="2"/>
      <c r="D2073" s="4">
        <f>IFERROR(__xludf.DUMMYFUNCTION("""COMPUTED_VALUE"""),116.0)</f>
        <v>116</v>
      </c>
      <c r="E2073" s="4">
        <f>IFERROR(__xludf.DUMMYFUNCTION("""COMPUTED_VALUE"""),49.0)</f>
        <v>49</v>
      </c>
      <c r="F2073" s="4">
        <f>IFERROR(__xludf.DUMMYFUNCTION("""COMPUTED_VALUE"""),11.0)</f>
        <v>11</v>
      </c>
      <c r="G2073" s="4">
        <f>IFERROR(__xludf.DUMMYFUNCTION("""COMPUTED_VALUE"""),1250.0)</f>
        <v>1250</v>
      </c>
      <c r="H2073" s="5">
        <f>IFERROR(__xludf.DUMMYFUNCTION("""COMPUTED_VALUE"""),4292.56)</f>
        <v>4292.56</v>
      </c>
      <c r="I2073" s="5">
        <f>IFERROR(__xludf.DUMMYFUNCTION("""COMPUTED_VALUE"""),255.4)</f>
        <v>255.4</v>
      </c>
      <c r="J2073" s="5">
        <f>IFERROR(__xludf.DUMMYFUNCTION("""COMPUTED_VALUE"""),673.26)</f>
        <v>673.26</v>
      </c>
      <c r="K2073" s="5">
        <f>IFERROR(__xludf.DUMMYFUNCTION("""COMPUTED_VALUE"""),3670.63)</f>
        <v>3670.63</v>
      </c>
      <c r="L2073" s="4">
        <f>IFERROR(__xludf.DUMMYFUNCTION("""COMPUTED_VALUE"""),14.0)</f>
        <v>14</v>
      </c>
      <c r="M2073" s="4">
        <f>IFERROR(__xludf.DUMMYFUNCTION("""COMPUTED_VALUE"""),92.0)</f>
        <v>92</v>
      </c>
      <c r="N2073" s="2" t="b">
        <f>IFERROR(__xludf.DUMMYFUNCTION("""COMPUTED_VALUE"""),TRUE)</f>
        <v>1</v>
      </c>
    </row>
    <row r="2074">
      <c r="A2074" s="2">
        <f>IFERROR(__xludf.DUMMYFUNCTION("""COMPUTED_VALUE"""),2073.0)</f>
        <v>2073</v>
      </c>
      <c r="B2074" s="2" t="str">
        <f>IFERROR(__xludf.DUMMYFUNCTION("""COMPUTED_VALUE"""),"Francois Tift")</f>
        <v>Francois Tift</v>
      </c>
      <c r="C2074" s="2"/>
      <c r="D2074" s="4">
        <f>IFERROR(__xludf.DUMMYFUNCTION("""COMPUTED_VALUE"""),2.0)</f>
        <v>2</v>
      </c>
      <c r="E2074" s="4">
        <f>IFERROR(__xludf.DUMMYFUNCTION("""COMPUTED_VALUE"""),36.0)</f>
        <v>36</v>
      </c>
      <c r="F2074" s="4">
        <f>IFERROR(__xludf.DUMMYFUNCTION("""COMPUTED_VALUE"""),2.0)</f>
        <v>2</v>
      </c>
      <c r="G2074" s="4">
        <f>IFERROR(__xludf.DUMMYFUNCTION("""COMPUTED_VALUE"""),1162.0)</f>
        <v>1162</v>
      </c>
      <c r="H2074" s="5">
        <f>IFERROR(__xludf.DUMMYFUNCTION("""COMPUTED_VALUE"""),6268.25)</f>
        <v>6268.25</v>
      </c>
      <c r="I2074" s="5">
        <f>IFERROR(__xludf.DUMMYFUNCTION("""COMPUTED_VALUE"""),2270.22)</f>
        <v>2270.22</v>
      </c>
      <c r="J2074" s="5">
        <f>IFERROR(__xludf.DUMMYFUNCTION("""COMPUTED_VALUE"""),2989.27)</f>
        <v>2989.27</v>
      </c>
      <c r="K2074" s="5">
        <f>IFERROR(__xludf.DUMMYFUNCTION("""COMPUTED_VALUE"""),9618.22)</f>
        <v>9618.22</v>
      </c>
      <c r="L2074" s="4">
        <f>IFERROR(__xludf.DUMMYFUNCTION("""COMPUTED_VALUE"""),12.0)</f>
        <v>12</v>
      </c>
      <c r="M2074" s="4">
        <f>IFERROR(__xludf.DUMMYFUNCTION("""COMPUTED_VALUE"""),22.0)</f>
        <v>22</v>
      </c>
      <c r="N2074" s="2" t="b">
        <f>IFERROR(__xludf.DUMMYFUNCTION("""COMPUTED_VALUE"""),TRUE)</f>
        <v>1</v>
      </c>
    </row>
    <row r="2075">
      <c r="A2075" s="2">
        <f>IFERROR(__xludf.DUMMYFUNCTION("""COMPUTED_VALUE"""),2074.0)</f>
        <v>2074</v>
      </c>
      <c r="B2075" s="2" t="str">
        <f>IFERROR(__xludf.DUMMYFUNCTION("""COMPUTED_VALUE"""),"Myrvyn Waddell")</f>
        <v>Myrvyn Waddell</v>
      </c>
      <c r="C2075" s="2"/>
      <c r="D2075" s="4">
        <f>IFERROR(__xludf.DUMMYFUNCTION("""COMPUTED_VALUE"""),87.0)</f>
        <v>87</v>
      </c>
      <c r="E2075" s="4">
        <f>IFERROR(__xludf.DUMMYFUNCTION("""COMPUTED_VALUE"""),15.0)</f>
        <v>15</v>
      </c>
      <c r="F2075" s="4">
        <f>IFERROR(__xludf.DUMMYFUNCTION("""COMPUTED_VALUE"""),6.0)</f>
        <v>6</v>
      </c>
      <c r="G2075" s="4">
        <f>IFERROR(__xludf.DUMMYFUNCTION("""COMPUTED_VALUE"""),1460.0)</f>
        <v>1460</v>
      </c>
      <c r="H2075" s="5">
        <f>IFERROR(__xludf.DUMMYFUNCTION("""COMPUTED_VALUE"""),8999.37)</f>
        <v>8999.37</v>
      </c>
      <c r="I2075" s="5">
        <f>IFERROR(__xludf.DUMMYFUNCTION("""COMPUTED_VALUE"""),6274.51)</f>
        <v>6274.51</v>
      </c>
      <c r="J2075" s="5">
        <f>IFERROR(__xludf.DUMMYFUNCTION("""COMPUTED_VALUE"""),2166.35)</f>
        <v>2166.35</v>
      </c>
      <c r="K2075" s="5">
        <f>IFERROR(__xludf.DUMMYFUNCTION("""COMPUTED_VALUE"""),9307.58)</f>
        <v>9307.58</v>
      </c>
      <c r="L2075" s="4">
        <f>IFERROR(__xludf.DUMMYFUNCTION("""COMPUTED_VALUE"""),20.0)</f>
        <v>20</v>
      </c>
      <c r="M2075" s="4">
        <f>IFERROR(__xludf.DUMMYFUNCTION("""COMPUTED_VALUE"""),8.0)</f>
        <v>8</v>
      </c>
      <c r="N2075" s="2" t="b">
        <f>IFERROR(__xludf.DUMMYFUNCTION("""COMPUTED_VALUE"""),TRUE)</f>
        <v>1</v>
      </c>
    </row>
    <row r="2076">
      <c r="A2076" s="2">
        <f>IFERROR(__xludf.DUMMYFUNCTION("""COMPUTED_VALUE"""),2075.0)</f>
        <v>2075</v>
      </c>
      <c r="B2076" s="2" t="str">
        <f>IFERROR(__xludf.DUMMYFUNCTION("""COMPUTED_VALUE"""),"Consuelo Olufsen")</f>
        <v>Consuelo Olufsen</v>
      </c>
      <c r="C2076" s="2"/>
      <c r="D2076" s="4">
        <f>IFERROR(__xludf.DUMMYFUNCTION("""COMPUTED_VALUE"""),139.0)</f>
        <v>139</v>
      </c>
      <c r="E2076" s="4">
        <f>IFERROR(__xludf.DUMMYFUNCTION("""COMPUTED_VALUE"""),65.0)</f>
        <v>65</v>
      </c>
      <c r="F2076" s="4">
        <f>IFERROR(__xludf.DUMMYFUNCTION("""COMPUTED_VALUE"""),10.0)</f>
        <v>10</v>
      </c>
      <c r="G2076" s="4">
        <f>IFERROR(__xludf.DUMMYFUNCTION("""COMPUTED_VALUE"""),1258.0)</f>
        <v>1258</v>
      </c>
      <c r="H2076" s="5">
        <f>IFERROR(__xludf.DUMMYFUNCTION("""COMPUTED_VALUE"""),9050.93)</f>
        <v>9050.93</v>
      </c>
      <c r="I2076" s="5">
        <f>IFERROR(__xludf.DUMMYFUNCTION("""COMPUTED_VALUE"""),5493.24)</f>
        <v>5493.24</v>
      </c>
      <c r="J2076" s="5">
        <f>IFERROR(__xludf.DUMMYFUNCTION("""COMPUTED_VALUE"""),7324.43)</f>
        <v>7324.43</v>
      </c>
      <c r="K2076" s="5">
        <f>IFERROR(__xludf.DUMMYFUNCTION("""COMPUTED_VALUE"""),2590.58)</f>
        <v>2590.58</v>
      </c>
      <c r="L2076" s="4">
        <f>IFERROR(__xludf.DUMMYFUNCTION("""COMPUTED_VALUE"""),12.0)</f>
        <v>12</v>
      </c>
      <c r="M2076" s="4">
        <f>IFERROR(__xludf.DUMMYFUNCTION("""COMPUTED_VALUE"""),46.0)</f>
        <v>46</v>
      </c>
      <c r="N2076" s="2" t="b">
        <f>IFERROR(__xludf.DUMMYFUNCTION("""COMPUTED_VALUE"""),FALSE)</f>
        <v>0</v>
      </c>
    </row>
    <row r="2077">
      <c r="A2077" s="2">
        <f>IFERROR(__xludf.DUMMYFUNCTION("""COMPUTED_VALUE"""),2076.0)</f>
        <v>2076</v>
      </c>
      <c r="B2077" s="2" t="str">
        <f>IFERROR(__xludf.DUMMYFUNCTION("""COMPUTED_VALUE"""),"Elliot Cogswell")</f>
        <v>Elliot Cogswell</v>
      </c>
      <c r="C2077" s="2"/>
      <c r="D2077" s="4">
        <f>IFERROR(__xludf.DUMMYFUNCTION("""COMPUTED_VALUE"""),30.0)</f>
        <v>30</v>
      </c>
      <c r="E2077" s="4">
        <f>IFERROR(__xludf.DUMMYFUNCTION("""COMPUTED_VALUE"""),54.0)</f>
        <v>54</v>
      </c>
      <c r="F2077" s="4">
        <f>IFERROR(__xludf.DUMMYFUNCTION("""COMPUTED_VALUE"""),1.0)</f>
        <v>1</v>
      </c>
      <c r="G2077" s="4">
        <f>IFERROR(__xludf.DUMMYFUNCTION("""COMPUTED_VALUE"""),629.0)</f>
        <v>629</v>
      </c>
      <c r="H2077" s="5">
        <f>IFERROR(__xludf.DUMMYFUNCTION("""COMPUTED_VALUE"""),4109.76)</f>
        <v>4109.76</v>
      </c>
      <c r="I2077" s="5">
        <f>IFERROR(__xludf.DUMMYFUNCTION("""COMPUTED_VALUE"""),6931.87)</f>
        <v>6931.87</v>
      </c>
      <c r="J2077" s="5">
        <f>IFERROR(__xludf.DUMMYFUNCTION("""COMPUTED_VALUE"""),9785.0)</f>
        <v>9785</v>
      </c>
      <c r="K2077" s="5">
        <f>IFERROR(__xludf.DUMMYFUNCTION("""COMPUTED_VALUE"""),2198.95)</f>
        <v>2198.95</v>
      </c>
      <c r="L2077" s="4">
        <f>IFERROR(__xludf.DUMMYFUNCTION("""COMPUTED_VALUE"""),15.0)</f>
        <v>15</v>
      </c>
      <c r="M2077" s="4">
        <f>IFERROR(__xludf.DUMMYFUNCTION("""COMPUTED_VALUE"""),26.0)</f>
        <v>26</v>
      </c>
      <c r="N2077" s="2" t="b">
        <f>IFERROR(__xludf.DUMMYFUNCTION("""COMPUTED_VALUE"""),TRUE)</f>
        <v>1</v>
      </c>
    </row>
    <row r="2078">
      <c r="A2078" s="2">
        <f>IFERROR(__xludf.DUMMYFUNCTION("""COMPUTED_VALUE"""),2077.0)</f>
        <v>2077</v>
      </c>
      <c r="B2078" s="2" t="str">
        <f>IFERROR(__xludf.DUMMYFUNCTION("""COMPUTED_VALUE"""),"Gusti Cush")</f>
        <v>Gusti Cush</v>
      </c>
      <c r="C2078" s="2" t="str">
        <f>IFERROR(__xludf.DUMMYFUNCTION("""COMPUTED_VALUE"""),"gcush25@liveinternet.ru")</f>
        <v>gcush25@liveinternet.ru</v>
      </c>
      <c r="D2078" s="4">
        <f>IFERROR(__xludf.DUMMYFUNCTION("""COMPUTED_VALUE"""),150.0)</f>
        <v>150</v>
      </c>
      <c r="E2078" s="4">
        <f>IFERROR(__xludf.DUMMYFUNCTION("""COMPUTED_VALUE"""),96.0)</f>
        <v>96</v>
      </c>
      <c r="F2078" s="4">
        <f>IFERROR(__xludf.DUMMYFUNCTION("""COMPUTED_VALUE"""),12.0)</f>
        <v>12</v>
      </c>
      <c r="G2078" s="4">
        <f>IFERROR(__xludf.DUMMYFUNCTION("""COMPUTED_VALUE"""),1206.0)</f>
        <v>1206</v>
      </c>
      <c r="H2078" s="5">
        <f>IFERROR(__xludf.DUMMYFUNCTION("""COMPUTED_VALUE"""),1674.81)</f>
        <v>1674.81</v>
      </c>
      <c r="I2078" s="5">
        <f>IFERROR(__xludf.DUMMYFUNCTION("""COMPUTED_VALUE"""),4281.11)</f>
        <v>4281.11</v>
      </c>
      <c r="J2078" s="5">
        <f>IFERROR(__xludf.DUMMYFUNCTION("""COMPUTED_VALUE"""),1000.79)</f>
        <v>1000.79</v>
      </c>
      <c r="K2078" s="5">
        <f>IFERROR(__xludf.DUMMYFUNCTION("""COMPUTED_VALUE"""),7265.06)</f>
        <v>7265.06</v>
      </c>
      <c r="L2078" s="4">
        <f>IFERROR(__xludf.DUMMYFUNCTION("""COMPUTED_VALUE"""),19.0)</f>
        <v>19</v>
      </c>
      <c r="M2078" s="4">
        <f>IFERROR(__xludf.DUMMYFUNCTION("""COMPUTED_VALUE"""),81.0)</f>
        <v>81</v>
      </c>
      <c r="N2078" s="2" t="b">
        <f>IFERROR(__xludf.DUMMYFUNCTION("""COMPUTED_VALUE"""),FALSE)</f>
        <v>0</v>
      </c>
    </row>
    <row r="2079">
      <c r="A2079" s="2">
        <f>IFERROR(__xludf.DUMMYFUNCTION("""COMPUTED_VALUE"""),2078.0)</f>
        <v>2078</v>
      </c>
      <c r="B2079" s="2" t="str">
        <f>IFERROR(__xludf.DUMMYFUNCTION("""COMPUTED_VALUE"""),"Leonora Fattorini")</f>
        <v>Leonora Fattorini</v>
      </c>
      <c r="C2079" s="2" t="str">
        <f>IFERROR(__xludf.DUMMYFUNCTION("""COMPUTED_VALUE"""),"lfattorini26@odnoklassniki.ru")</f>
        <v>lfattorini26@odnoklassniki.ru</v>
      </c>
      <c r="D2079" s="4">
        <f>IFERROR(__xludf.DUMMYFUNCTION("""COMPUTED_VALUE"""),3.0)</f>
        <v>3</v>
      </c>
      <c r="E2079" s="4">
        <f>IFERROR(__xludf.DUMMYFUNCTION("""COMPUTED_VALUE"""),33.0)</f>
        <v>33</v>
      </c>
      <c r="F2079" s="4">
        <f>IFERROR(__xludf.DUMMYFUNCTION("""COMPUTED_VALUE"""),11.0)</f>
        <v>11</v>
      </c>
      <c r="G2079" s="4">
        <f>IFERROR(__xludf.DUMMYFUNCTION("""COMPUTED_VALUE"""),495.0)</f>
        <v>495</v>
      </c>
      <c r="H2079" s="5">
        <f>IFERROR(__xludf.DUMMYFUNCTION("""COMPUTED_VALUE"""),3829.5)</f>
        <v>3829.5</v>
      </c>
      <c r="I2079" s="5">
        <f>IFERROR(__xludf.DUMMYFUNCTION("""COMPUTED_VALUE"""),4093.76)</f>
        <v>4093.76</v>
      </c>
      <c r="J2079" s="5">
        <f>IFERROR(__xludf.DUMMYFUNCTION("""COMPUTED_VALUE"""),8468.78)</f>
        <v>8468.78</v>
      </c>
      <c r="K2079" s="5">
        <f>IFERROR(__xludf.DUMMYFUNCTION("""COMPUTED_VALUE"""),6836.66)</f>
        <v>6836.66</v>
      </c>
      <c r="L2079" s="4">
        <f>IFERROR(__xludf.DUMMYFUNCTION("""COMPUTED_VALUE"""),1.0)</f>
        <v>1</v>
      </c>
      <c r="M2079" s="4">
        <f>IFERROR(__xludf.DUMMYFUNCTION("""COMPUTED_VALUE"""),81.0)</f>
        <v>81</v>
      </c>
      <c r="N2079" s="2" t="b">
        <f>IFERROR(__xludf.DUMMYFUNCTION("""COMPUTED_VALUE"""),TRUE)</f>
        <v>1</v>
      </c>
    </row>
    <row r="2080">
      <c r="A2080" s="2">
        <f>IFERROR(__xludf.DUMMYFUNCTION("""COMPUTED_VALUE"""),2079.0)</f>
        <v>2079</v>
      </c>
      <c r="B2080" s="2" t="str">
        <f>IFERROR(__xludf.DUMMYFUNCTION("""COMPUTED_VALUE"""),"Lucienne Ramel")</f>
        <v>Lucienne Ramel</v>
      </c>
      <c r="C2080" s="2"/>
      <c r="D2080" s="4">
        <f>IFERROR(__xludf.DUMMYFUNCTION("""COMPUTED_VALUE"""),11.0)</f>
        <v>11</v>
      </c>
      <c r="E2080" s="4">
        <f>IFERROR(__xludf.DUMMYFUNCTION("""COMPUTED_VALUE"""),81.0)</f>
        <v>81</v>
      </c>
      <c r="F2080" s="4">
        <f>IFERROR(__xludf.DUMMYFUNCTION("""COMPUTED_VALUE"""),2.0)</f>
        <v>2</v>
      </c>
      <c r="G2080" s="4">
        <f>IFERROR(__xludf.DUMMYFUNCTION("""COMPUTED_VALUE"""),1303.0)</f>
        <v>1303</v>
      </c>
      <c r="H2080" s="5">
        <f>IFERROR(__xludf.DUMMYFUNCTION("""COMPUTED_VALUE"""),3174.09)</f>
        <v>3174.09</v>
      </c>
      <c r="I2080" s="5">
        <f>IFERROR(__xludf.DUMMYFUNCTION("""COMPUTED_VALUE"""),2508.14)</f>
        <v>2508.14</v>
      </c>
      <c r="J2080" s="5">
        <f>IFERROR(__xludf.DUMMYFUNCTION("""COMPUTED_VALUE"""),5769.65)</f>
        <v>5769.65</v>
      </c>
      <c r="K2080" s="5">
        <f>IFERROR(__xludf.DUMMYFUNCTION("""COMPUTED_VALUE"""),3430.95)</f>
        <v>3430.95</v>
      </c>
      <c r="L2080" s="4">
        <f>IFERROR(__xludf.DUMMYFUNCTION("""COMPUTED_VALUE"""),17.0)</f>
        <v>17</v>
      </c>
      <c r="M2080" s="4">
        <f>IFERROR(__xludf.DUMMYFUNCTION("""COMPUTED_VALUE"""),8.0)</f>
        <v>8</v>
      </c>
      <c r="N2080" s="2" t="b">
        <f>IFERROR(__xludf.DUMMYFUNCTION("""COMPUTED_VALUE"""),TRUE)</f>
        <v>1</v>
      </c>
    </row>
    <row r="2081">
      <c r="A2081" s="2">
        <f>IFERROR(__xludf.DUMMYFUNCTION("""COMPUTED_VALUE"""),2080.0)</f>
        <v>2080</v>
      </c>
      <c r="B2081" s="2" t="str">
        <f>IFERROR(__xludf.DUMMYFUNCTION("""COMPUTED_VALUE"""),"Reinwald Cuell")</f>
        <v>Reinwald Cuell</v>
      </c>
      <c r="C2081" s="2" t="str">
        <f>IFERROR(__xludf.DUMMYFUNCTION("""COMPUTED_VALUE"""),"rcuell28@google.com")</f>
        <v>rcuell28@google.com</v>
      </c>
      <c r="D2081" s="4">
        <f>IFERROR(__xludf.DUMMYFUNCTION("""COMPUTED_VALUE"""),133.0)</f>
        <v>133</v>
      </c>
      <c r="E2081" s="4">
        <f>IFERROR(__xludf.DUMMYFUNCTION("""COMPUTED_VALUE"""),9.0)</f>
        <v>9</v>
      </c>
      <c r="F2081" s="4">
        <f>IFERROR(__xludf.DUMMYFUNCTION("""COMPUTED_VALUE"""),2.0)</f>
        <v>2</v>
      </c>
      <c r="G2081" s="4">
        <f>IFERROR(__xludf.DUMMYFUNCTION("""COMPUTED_VALUE"""),1463.0)</f>
        <v>1463</v>
      </c>
      <c r="H2081" s="5">
        <f>IFERROR(__xludf.DUMMYFUNCTION("""COMPUTED_VALUE"""),5336.11)</f>
        <v>5336.11</v>
      </c>
      <c r="I2081" s="5">
        <f>IFERROR(__xludf.DUMMYFUNCTION("""COMPUTED_VALUE"""),7918.5)</f>
        <v>7918.5</v>
      </c>
      <c r="J2081" s="5">
        <f>IFERROR(__xludf.DUMMYFUNCTION("""COMPUTED_VALUE"""),1537.96)</f>
        <v>1537.96</v>
      </c>
      <c r="K2081" s="5">
        <f>IFERROR(__xludf.DUMMYFUNCTION("""COMPUTED_VALUE"""),4155.87)</f>
        <v>4155.87</v>
      </c>
      <c r="L2081" s="4">
        <f>IFERROR(__xludf.DUMMYFUNCTION("""COMPUTED_VALUE"""),5.0)</f>
        <v>5</v>
      </c>
      <c r="M2081" s="4">
        <f>IFERROR(__xludf.DUMMYFUNCTION("""COMPUTED_VALUE"""),76.0)</f>
        <v>76</v>
      </c>
      <c r="N2081" s="2" t="b">
        <f>IFERROR(__xludf.DUMMYFUNCTION("""COMPUTED_VALUE"""),TRUE)</f>
        <v>1</v>
      </c>
    </row>
    <row r="2082">
      <c r="A2082" s="2">
        <f>IFERROR(__xludf.DUMMYFUNCTION("""COMPUTED_VALUE"""),2081.0)</f>
        <v>2081</v>
      </c>
      <c r="B2082" s="2" t="str">
        <f>IFERROR(__xludf.DUMMYFUNCTION("""COMPUTED_VALUE"""),"Andree Dessant")</f>
        <v>Andree Dessant</v>
      </c>
      <c r="C2082" s="2" t="str">
        <f>IFERROR(__xludf.DUMMYFUNCTION("""COMPUTED_VALUE"""),"adessant29@china.com.cn")</f>
        <v>adessant29@china.com.cn</v>
      </c>
      <c r="D2082" s="4">
        <f>IFERROR(__xludf.DUMMYFUNCTION("""COMPUTED_VALUE"""),35.0)</f>
        <v>35</v>
      </c>
      <c r="E2082" s="4">
        <f>IFERROR(__xludf.DUMMYFUNCTION("""COMPUTED_VALUE"""),3.0)</f>
        <v>3</v>
      </c>
      <c r="F2082" s="4">
        <f>IFERROR(__xludf.DUMMYFUNCTION("""COMPUTED_VALUE"""),12.0)</f>
        <v>12</v>
      </c>
      <c r="G2082" s="4">
        <f>IFERROR(__xludf.DUMMYFUNCTION("""COMPUTED_VALUE"""),328.0)</f>
        <v>328</v>
      </c>
      <c r="H2082" s="5">
        <f>IFERROR(__xludf.DUMMYFUNCTION("""COMPUTED_VALUE"""),3111.38)</f>
        <v>3111.38</v>
      </c>
      <c r="I2082" s="5">
        <f>IFERROR(__xludf.DUMMYFUNCTION("""COMPUTED_VALUE"""),9297.23)</f>
        <v>9297.23</v>
      </c>
      <c r="J2082" s="5">
        <f>IFERROR(__xludf.DUMMYFUNCTION("""COMPUTED_VALUE"""),5039.65)</f>
        <v>5039.65</v>
      </c>
      <c r="K2082" s="5">
        <f>IFERROR(__xludf.DUMMYFUNCTION("""COMPUTED_VALUE"""),3614.83)</f>
        <v>3614.83</v>
      </c>
      <c r="L2082" s="4">
        <f>IFERROR(__xludf.DUMMYFUNCTION("""COMPUTED_VALUE"""),5.0)</f>
        <v>5</v>
      </c>
      <c r="M2082" s="4">
        <f>IFERROR(__xludf.DUMMYFUNCTION("""COMPUTED_VALUE"""),53.0)</f>
        <v>53</v>
      </c>
      <c r="N2082" s="2" t="b">
        <f>IFERROR(__xludf.DUMMYFUNCTION("""COMPUTED_VALUE"""),FALSE)</f>
        <v>0</v>
      </c>
    </row>
    <row r="2083">
      <c r="A2083" s="2">
        <f>IFERROR(__xludf.DUMMYFUNCTION("""COMPUTED_VALUE"""),2082.0)</f>
        <v>2082</v>
      </c>
      <c r="B2083" s="2" t="str">
        <f>IFERROR(__xludf.DUMMYFUNCTION("""COMPUTED_VALUE"""),"Fabiano Flounders")</f>
        <v>Fabiano Flounders</v>
      </c>
      <c r="C2083" s="2"/>
      <c r="D2083" s="4">
        <f>IFERROR(__xludf.DUMMYFUNCTION("""COMPUTED_VALUE"""),61.0)</f>
        <v>61</v>
      </c>
      <c r="E2083" s="4">
        <f>IFERROR(__xludf.DUMMYFUNCTION("""COMPUTED_VALUE"""),12.0)</f>
        <v>12</v>
      </c>
      <c r="F2083" s="4">
        <f>IFERROR(__xludf.DUMMYFUNCTION("""COMPUTED_VALUE"""),3.0)</f>
        <v>3</v>
      </c>
      <c r="G2083" s="4">
        <f>IFERROR(__xludf.DUMMYFUNCTION("""COMPUTED_VALUE"""),387.0)</f>
        <v>387</v>
      </c>
      <c r="H2083" s="5">
        <f>IFERROR(__xludf.DUMMYFUNCTION("""COMPUTED_VALUE"""),8429.16)</f>
        <v>8429.16</v>
      </c>
      <c r="I2083" s="5">
        <f>IFERROR(__xludf.DUMMYFUNCTION("""COMPUTED_VALUE"""),671.23)</f>
        <v>671.23</v>
      </c>
      <c r="J2083" s="5">
        <f>IFERROR(__xludf.DUMMYFUNCTION("""COMPUTED_VALUE"""),5269.78)</f>
        <v>5269.78</v>
      </c>
      <c r="K2083" s="5">
        <f>IFERROR(__xludf.DUMMYFUNCTION("""COMPUTED_VALUE"""),8458.19)</f>
        <v>8458.19</v>
      </c>
      <c r="L2083" s="4">
        <f>IFERROR(__xludf.DUMMYFUNCTION("""COMPUTED_VALUE"""),12.0)</f>
        <v>12</v>
      </c>
      <c r="M2083" s="4">
        <f>IFERROR(__xludf.DUMMYFUNCTION("""COMPUTED_VALUE"""),78.0)</f>
        <v>78</v>
      </c>
      <c r="N2083" s="2" t="b">
        <f>IFERROR(__xludf.DUMMYFUNCTION("""COMPUTED_VALUE"""),TRUE)</f>
        <v>1</v>
      </c>
    </row>
    <row r="2084">
      <c r="A2084" s="2">
        <f>IFERROR(__xludf.DUMMYFUNCTION("""COMPUTED_VALUE"""),2083.0)</f>
        <v>2083</v>
      </c>
      <c r="B2084" s="2" t="str">
        <f>IFERROR(__xludf.DUMMYFUNCTION("""COMPUTED_VALUE"""),"Melloney Larcombe")</f>
        <v>Melloney Larcombe</v>
      </c>
      <c r="C2084" s="2" t="str">
        <f>IFERROR(__xludf.DUMMYFUNCTION("""COMPUTED_VALUE"""),"mlarcombe2b@jimdo.com")</f>
        <v>mlarcombe2b@jimdo.com</v>
      </c>
      <c r="D2084" s="4">
        <f>IFERROR(__xludf.DUMMYFUNCTION("""COMPUTED_VALUE"""),99.0)</f>
        <v>99</v>
      </c>
      <c r="E2084" s="4">
        <f>IFERROR(__xludf.DUMMYFUNCTION("""COMPUTED_VALUE"""),38.0)</f>
        <v>38</v>
      </c>
      <c r="F2084" s="4">
        <f>IFERROR(__xludf.DUMMYFUNCTION("""COMPUTED_VALUE"""),10.0)</f>
        <v>10</v>
      </c>
      <c r="G2084" s="4">
        <f>IFERROR(__xludf.DUMMYFUNCTION("""COMPUTED_VALUE"""),1579.0)</f>
        <v>1579</v>
      </c>
      <c r="H2084" s="5">
        <f>IFERROR(__xludf.DUMMYFUNCTION("""COMPUTED_VALUE"""),4668.94)</f>
        <v>4668.94</v>
      </c>
      <c r="I2084" s="5">
        <f>IFERROR(__xludf.DUMMYFUNCTION("""COMPUTED_VALUE"""),9317.26)</f>
        <v>9317.26</v>
      </c>
      <c r="J2084" s="5">
        <f>IFERROR(__xludf.DUMMYFUNCTION("""COMPUTED_VALUE"""),6066.29)</f>
        <v>6066.29</v>
      </c>
      <c r="K2084" s="5">
        <f>IFERROR(__xludf.DUMMYFUNCTION("""COMPUTED_VALUE"""),634.8)</f>
        <v>634.8</v>
      </c>
      <c r="L2084" s="4">
        <f>IFERROR(__xludf.DUMMYFUNCTION("""COMPUTED_VALUE"""),2.0)</f>
        <v>2</v>
      </c>
      <c r="M2084" s="4">
        <f>IFERROR(__xludf.DUMMYFUNCTION("""COMPUTED_VALUE"""),66.0)</f>
        <v>66</v>
      </c>
      <c r="N2084" s="2" t="b">
        <f>IFERROR(__xludf.DUMMYFUNCTION("""COMPUTED_VALUE"""),TRUE)</f>
        <v>1</v>
      </c>
    </row>
    <row r="2085">
      <c r="A2085" s="2">
        <f>IFERROR(__xludf.DUMMYFUNCTION("""COMPUTED_VALUE"""),2084.0)</f>
        <v>2084</v>
      </c>
      <c r="B2085" s="2" t="str">
        <f>IFERROR(__xludf.DUMMYFUNCTION("""COMPUTED_VALUE"""),"Aharon Tarte")</f>
        <v>Aharon Tarte</v>
      </c>
      <c r="C2085" s="2" t="str">
        <f>IFERROR(__xludf.DUMMYFUNCTION("""COMPUTED_VALUE"""),"atarte2c@creativecommons.org")</f>
        <v>atarte2c@creativecommons.org</v>
      </c>
      <c r="D2085" s="4">
        <f>IFERROR(__xludf.DUMMYFUNCTION("""COMPUTED_VALUE"""),97.0)</f>
        <v>97</v>
      </c>
      <c r="E2085" s="4">
        <f>IFERROR(__xludf.DUMMYFUNCTION("""COMPUTED_VALUE"""),114.0)</f>
        <v>114</v>
      </c>
      <c r="F2085" s="4">
        <f>IFERROR(__xludf.DUMMYFUNCTION("""COMPUTED_VALUE"""),8.0)</f>
        <v>8</v>
      </c>
      <c r="G2085" s="4">
        <f>IFERROR(__xludf.DUMMYFUNCTION("""COMPUTED_VALUE"""),681.0)</f>
        <v>681</v>
      </c>
      <c r="H2085" s="5">
        <f>IFERROR(__xludf.DUMMYFUNCTION("""COMPUTED_VALUE"""),3260.97)</f>
        <v>3260.97</v>
      </c>
      <c r="I2085" s="5">
        <f>IFERROR(__xludf.DUMMYFUNCTION("""COMPUTED_VALUE"""),4379.97)</f>
        <v>4379.97</v>
      </c>
      <c r="J2085" s="5">
        <f>IFERROR(__xludf.DUMMYFUNCTION("""COMPUTED_VALUE"""),3033.65)</f>
        <v>3033.65</v>
      </c>
      <c r="K2085" s="5">
        <f>IFERROR(__xludf.DUMMYFUNCTION("""COMPUTED_VALUE"""),1427.67)</f>
        <v>1427.67</v>
      </c>
      <c r="L2085" s="4">
        <f>IFERROR(__xludf.DUMMYFUNCTION("""COMPUTED_VALUE"""),5.0)</f>
        <v>5</v>
      </c>
      <c r="M2085" s="4">
        <f>IFERROR(__xludf.DUMMYFUNCTION("""COMPUTED_VALUE"""),35.0)</f>
        <v>35</v>
      </c>
      <c r="N2085" s="2" t="b">
        <f>IFERROR(__xludf.DUMMYFUNCTION("""COMPUTED_VALUE"""),FALSE)</f>
        <v>0</v>
      </c>
    </row>
    <row r="2086">
      <c r="A2086" s="2">
        <f>IFERROR(__xludf.DUMMYFUNCTION("""COMPUTED_VALUE"""),2085.0)</f>
        <v>2085</v>
      </c>
      <c r="B2086" s="2" t="str">
        <f>IFERROR(__xludf.DUMMYFUNCTION("""COMPUTED_VALUE"""),"Glen Chasson")</f>
        <v>Glen Chasson</v>
      </c>
      <c r="C2086" s="2"/>
      <c r="D2086" s="4">
        <f>IFERROR(__xludf.DUMMYFUNCTION("""COMPUTED_VALUE"""),93.0)</f>
        <v>93</v>
      </c>
      <c r="E2086" s="4">
        <f>IFERROR(__xludf.DUMMYFUNCTION("""COMPUTED_VALUE"""),91.0)</f>
        <v>91</v>
      </c>
      <c r="F2086" s="4">
        <f>IFERROR(__xludf.DUMMYFUNCTION("""COMPUTED_VALUE"""),11.0)</f>
        <v>11</v>
      </c>
      <c r="G2086" s="4">
        <f>IFERROR(__xludf.DUMMYFUNCTION("""COMPUTED_VALUE"""),1475.0)</f>
        <v>1475</v>
      </c>
      <c r="H2086" s="5">
        <f>IFERROR(__xludf.DUMMYFUNCTION("""COMPUTED_VALUE"""),8297.22)</f>
        <v>8297.22</v>
      </c>
      <c r="I2086" s="5">
        <f>IFERROR(__xludf.DUMMYFUNCTION("""COMPUTED_VALUE"""),1321.68)</f>
        <v>1321.68</v>
      </c>
      <c r="J2086" s="5">
        <f>IFERROR(__xludf.DUMMYFUNCTION("""COMPUTED_VALUE"""),292.38)</f>
        <v>292.38</v>
      </c>
      <c r="K2086" s="5">
        <f>IFERROR(__xludf.DUMMYFUNCTION("""COMPUTED_VALUE"""),8947.4)</f>
        <v>8947.4</v>
      </c>
      <c r="L2086" s="4">
        <f>IFERROR(__xludf.DUMMYFUNCTION("""COMPUTED_VALUE"""),3.0)</f>
        <v>3</v>
      </c>
      <c r="M2086" s="4">
        <f>IFERROR(__xludf.DUMMYFUNCTION("""COMPUTED_VALUE"""),32.0)</f>
        <v>32</v>
      </c>
      <c r="N2086" s="2" t="b">
        <f>IFERROR(__xludf.DUMMYFUNCTION("""COMPUTED_VALUE"""),TRUE)</f>
        <v>1</v>
      </c>
    </row>
    <row r="2087">
      <c r="A2087" s="2">
        <f>IFERROR(__xludf.DUMMYFUNCTION("""COMPUTED_VALUE"""),2086.0)</f>
        <v>2086</v>
      </c>
      <c r="B2087" s="2" t="str">
        <f>IFERROR(__xludf.DUMMYFUNCTION("""COMPUTED_VALUE"""),"Rorke De Angelis")</f>
        <v>Rorke De Angelis</v>
      </c>
      <c r="C2087" s="2" t="str">
        <f>IFERROR(__xludf.DUMMYFUNCTION("""COMPUTED_VALUE"""),"rde2e@squarespace.com")</f>
        <v>rde2e@squarespace.com</v>
      </c>
      <c r="D2087" s="4">
        <f>IFERROR(__xludf.DUMMYFUNCTION("""COMPUTED_VALUE"""),44.0)</f>
        <v>44</v>
      </c>
      <c r="E2087" s="4">
        <f>IFERROR(__xludf.DUMMYFUNCTION("""COMPUTED_VALUE"""),63.0)</f>
        <v>63</v>
      </c>
      <c r="F2087" s="4">
        <f>IFERROR(__xludf.DUMMYFUNCTION("""COMPUTED_VALUE"""),9.0)</f>
        <v>9</v>
      </c>
      <c r="G2087" s="4">
        <f>IFERROR(__xludf.DUMMYFUNCTION("""COMPUTED_VALUE"""),394.0)</f>
        <v>394</v>
      </c>
      <c r="H2087" s="5">
        <f>IFERROR(__xludf.DUMMYFUNCTION("""COMPUTED_VALUE"""),8993.81)</f>
        <v>8993.81</v>
      </c>
      <c r="I2087" s="5">
        <f>IFERROR(__xludf.DUMMYFUNCTION("""COMPUTED_VALUE"""),5859.72)</f>
        <v>5859.72</v>
      </c>
      <c r="J2087" s="5">
        <f>IFERROR(__xludf.DUMMYFUNCTION("""COMPUTED_VALUE"""),8613.94)</f>
        <v>8613.94</v>
      </c>
      <c r="K2087" s="5">
        <f>IFERROR(__xludf.DUMMYFUNCTION("""COMPUTED_VALUE"""),989.52)</f>
        <v>989.52</v>
      </c>
      <c r="L2087" s="4">
        <f>IFERROR(__xludf.DUMMYFUNCTION("""COMPUTED_VALUE"""),13.0)</f>
        <v>13</v>
      </c>
      <c r="M2087" s="4">
        <f>IFERROR(__xludf.DUMMYFUNCTION("""COMPUTED_VALUE"""),15.0)</f>
        <v>15</v>
      </c>
      <c r="N2087" s="2" t="b">
        <f>IFERROR(__xludf.DUMMYFUNCTION("""COMPUTED_VALUE"""),TRUE)</f>
        <v>1</v>
      </c>
    </row>
    <row r="2088">
      <c r="A2088" s="2">
        <f>IFERROR(__xludf.DUMMYFUNCTION("""COMPUTED_VALUE"""),2087.0)</f>
        <v>2087</v>
      </c>
      <c r="B2088" s="2" t="str">
        <f>IFERROR(__xludf.DUMMYFUNCTION("""COMPUTED_VALUE"""),"Ezri Anderbrugge")</f>
        <v>Ezri Anderbrugge</v>
      </c>
      <c r="C2088" s="2"/>
      <c r="D2088" s="4">
        <f>IFERROR(__xludf.DUMMYFUNCTION("""COMPUTED_VALUE"""),75.0)</f>
        <v>75</v>
      </c>
      <c r="E2088" s="4">
        <f>IFERROR(__xludf.DUMMYFUNCTION("""COMPUTED_VALUE"""),59.0)</f>
        <v>59</v>
      </c>
      <c r="F2088" s="4">
        <f>IFERROR(__xludf.DUMMYFUNCTION("""COMPUTED_VALUE"""),1.0)</f>
        <v>1</v>
      </c>
      <c r="G2088" s="4">
        <f>IFERROR(__xludf.DUMMYFUNCTION("""COMPUTED_VALUE"""),330.0)</f>
        <v>330</v>
      </c>
      <c r="H2088" s="5">
        <f>IFERROR(__xludf.DUMMYFUNCTION("""COMPUTED_VALUE"""),9960.79)</f>
        <v>9960.79</v>
      </c>
      <c r="I2088" s="5">
        <f>IFERROR(__xludf.DUMMYFUNCTION("""COMPUTED_VALUE"""),7411.33)</f>
        <v>7411.33</v>
      </c>
      <c r="J2088" s="5">
        <f>IFERROR(__xludf.DUMMYFUNCTION("""COMPUTED_VALUE"""),567.46)</f>
        <v>567.46</v>
      </c>
      <c r="K2088" s="5">
        <f>IFERROR(__xludf.DUMMYFUNCTION("""COMPUTED_VALUE"""),2763.06)</f>
        <v>2763.06</v>
      </c>
      <c r="L2088" s="4">
        <f>IFERROR(__xludf.DUMMYFUNCTION("""COMPUTED_VALUE"""),11.0)</f>
        <v>11</v>
      </c>
      <c r="M2088" s="4">
        <f>IFERROR(__xludf.DUMMYFUNCTION("""COMPUTED_VALUE"""),31.0)</f>
        <v>31</v>
      </c>
      <c r="N2088" s="2" t="b">
        <f>IFERROR(__xludf.DUMMYFUNCTION("""COMPUTED_VALUE"""),FALSE)</f>
        <v>0</v>
      </c>
    </row>
    <row r="2089">
      <c r="A2089" s="2">
        <f>IFERROR(__xludf.DUMMYFUNCTION("""COMPUTED_VALUE"""),2088.0)</f>
        <v>2088</v>
      </c>
      <c r="B2089" s="2" t="str">
        <f>IFERROR(__xludf.DUMMYFUNCTION("""COMPUTED_VALUE"""),"Marshal Rosengart")</f>
        <v>Marshal Rosengart</v>
      </c>
      <c r="C2089" s="2" t="str">
        <f>IFERROR(__xludf.DUMMYFUNCTION("""COMPUTED_VALUE"""),"mrosengart2g@behance.net")</f>
        <v>mrosengart2g@behance.net</v>
      </c>
      <c r="D2089" s="4">
        <f>IFERROR(__xludf.DUMMYFUNCTION("""COMPUTED_VALUE"""),47.0)</f>
        <v>47</v>
      </c>
      <c r="E2089" s="4">
        <f>IFERROR(__xludf.DUMMYFUNCTION("""COMPUTED_VALUE"""),77.0)</f>
        <v>77</v>
      </c>
      <c r="F2089" s="4">
        <f>IFERROR(__xludf.DUMMYFUNCTION("""COMPUTED_VALUE"""),12.0)</f>
        <v>12</v>
      </c>
      <c r="G2089" s="4">
        <f>IFERROR(__xludf.DUMMYFUNCTION("""COMPUTED_VALUE"""),1164.0)</f>
        <v>1164</v>
      </c>
      <c r="H2089" s="5">
        <f>IFERROR(__xludf.DUMMYFUNCTION("""COMPUTED_VALUE"""),8452.44)</f>
        <v>8452.44</v>
      </c>
      <c r="I2089" s="5">
        <f>IFERROR(__xludf.DUMMYFUNCTION("""COMPUTED_VALUE"""),1768.8)</f>
        <v>1768.8</v>
      </c>
      <c r="J2089" s="5">
        <f>IFERROR(__xludf.DUMMYFUNCTION("""COMPUTED_VALUE"""),2320.7)</f>
        <v>2320.7</v>
      </c>
      <c r="K2089" s="5">
        <f>IFERROR(__xludf.DUMMYFUNCTION("""COMPUTED_VALUE"""),4257.38)</f>
        <v>4257.38</v>
      </c>
      <c r="L2089" s="4">
        <f>IFERROR(__xludf.DUMMYFUNCTION("""COMPUTED_VALUE"""),16.0)</f>
        <v>16</v>
      </c>
      <c r="M2089" s="4">
        <f>IFERROR(__xludf.DUMMYFUNCTION("""COMPUTED_VALUE"""),91.0)</f>
        <v>91</v>
      </c>
      <c r="N2089" s="2" t="b">
        <f>IFERROR(__xludf.DUMMYFUNCTION("""COMPUTED_VALUE"""),TRUE)</f>
        <v>1</v>
      </c>
    </row>
    <row r="2090">
      <c r="A2090" s="2">
        <f>IFERROR(__xludf.DUMMYFUNCTION("""COMPUTED_VALUE"""),2089.0)</f>
        <v>2089</v>
      </c>
      <c r="B2090" s="2" t="str">
        <f>IFERROR(__xludf.DUMMYFUNCTION("""COMPUTED_VALUE"""),"Vonni Parkisson")</f>
        <v>Vonni Parkisson</v>
      </c>
      <c r="C2090" s="2"/>
      <c r="D2090" s="4">
        <f>IFERROR(__xludf.DUMMYFUNCTION("""COMPUTED_VALUE"""),2.0)</f>
        <v>2</v>
      </c>
      <c r="E2090" s="4">
        <f>IFERROR(__xludf.DUMMYFUNCTION("""COMPUTED_VALUE"""),47.0)</f>
        <v>47</v>
      </c>
      <c r="F2090" s="4">
        <f>IFERROR(__xludf.DUMMYFUNCTION("""COMPUTED_VALUE"""),11.0)</f>
        <v>11</v>
      </c>
      <c r="G2090" s="4">
        <f>IFERROR(__xludf.DUMMYFUNCTION("""COMPUTED_VALUE"""),50.0)</f>
        <v>50</v>
      </c>
      <c r="H2090" s="5">
        <f>IFERROR(__xludf.DUMMYFUNCTION("""COMPUTED_VALUE"""),2180.55)</f>
        <v>2180.55</v>
      </c>
      <c r="I2090" s="5">
        <f>IFERROR(__xludf.DUMMYFUNCTION("""COMPUTED_VALUE"""),640.33)</f>
        <v>640.33</v>
      </c>
      <c r="J2090" s="5">
        <f>IFERROR(__xludf.DUMMYFUNCTION("""COMPUTED_VALUE"""),5746.44)</f>
        <v>5746.44</v>
      </c>
      <c r="K2090" s="5">
        <f>IFERROR(__xludf.DUMMYFUNCTION("""COMPUTED_VALUE"""),5329.76)</f>
        <v>5329.76</v>
      </c>
      <c r="L2090" s="4">
        <f>IFERROR(__xludf.DUMMYFUNCTION("""COMPUTED_VALUE"""),20.0)</f>
        <v>20</v>
      </c>
      <c r="M2090" s="4">
        <f>IFERROR(__xludf.DUMMYFUNCTION("""COMPUTED_VALUE"""),31.0)</f>
        <v>31</v>
      </c>
      <c r="N2090" s="2" t="b">
        <f>IFERROR(__xludf.DUMMYFUNCTION("""COMPUTED_VALUE"""),TRUE)</f>
        <v>1</v>
      </c>
    </row>
    <row r="2091">
      <c r="A2091" s="2">
        <f>IFERROR(__xludf.DUMMYFUNCTION("""COMPUTED_VALUE"""),2090.0)</f>
        <v>2090</v>
      </c>
      <c r="B2091" s="2" t="str">
        <f>IFERROR(__xludf.DUMMYFUNCTION("""COMPUTED_VALUE"""),"Christian Muckloe")</f>
        <v>Christian Muckloe</v>
      </c>
      <c r="C2091" s="2"/>
      <c r="D2091" s="4">
        <f>IFERROR(__xludf.DUMMYFUNCTION("""COMPUTED_VALUE"""),97.0)</f>
        <v>97</v>
      </c>
      <c r="E2091" s="4">
        <f>IFERROR(__xludf.DUMMYFUNCTION("""COMPUTED_VALUE"""),73.0)</f>
        <v>73</v>
      </c>
      <c r="F2091" s="4">
        <f>IFERROR(__xludf.DUMMYFUNCTION("""COMPUTED_VALUE"""),10.0)</f>
        <v>10</v>
      </c>
      <c r="G2091" s="4">
        <f>IFERROR(__xludf.DUMMYFUNCTION("""COMPUTED_VALUE"""),921.0)</f>
        <v>921</v>
      </c>
      <c r="H2091" s="5">
        <f>IFERROR(__xludf.DUMMYFUNCTION("""COMPUTED_VALUE"""),5067.39)</f>
        <v>5067.39</v>
      </c>
      <c r="I2091" s="5">
        <f>IFERROR(__xludf.DUMMYFUNCTION("""COMPUTED_VALUE"""),1077.61)</f>
        <v>1077.61</v>
      </c>
      <c r="J2091" s="5">
        <f>IFERROR(__xludf.DUMMYFUNCTION("""COMPUTED_VALUE"""),7859.18)</f>
        <v>7859.18</v>
      </c>
      <c r="K2091" s="5">
        <f>IFERROR(__xludf.DUMMYFUNCTION("""COMPUTED_VALUE"""),1693.23)</f>
        <v>1693.23</v>
      </c>
      <c r="L2091" s="4">
        <f>IFERROR(__xludf.DUMMYFUNCTION("""COMPUTED_VALUE"""),9.0)</f>
        <v>9</v>
      </c>
      <c r="M2091" s="4">
        <f>IFERROR(__xludf.DUMMYFUNCTION("""COMPUTED_VALUE"""),41.0)</f>
        <v>41</v>
      </c>
      <c r="N2091" s="2" t="b">
        <f>IFERROR(__xludf.DUMMYFUNCTION("""COMPUTED_VALUE"""),FALSE)</f>
        <v>0</v>
      </c>
    </row>
    <row r="2092">
      <c r="A2092" s="2">
        <f>IFERROR(__xludf.DUMMYFUNCTION("""COMPUTED_VALUE"""),2091.0)</f>
        <v>2091</v>
      </c>
      <c r="B2092" s="2" t="str">
        <f>IFERROR(__xludf.DUMMYFUNCTION("""COMPUTED_VALUE"""),"Robinett Pridgeon")</f>
        <v>Robinett Pridgeon</v>
      </c>
      <c r="C2092" s="2"/>
      <c r="D2092" s="4">
        <f>IFERROR(__xludf.DUMMYFUNCTION("""COMPUTED_VALUE"""),136.0)</f>
        <v>136</v>
      </c>
      <c r="E2092" s="4">
        <f>IFERROR(__xludf.DUMMYFUNCTION("""COMPUTED_VALUE"""),75.0)</f>
        <v>75</v>
      </c>
      <c r="F2092" s="4">
        <f>IFERROR(__xludf.DUMMYFUNCTION("""COMPUTED_VALUE"""),8.0)</f>
        <v>8</v>
      </c>
      <c r="G2092" s="4">
        <f>IFERROR(__xludf.DUMMYFUNCTION("""COMPUTED_VALUE"""),223.0)</f>
        <v>223</v>
      </c>
      <c r="H2092" s="5">
        <f>IFERROR(__xludf.DUMMYFUNCTION("""COMPUTED_VALUE"""),9782.88)</f>
        <v>9782.88</v>
      </c>
      <c r="I2092" s="5">
        <f>IFERROR(__xludf.DUMMYFUNCTION("""COMPUTED_VALUE"""),4273.05)</f>
        <v>4273.05</v>
      </c>
      <c r="J2092" s="5">
        <f>IFERROR(__xludf.DUMMYFUNCTION("""COMPUTED_VALUE"""),2568.52)</f>
        <v>2568.52</v>
      </c>
      <c r="K2092" s="5">
        <f>IFERROR(__xludf.DUMMYFUNCTION("""COMPUTED_VALUE"""),7393.61)</f>
        <v>7393.61</v>
      </c>
      <c r="L2092" s="4">
        <f>IFERROR(__xludf.DUMMYFUNCTION("""COMPUTED_VALUE"""),15.0)</f>
        <v>15</v>
      </c>
      <c r="M2092" s="4">
        <f>IFERROR(__xludf.DUMMYFUNCTION("""COMPUTED_VALUE"""),80.0)</f>
        <v>80</v>
      </c>
      <c r="N2092" s="2" t="b">
        <f>IFERROR(__xludf.DUMMYFUNCTION("""COMPUTED_VALUE"""),TRUE)</f>
        <v>1</v>
      </c>
    </row>
    <row r="2093">
      <c r="A2093" s="2">
        <f>IFERROR(__xludf.DUMMYFUNCTION("""COMPUTED_VALUE"""),2092.0)</f>
        <v>2092</v>
      </c>
      <c r="B2093" s="2" t="str">
        <f>IFERROR(__xludf.DUMMYFUNCTION("""COMPUTED_VALUE"""),"Daryl Braganca")</f>
        <v>Daryl Braganca</v>
      </c>
      <c r="C2093" s="2"/>
      <c r="D2093" s="4">
        <f>IFERROR(__xludf.DUMMYFUNCTION("""COMPUTED_VALUE"""),42.0)</f>
        <v>42</v>
      </c>
      <c r="E2093" s="4">
        <f>IFERROR(__xludf.DUMMYFUNCTION("""COMPUTED_VALUE"""),116.0)</f>
        <v>116</v>
      </c>
      <c r="F2093" s="4">
        <f>IFERROR(__xludf.DUMMYFUNCTION("""COMPUTED_VALUE"""),3.0)</f>
        <v>3</v>
      </c>
      <c r="G2093" s="4">
        <f>IFERROR(__xludf.DUMMYFUNCTION("""COMPUTED_VALUE"""),174.0)</f>
        <v>174</v>
      </c>
      <c r="H2093" s="5">
        <f>IFERROR(__xludf.DUMMYFUNCTION("""COMPUTED_VALUE"""),6998.3)</f>
        <v>6998.3</v>
      </c>
      <c r="I2093" s="5">
        <f>IFERROR(__xludf.DUMMYFUNCTION("""COMPUTED_VALUE"""),8098.81)</f>
        <v>8098.81</v>
      </c>
      <c r="J2093" s="5">
        <f>IFERROR(__xludf.DUMMYFUNCTION("""COMPUTED_VALUE"""),904.73)</f>
        <v>904.73</v>
      </c>
      <c r="K2093" s="5">
        <f>IFERROR(__xludf.DUMMYFUNCTION("""COMPUTED_VALUE"""),1949.39)</f>
        <v>1949.39</v>
      </c>
      <c r="L2093" s="4">
        <f>IFERROR(__xludf.DUMMYFUNCTION("""COMPUTED_VALUE"""),16.0)</f>
        <v>16</v>
      </c>
      <c r="M2093" s="4">
        <f>IFERROR(__xludf.DUMMYFUNCTION("""COMPUTED_VALUE"""),68.0)</f>
        <v>68</v>
      </c>
      <c r="N2093" s="2" t="b">
        <f>IFERROR(__xludf.DUMMYFUNCTION("""COMPUTED_VALUE"""),TRUE)</f>
        <v>1</v>
      </c>
    </row>
    <row r="2094">
      <c r="A2094" s="2">
        <f>IFERROR(__xludf.DUMMYFUNCTION("""COMPUTED_VALUE"""),2093.0)</f>
        <v>2093</v>
      </c>
      <c r="B2094" s="2" t="str">
        <f>IFERROR(__xludf.DUMMYFUNCTION("""COMPUTED_VALUE"""),"Babbette Mucklestone")</f>
        <v>Babbette Mucklestone</v>
      </c>
      <c r="C2094" s="2" t="str">
        <f>IFERROR(__xludf.DUMMYFUNCTION("""COMPUTED_VALUE"""),"bmucklestone2l@eventbrite.com")</f>
        <v>bmucklestone2l@eventbrite.com</v>
      </c>
      <c r="D2094" s="4">
        <f>IFERROR(__xludf.DUMMYFUNCTION("""COMPUTED_VALUE"""),11.0)</f>
        <v>11</v>
      </c>
      <c r="E2094" s="4">
        <f>IFERROR(__xludf.DUMMYFUNCTION("""COMPUTED_VALUE"""),104.0)</f>
        <v>104</v>
      </c>
      <c r="F2094" s="4">
        <f>IFERROR(__xludf.DUMMYFUNCTION("""COMPUTED_VALUE"""),3.0)</f>
        <v>3</v>
      </c>
      <c r="G2094" s="4">
        <f>IFERROR(__xludf.DUMMYFUNCTION("""COMPUTED_VALUE"""),1545.0)</f>
        <v>1545</v>
      </c>
      <c r="H2094" s="5">
        <f>IFERROR(__xludf.DUMMYFUNCTION("""COMPUTED_VALUE"""),502.88)</f>
        <v>502.88</v>
      </c>
      <c r="I2094" s="5">
        <f>IFERROR(__xludf.DUMMYFUNCTION("""COMPUTED_VALUE"""),603.08)</f>
        <v>603.08</v>
      </c>
      <c r="J2094" s="5">
        <f>IFERROR(__xludf.DUMMYFUNCTION("""COMPUTED_VALUE"""),2555.38)</f>
        <v>2555.38</v>
      </c>
      <c r="K2094" s="5">
        <f>IFERROR(__xludf.DUMMYFUNCTION("""COMPUTED_VALUE"""),7418.07)</f>
        <v>7418.07</v>
      </c>
      <c r="L2094" s="4">
        <f>IFERROR(__xludf.DUMMYFUNCTION("""COMPUTED_VALUE"""),16.0)</f>
        <v>16</v>
      </c>
      <c r="M2094" s="4">
        <f>IFERROR(__xludf.DUMMYFUNCTION("""COMPUTED_VALUE"""),50.0)</f>
        <v>50</v>
      </c>
      <c r="N2094" s="2" t="b">
        <f>IFERROR(__xludf.DUMMYFUNCTION("""COMPUTED_VALUE"""),TRUE)</f>
        <v>1</v>
      </c>
    </row>
    <row r="2095">
      <c r="A2095" s="2">
        <f>IFERROR(__xludf.DUMMYFUNCTION("""COMPUTED_VALUE"""),2094.0)</f>
        <v>2094</v>
      </c>
      <c r="B2095" s="2" t="str">
        <f>IFERROR(__xludf.DUMMYFUNCTION("""COMPUTED_VALUE"""),"Elfreda Gleasane")</f>
        <v>Elfreda Gleasane</v>
      </c>
      <c r="C2095" s="2" t="str">
        <f>IFERROR(__xludf.DUMMYFUNCTION("""COMPUTED_VALUE"""),"egleasane2m@goodreads.com")</f>
        <v>egleasane2m@goodreads.com</v>
      </c>
      <c r="D2095" s="4">
        <f>IFERROR(__xludf.DUMMYFUNCTION("""COMPUTED_VALUE"""),92.0)</f>
        <v>92</v>
      </c>
      <c r="E2095" s="4">
        <f>IFERROR(__xludf.DUMMYFUNCTION("""COMPUTED_VALUE"""),13.0)</f>
        <v>13</v>
      </c>
      <c r="F2095" s="4">
        <f>IFERROR(__xludf.DUMMYFUNCTION("""COMPUTED_VALUE"""),3.0)</f>
        <v>3</v>
      </c>
      <c r="G2095" s="4">
        <f>IFERROR(__xludf.DUMMYFUNCTION("""COMPUTED_VALUE"""),996.0)</f>
        <v>996</v>
      </c>
      <c r="H2095" s="5">
        <f>IFERROR(__xludf.DUMMYFUNCTION("""COMPUTED_VALUE"""),7516.38)</f>
        <v>7516.38</v>
      </c>
      <c r="I2095" s="5">
        <f>IFERROR(__xludf.DUMMYFUNCTION("""COMPUTED_VALUE"""),5685.18)</f>
        <v>5685.18</v>
      </c>
      <c r="J2095" s="5">
        <f>IFERROR(__xludf.DUMMYFUNCTION("""COMPUTED_VALUE"""),37.94)</f>
        <v>37.94</v>
      </c>
      <c r="K2095" s="5">
        <f>IFERROR(__xludf.DUMMYFUNCTION("""COMPUTED_VALUE"""),8762.3)</f>
        <v>8762.3</v>
      </c>
      <c r="L2095" s="4">
        <f>IFERROR(__xludf.DUMMYFUNCTION("""COMPUTED_VALUE"""),19.0)</f>
        <v>19</v>
      </c>
      <c r="M2095" s="4">
        <f>IFERROR(__xludf.DUMMYFUNCTION("""COMPUTED_VALUE"""),35.0)</f>
        <v>35</v>
      </c>
      <c r="N2095" s="2" t="b">
        <f>IFERROR(__xludf.DUMMYFUNCTION("""COMPUTED_VALUE"""),TRUE)</f>
        <v>1</v>
      </c>
    </row>
    <row r="2096">
      <c r="A2096" s="2">
        <f>IFERROR(__xludf.DUMMYFUNCTION("""COMPUTED_VALUE"""),2095.0)</f>
        <v>2095</v>
      </c>
      <c r="B2096" s="2" t="str">
        <f>IFERROR(__xludf.DUMMYFUNCTION("""COMPUTED_VALUE"""),"Allene Crayker")</f>
        <v>Allene Crayker</v>
      </c>
      <c r="C2096" s="2"/>
      <c r="D2096" s="4">
        <f>IFERROR(__xludf.DUMMYFUNCTION("""COMPUTED_VALUE"""),105.0)</f>
        <v>105</v>
      </c>
      <c r="E2096" s="4">
        <f>IFERROR(__xludf.DUMMYFUNCTION("""COMPUTED_VALUE"""),114.0)</f>
        <v>114</v>
      </c>
      <c r="F2096" s="4">
        <f>IFERROR(__xludf.DUMMYFUNCTION("""COMPUTED_VALUE"""),7.0)</f>
        <v>7</v>
      </c>
      <c r="G2096" s="4">
        <f>IFERROR(__xludf.DUMMYFUNCTION("""COMPUTED_VALUE"""),925.0)</f>
        <v>925</v>
      </c>
      <c r="H2096" s="5">
        <f>IFERROR(__xludf.DUMMYFUNCTION("""COMPUTED_VALUE"""),6601.71)</f>
        <v>6601.71</v>
      </c>
      <c r="I2096" s="5">
        <f>IFERROR(__xludf.DUMMYFUNCTION("""COMPUTED_VALUE"""),8233.54)</f>
        <v>8233.54</v>
      </c>
      <c r="J2096" s="5">
        <f>IFERROR(__xludf.DUMMYFUNCTION("""COMPUTED_VALUE"""),956.48)</f>
        <v>956.48</v>
      </c>
      <c r="K2096" s="5">
        <f>IFERROR(__xludf.DUMMYFUNCTION("""COMPUTED_VALUE"""),4142.58)</f>
        <v>4142.58</v>
      </c>
      <c r="L2096" s="4">
        <f>IFERROR(__xludf.DUMMYFUNCTION("""COMPUTED_VALUE"""),7.0)</f>
        <v>7</v>
      </c>
      <c r="M2096" s="4">
        <f>IFERROR(__xludf.DUMMYFUNCTION("""COMPUTED_VALUE"""),23.0)</f>
        <v>23</v>
      </c>
      <c r="N2096" s="2" t="b">
        <f>IFERROR(__xludf.DUMMYFUNCTION("""COMPUTED_VALUE"""),FALSE)</f>
        <v>0</v>
      </c>
    </row>
    <row r="2097">
      <c r="A2097" s="2">
        <f>IFERROR(__xludf.DUMMYFUNCTION("""COMPUTED_VALUE"""),2096.0)</f>
        <v>2096</v>
      </c>
      <c r="B2097" s="2" t="str">
        <f>IFERROR(__xludf.DUMMYFUNCTION("""COMPUTED_VALUE"""),"Tish Dowty")</f>
        <v>Tish Dowty</v>
      </c>
      <c r="C2097" s="2"/>
      <c r="D2097" s="4">
        <f>IFERROR(__xludf.DUMMYFUNCTION("""COMPUTED_VALUE"""),115.0)</f>
        <v>115</v>
      </c>
      <c r="E2097" s="4">
        <f>IFERROR(__xludf.DUMMYFUNCTION("""COMPUTED_VALUE"""),89.0)</f>
        <v>89</v>
      </c>
      <c r="F2097" s="4">
        <f>IFERROR(__xludf.DUMMYFUNCTION("""COMPUTED_VALUE"""),9.0)</f>
        <v>9</v>
      </c>
      <c r="G2097" s="4">
        <f>IFERROR(__xludf.DUMMYFUNCTION("""COMPUTED_VALUE"""),960.0)</f>
        <v>960</v>
      </c>
      <c r="H2097" s="5">
        <f>IFERROR(__xludf.DUMMYFUNCTION("""COMPUTED_VALUE"""),2486.69)</f>
        <v>2486.69</v>
      </c>
      <c r="I2097" s="5">
        <f>IFERROR(__xludf.DUMMYFUNCTION("""COMPUTED_VALUE"""),1959.34)</f>
        <v>1959.34</v>
      </c>
      <c r="J2097" s="5">
        <f>IFERROR(__xludf.DUMMYFUNCTION("""COMPUTED_VALUE"""),2308.61)</f>
        <v>2308.61</v>
      </c>
      <c r="K2097" s="5">
        <f>IFERROR(__xludf.DUMMYFUNCTION("""COMPUTED_VALUE"""),9220.55)</f>
        <v>9220.55</v>
      </c>
      <c r="L2097" s="4">
        <f>IFERROR(__xludf.DUMMYFUNCTION("""COMPUTED_VALUE"""),10.0)</f>
        <v>10</v>
      </c>
      <c r="M2097" s="4">
        <f>IFERROR(__xludf.DUMMYFUNCTION("""COMPUTED_VALUE"""),47.0)</f>
        <v>47</v>
      </c>
      <c r="N2097" s="2" t="b">
        <f>IFERROR(__xludf.DUMMYFUNCTION("""COMPUTED_VALUE"""),TRUE)</f>
        <v>1</v>
      </c>
    </row>
    <row r="2098">
      <c r="A2098" s="2">
        <f>IFERROR(__xludf.DUMMYFUNCTION("""COMPUTED_VALUE"""),2097.0)</f>
        <v>2097</v>
      </c>
      <c r="B2098" s="2" t="str">
        <f>IFERROR(__xludf.DUMMYFUNCTION("""COMPUTED_VALUE"""),"Gnni McEnery")</f>
        <v>Gnni McEnery</v>
      </c>
      <c r="C2098" s="2"/>
      <c r="D2098" s="4">
        <f>IFERROR(__xludf.DUMMYFUNCTION("""COMPUTED_VALUE"""),131.0)</f>
        <v>131</v>
      </c>
      <c r="E2098" s="4">
        <f>IFERROR(__xludf.DUMMYFUNCTION("""COMPUTED_VALUE"""),43.0)</f>
        <v>43</v>
      </c>
      <c r="F2098" s="4">
        <f>IFERROR(__xludf.DUMMYFUNCTION("""COMPUTED_VALUE"""),10.0)</f>
        <v>10</v>
      </c>
      <c r="G2098" s="4">
        <f>IFERROR(__xludf.DUMMYFUNCTION("""COMPUTED_VALUE"""),492.0)</f>
        <v>492</v>
      </c>
      <c r="H2098" s="5">
        <f>IFERROR(__xludf.DUMMYFUNCTION("""COMPUTED_VALUE"""),6715.95)</f>
        <v>6715.95</v>
      </c>
      <c r="I2098" s="5">
        <f>IFERROR(__xludf.DUMMYFUNCTION("""COMPUTED_VALUE"""),3544.35)</f>
        <v>3544.35</v>
      </c>
      <c r="J2098" s="5">
        <f>IFERROR(__xludf.DUMMYFUNCTION("""COMPUTED_VALUE"""),4443.63)</f>
        <v>4443.63</v>
      </c>
      <c r="K2098" s="5">
        <f>IFERROR(__xludf.DUMMYFUNCTION("""COMPUTED_VALUE"""),9320.57)</f>
        <v>9320.57</v>
      </c>
      <c r="L2098" s="4">
        <f>IFERROR(__xludf.DUMMYFUNCTION("""COMPUTED_VALUE"""),4.0)</f>
        <v>4</v>
      </c>
      <c r="M2098" s="4">
        <f>IFERROR(__xludf.DUMMYFUNCTION("""COMPUTED_VALUE"""),41.0)</f>
        <v>41</v>
      </c>
      <c r="N2098" s="2" t="b">
        <f>IFERROR(__xludf.DUMMYFUNCTION("""COMPUTED_VALUE"""),TRUE)</f>
        <v>1</v>
      </c>
    </row>
    <row r="2099">
      <c r="A2099" s="2">
        <f>IFERROR(__xludf.DUMMYFUNCTION("""COMPUTED_VALUE"""),2098.0)</f>
        <v>2098</v>
      </c>
      <c r="B2099" s="2" t="str">
        <f>IFERROR(__xludf.DUMMYFUNCTION("""COMPUTED_VALUE"""),"Harmon Maiklem")</f>
        <v>Harmon Maiklem</v>
      </c>
      <c r="C2099" s="2"/>
      <c r="D2099" s="4">
        <f>IFERROR(__xludf.DUMMYFUNCTION("""COMPUTED_VALUE"""),42.0)</f>
        <v>42</v>
      </c>
      <c r="E2099" s="4">
        <f>IFERROR(__xludf.DUMMYFUNCTION("""COMPUTED_VALUE"""),116.0)</f>
        <v>116</v>
      </c>
      <c r="F2099" s="4">
        <f>IFERROR(__xludf.DUMMYFUNCTION("""COMPUTED_VALUE"""),6.0)</f>
        <v>6</v>
      </c>
      <c r="G2099" s="4">
        <f>IFERROR(__xludf.DUMMYFUNCTION("""COMPUTED_VALUE"""),183.0)</f>
        <v>183</v>
      </c>
      <c r="H2099" s="5">
        <f>IFERROR(__xludf.DUMMYFUNCTION("""COMPUTED_VALUE"""),4952.66)</f>
        <v>4952.66</v>
      </c>
      <c r="I2099" s="5">
        <f>IFERROR(__xludf.DUMMYFUNCTION("""COMPUTED_VALUE"""),5222.91)</f>
        <v>5222.91</v>
      </c>
      <c r="J2099" s="5">
        <f>IFERROR(__xludf.DUMMYFUNCTION("""COMPUTED_VALUE"""),999.2)</f>
        <v>999.2</v>
      </c>
      <c r="K2099" s="5">
        <f>IFERROR(__xludf.DUMMYFUNCTION("""COMPUTED_VALUE"""),2714.2)</f>
        <v>2714.2</v>
      </c>
      <c r="L2099" s="4">
        <f>IFERROR(__xludf.DUMMYFUNCTION("""COMPUTED_VALUE"""),13.0)</f>
        <v>13</v>
      </c>
      <c r="M2099" s="4">
        <f>IFERROR(__xludf.DUMMYFUNCTION("""COMPUTED_VALUE"""),46.0)</f>
        <v>46</v>
      </c>
      <c r="N2099" s="2" t="b">
        <f>IFERROR(__xludf.DUMMYFUNCTION("""COMPUTED_VALUE"""),FALSE)</f>
        <v>0</v>
      </c>
    </row>
    <row r="2100">
      <c r="A2100" s="2">
        <f>IFERROR(__xludf.DUMMYFUNCTION("""COMPUTED_VALUE"""),2099.0)</f>
        <v>2099</v>
      </c>
      <c r="B2100" s="2" t="str">
        <f>IFERROR(__xludf.DUMMYFUNCTION("""COMPUTED_VALUE"""),"Ettore Dalgetty")</f>
        <v>Ettore Dalgetty</v>
      </c>
      <c r="C2100" s="2"/>
      <c r="D2100" s="4">
        <f>IFERROR(__xludf.DUMMYFUNCTION("""COMPUTED_VALUE"""),96.0)</f>
        <v>96</v>
      </c>
      <c r="E2100" s="4">
        <f>IFERROR(__xludf.DUMMYFUNCTION("""COMPUTED_VALUE"""),84.0)</f>
        <v>84</v>
      </c>
      <c r="F2100" s="4">
        <f>IFERROR(__xludf.DUMMYFUNCTION("""COMPUTED_VALUE"""),9.0)</f>
        <v>9</v>
      </c>
      <c r="G2100" s="4">
        <f>IFERROR(__xludf.DUMMYFUNCTION("""COMPUTED_VALUE"""),1393.0)</f>
        <v>1393</v>
      </c>
      <c r="H2100" s="5">
        <f>IFERROR(__xludf.DUMMYFUNCTION("""COMPUTED_VALUE"""),7016.66)</f>
        <v>7016.66</v>
      </c>
      <c r="I2100" s="5">
        <f>IFERROR(__xludf.DUMMYFUNCTION("""COMPUTED_VALUE"""),7656.21)</f>
        <v>7656.21</v>
      </c>
      <c r="J2100" s="5">
        <f>IFERROR(__xludf.DUMMYFUNCTION("""COMPUTED_VALUE"""),8182.57)</f>
        <v>8182.57</v>
      </c>
      <c r="K2100" s="5">
        <f>IFERROR(__xludf.DUMMYFUNCTION("""COMPUTED_VALUE"""),6169.39)</f>
        <v>6169.39</v>
      </c>
      <c r="L2100" s="4">
        <f>IFERROR(__xludf.DUMMYFUNCTION("""COMPUTED_VALUE"""),14.0)</f>
        <v>14</v>
      </c>
      <c r="M2100" s="4">
        <f>IFERROR(__xludf.DUMMYFUNCTION("""COMPUTED_VALUE"""),54.0)</f>
        <v>54</v>
      </c>
      <c r="N2100" s="2" t="b">
        <f>IFERROR(__xludf.DUMMYFUNCTION("""COMPUTED_VALUE"""),FALSE)</f>
        <v>0</v>
      </c>
    </row>
    <row r="2101">
      <c r="A2101" s="2">
        <f>IFERROR(__xludf.DUMMYFUNCTION("""COMPUTED_VALUE"""),2100.0)</f>
        <v>2100</v>
      </c>
      <c r="B2101" s="2" t="str">
        <f>IFERROR(__xludf.DUMMYFUNCTION("""COMPUTED_VALUE"""),"Marisa Leverage")</f>
        <v>Marisa Leverage</v>
      </c>
      <c r="C2101" s="2" t="str">
        <f>IFERROR(__xludf.DUMMYFUNCTION("""COMPUTED_VALUE"""),"mleverage2s@berkeley.edu")</f>
        <v>mleverage2s@berkeley.edu</v>
      </c>
      <c r="D2101" s="4">
        <f>IFERROR(__xludf.DUMMYFUNCTION("""COMPUTED_VALUE"""),119.0)</f>
        <v>119</v>
      </c>
      <c r="E2101" s="4">
        <f>IFERROR(__xludf.DUMMYFUNCTION("""COMPUTED_VALUE"""),31.0)</f>
        <v>31</v>
      </c>
      <c r="F2101" s="4">
        <f>IFERROR(__xludf.DUMMYFUNCTION("""COMPUTED_VALUE"""),10.0)</f>
        <v>10</v>
      </c>
      <c r="G2101" s="4">
        <f>IFERROR(__xludf.DUMMYFUNCTION("""COMPUTED_VALUE"""),1244.0)</f>
        <v>1244</v>
      </c>
      <c r="H2101" s="5">
        <f>IFERROR(__xludf.DUMMYFUNCTION("""COMPUTED_VALUE"""),9208.09)</f>
        <v>9208.09</v>
      </c>
      <c r="I2101" s="5">
        <f>IFERROR(__xludf.DUMMYFUNCTION("""COMPUTED_VALUE"""),91.29)</f>
        <v>91.29</v>
      </c>
      <c r="J2101" s="5">
        <f>IFERROR(__xludf.DUMMYFUNCTION("""COMPUTED_VALUE"""),173.2)</f>
        <v>173.2</v>
      </c>
      <c r="K2101" s="5">
        <f>IFERROR(__xludf.DUMMYFUNCTION("""COMPUTED_VALUE"""),4656.47)</f>
        <v>4656.47</v>
      </c>
      <c r="L2101" s="4">
        <f>IFERROR(__xludf.DUMMYFUNCTION("""COMPUTED_VALUE"""),10.0)</f>
        <v>10</v>
      </c>
      <c r="M2101" s="4">
        <f>IFERROR(__xludf.DUMMYFUNCTION("""COMPUTED_VALUE"""),30.0)</f>
        <v>30</v>
      </c>
      <c r="N2101" s="2" t="b">
        <f>IFERROR(__xludf.DUMMYFUNCTION("""COMPUTED_VALUE"""),TRUE)</f>
        <v>1</v>
      </c>
    </row>
    <row r="2102">
      <c r="A2102" s="2">
        <f>IFERROR(__xludf.DUMMYFUNCTION("""COMPUTED_VALUE"""),2101.0)</f>
        <v>2101</v>
      </c>
      <c r="B2102" s="2" t="str">
        <f>IFERROR(__xludf.DUMMYFUNCTION("""COMPUTED_VALUE"""),"Bertram Juszkiewicz")</f>
        <v>Bertram Juszkiewicz</v>
      </c>
      <c r="C2102" s="2"/>
      <c r="D2102" s="4">
        <f>IFERROR(__xludf.DUMMYFUNCTION("""COMPUTED_VALUE"""),122.0)</f>
        <v>122</v>
      </c>
      <c r="E2102" s="4">
        <f>IFERROR(__xludf.DUMMYFUNCTION("""COMPUTED_VALUE"""),34.0)</f>
        <v>34</v>
      </c>
      <c r="F2102" s="4">
        <f>IFERROR(__xludf.DUMMYFUNCTION("""COMPUTED_VALUE"""),4.0)</f>
        <v>4</v>
      </c>
      <c r="G2102" s="4">
        <f>IFERROR(__xludf.DUMMYFUNCTION("""COMPUTED_VALUE"""),451.0)</f>
        <v>451</v>
      </c>
      <c r="H2102" s="5">
        <f>IFERROR(__xludf.DUMMYFUNCTION("""COMPUTED_VALUE"""),3723.81)</f>
        <v>3723.81</v>
      </c>
      <c r="I2102" s="5">
        <f>IFERROR(__xludf.DUMMYFUNCTION("""COMPUTED_VALUE"""),6097.95)</f>
        <v>6097.95</v>
      </c>
      <c r="J2102" s="5">
        <f>IFERROR(__xludf.DUMMYFUNCTION("""COMPUTED_VALUE"""),948.0)</f>
        <v>948</v>
      </c>
      <c r="K2102" s="5">
        <f>IFERROR(__xludf.DUMMYFUNCTION("""COMPUTED_VALUE"""),7057.66)</f>
        <v>7057.66</v>
      </c>
      <c r="L2102" s="4">
        <f>IFERROR(__xludf.DUMMYFUNCTION("""COMPUTED_VALUE"""),20.0)</f>
        <v>20</v>
      </c>
      <c r="M2102" s="4">
        <f>IFERROR(__xludf.DUMMYFUNCTION("""COMPUTED_VALUE"""),77.0)</f>
        <v>77</v>
      </c>
      <c r="N2102" s="2" t="b">
        <f>IFERROR(__xludf.DUMMYFUNCTION("""COMPUTED_VALUE"""),TRUE)</f>
        <v>1</v>
      </c>
    </row>
    <row r="2103">
      <c r="A2103" s="2">
        <f>IFERROR(__xludf.DUMMYFUNCTION("""COMPUTED_VALUE"""),2102.0)</f>
        <v>2102</v>
      </c>
      <c r="B2103" s="2" t="str">
        <f>IFERROR(__xludf.DUMMYFUNCTION("""COMPUTED_VALUE"""),"Bette Simla")</f>
        <v>Bette Simla</v>
      </c>
      <c r="C2103" s="2" t="str">
        <f>IFERROR(__xludf.DUMMYFUNCTION("""COMPUTED_VALUE"""),"bsimla2u@opensource.org")</f>
        <v>bsimla2u@opensource.org</v>
      </c>
      <c r="D2103" s="4">
        <f>IFERROR(__xludf.DUMMYFUNCTION("""COMPUTED_VALUE"""),58.0)</f>
        <v>58</v>
      </c>
      <c r="E2103" s="4">
        <f>IFERROR(__xludf.DUMMYFUNCTION("""COMPUTED_VALUE"""),8.0)</f>
        <v>8</v>
      </c>
      <c r="F2103" s="4">
        <f>IFERROR(__xludf.DUMMYFUNCTION("""COMPUTED_VALUE"""),11.0)</f>
        <v>11</v>
      </c>
      <c r="G2103" s="4">
        <f>IFERROR(__xludf.DUMMYFUNCTION("""COMPUTED_VALUE"""),1080.0)</f>
        <v>1080</v>
      </c>
      <c r="H2103" s="5">
        <f>IFERROR(__xludf.DUMMYFUNCTION("""COMPUTED_VALUE"""),4991.8)</f>
        <v>4991.8</v>
      </c>
      <c r="I2103" s="5">
        <f>IFERROR(__xludf.DUMMYFUNCTION("""COMPUTED_VALUE"""),6568.48)</f>
        <v>6568.48</v>
      </c>
      <c r="J2103" s="5">
        <f>IFERROR(__xludf.DUMMYFUNCTION("""COMPUTED_VALUE"""),7264.7)</f>
        <v>7264.7</v>
      </c>
      <c r="K2103" s="5">
        <f>IFERROR(__xludf.DUMMYFUNCTION("""COMPUTED_VALUE"""),2130.7)</f>
        <v>2130.7</v>
      </c>
      <c r="L2103" s="4">
        <f>IFERROR(__xludf.DUMMYFUNCTION("""COMPUTED_VALUE"""),7.0)</f>
        <v>7</v>
      </c>
      <c r="M2103" s="4">
        <f>IFERROR(__xludf.DUMMYFUNCTION("""COMPUTED_VALUE"""),2.0)</f>
        <v>2</v>
      </c>
      <c r="N2103" s="2" t="b">
        <f>IFERROR(__xludf.DUMMYFUNCTION("""COMPUTED_VALUE"""),FALSE)</f>
        <v>0</v>
      </c>
    </row>
    <row r="2104">
      <c r="A2104" s="2">
        <f>IFERROR(__xludf.DUMMYFUNCTION("""COMPUTED_VALUE"""),2103.0)</f>
        <v>2103</v>
      </c>
      <c r="B2104" s="2" t="str">
        <f>IFERROR(__xludf.DUMMYFUNCTION("""COMPUTED_VALUE"""),"Cindie Burnsell")</f>
        <v>Cindie Burnsell</v>
      </c>
      <c r="C2104" s="2"/>
      <c r="D2104" s="4">
        <f>IFERROR(__xludf.DUMMYFUNCTION("""COMPUTED_VALUE"""),52.0)</f>
        <v>52</v>
      </c>
      <c r="E2104" s="4">
        <f>IFERROR(__xludf.DUMMYFUNCTION("""COMPUTED_VALUE"""),40.0)</f>
        <v>40</v>
      </c>
      <c r="F2104" s="4">
        <f>IFERROR(__xludf.DUMMYFUNCTION("""COMPUTED_VALUE"""),8.0)</f>
        <v>8</v>
      </c>
      <c r="G2104" s="4">
        <f>IFERROR(__xludf.DUMMYFUNCTION("""COMPUTED_VALUE"""),107.0)</f>
        <v>107</v>
      </c>
      <c r="H2104" s="5">
        <f>IFERROR(__xludf.DUMMYFUNCTION("""COMPUTED_VALUE"""),6761.94)</f>
        <v>6761.94</v>
      </c>
      <c r="I2104" s="5">
        <f>IFERROR(__xludf.DUMMYFUNCTION("""COMPUTED_VALUE"""),409.98)</f>
        <v>409.98</v>
      </c>
      <c r="J2104" s="5">
        <f>IFERROR(__xludf.DUMMYFUNCTION("""COMPUTED_VALUE"""),1689.74)</f>
        <v>1689.74</v>
      </c>
      <c r="K2104" s="5">
        <f>IFERROR(__xludf.DUMMYFUNCTION("""COMPUTED_VALUE"""),4831.85)</f>
        <v>4831.85</v>
      </c>
      <c r="L2104" s="4">
        <f>IFERROR(__xludf.DUMMYFUNCTION("""COMPUTED_VALUE"""),15.0)</f>
        <v>15</v>
      </c>
      <c r="M2104" s="4">
        <f>IFERROR(__xludf.DUMMYFUNCTION("""COMPUTED_VALUE"""),32.0)</f>
        <v>32</v>
      </c>
      <c r="N2104" s="2" t="b">
        <f>IFERROR(__xludf.DUMMYFUNCTION("""COMPUTED_VALUE"""),TRUE)</f>
        <v>1</v>
      </c>
    </row>
    <row r="2105">
      <c r="A2105" s="2">
        <f>IFERROR(__xludf.DUMMYFUNCTION("""COMPUTED_VALUE"""),2104.0)</f>
        <v>2104</v>
      </c>
      <c r="B2105" s="2" t="str">
        <f>IFERROR(__xludf.DUMMYFUNCTION("""COMPUTED_VALUE"""),"Loise Cuniam")</f>
        <v>Loise Cuniam</v>
      </c>
      <c r="C2105" s="2"/>
      <c r="D2105" s="4">
        <f>IFERROR(__xludf.DUMMYFUNCTION("""COMPUTED_VALUE"""),135.0)</f>
        <v>135</v>
      </c>
      <c r="E2105" s="4">
        <f>IFERROR(__xludf.DUMMYFUNCTION("""COMPUTED_VALUE"""),15.0)</f>
        <v>15</v>
      </c>
      <c r="F2105" s="4">
        <f>IFERROR(__xludf.DUMMYFUNCTION("""COMPUTED_VALUE"""),7.0)</f>
        <v>7</v>
      </c>
      <c r="G2105" s="4">
        <f>IFERROR(__xludf.DUMMYFUNCTION("""COMPUTED_VALUE"""),1286.0)</f>
        <v>1286</v>
      </c>
      <c r="H2105" s="5">
        <f>IFERROR(__xludf.DUMMYFUNCTION("""COMPUTED_VALUE"""),3022.96)</f>
        <v>3022.96</v>
      </c>
      <c r="I2105" s="5">
        <f>IFERROR(__xludf.DUMMYFUNCTION("""COMPUTED_VALUE"""),8803.78)</f>
        <v>8803.78</v>
      </c>
      <c r="J2105" s="5">
        <f>IFERROR(__xludf.DUMMYFUNCTION("""COMPUTED_VALUE"""),8339.16)</f>
        <v>8339.16</v>
      </c>
      <c r="K2105" s="5">
        <f>IFERROR(__xludf.DUMMYFUNCTION("""COMPUTED_VALUE"""),8452.47)</f>
        <v>8452.47</v>
      </c>
      <c r="L2105" s="4">
        <f>IFERROR(__xludf.DUMMYFUNCTION("""COMPUTED_VALUE"""),17.0)</f>
        <v>17</v>
      </c>
      <c r="M2105" s="4">
        <f>IFERROR(__xludf.DUMMYFUNCTION("""COMPUTED_VALUE"""),9.0)</f>
        <v>9</v>
      </c>
      <c r="N2105" s="2" t="b">
        <f>IFERROR(__xludf.DUMMYFUNCTION("""COMPUTED_VALUE"""),FALSE)</f>
        <v>0</v>
      </c>
    </row>
    <row r="2106">
      <c r="A2106" s="2">
        <f>IFERROR(__xludf.DUMMYFUNCTION("""COMPUTED_VALUE"""),2105.0)</f>
        <v>2105</v>
      </c>
      <c r="B2106" s="2" t="str">
        <f>IFERROR(__xludf.DUMMYFUNCTION("""COMPUTED_VALUE"""),"Katharyn Quidenham")</f>
        <v>Katharyn Quidenham</v>
      </c>
      <c r="C2106" s="2"/>
      <c r="D2106" s="4">
        <f>IFERROR(__xludf.DUMMYFUNCTION("""COMPUTED_VALUE"""),105.0)</f>
        <v>105</v>
      </c>
      <c r="E2106" s="4">
        <f>IFERROR(__xludf.DUMMYFUNCTION("""COMPUTED_VALUE"""),30.0)</f>
        <v>30</v>
      </c>
      <c r="F2106" s="4">
        <f>IFERROR(__xludf.DUMMYFUNCTION("""COMPUTED_VALUE"""),7.0)</f>
        <v>7</v>
      </c>
      <c r="G2106" s="4">
        <f>IFERROR(__xludf.DUMMYFUNCTION("""COMPUTED_VALUE"""),723.0)</f>
        <v>723</v>
      </c>
      <c r="H2106" s="5">
        <f>IFERROR(__xludf.DUMMYFUNCTION("""COMPUTED_VALUE"""),3072.35)</f>
        <v>3072.35</v>
      </c>
      <c r="I2106" s="5">
        <f>IFERROR(__xludf.DUMMYFUNCTION("""COMPUTED_VALUE"""),3407.83)</f>
        <v>3407.83</v>
      </c>
      <c r="J2106" s="5">
        <f>IFERROR(__xludf.DUMMYFUNCTION("""COMPUTED_VALUE"""),6647.58)</f>
        <v>6647.58</v>
      </c>
      <c r="K2106" s="5">
        <f>IFERROR(__xludf.DUMMYFUNCTION("""COMPUTED_VALUE"""),5511.06)</f>
        <v>5511.06</v>
      </c>
      <c r="L2106" s="4">
        <f>IFERROR(__xludf.DUMMYFUNCTION("""COMPUTED_VALUE"""),14.0)</f>
        <v>14</v>
      </c>
      <c r="M2106" s="4">
        <f>IFERROR(__xludf.DUMMYFUNCTION("""COMPUTED_VALUE"""),34.0)</f>
        <v>34</v>
      </c>
      <c r="N2106" s="2" t="b">
        <f>IFERROR(__xludf.DUMMYFUNCTION("""COMPUTED_VALUE"""),TRUE)</f>
        <v>1</v>
      </c>
    </row>
    <row r="2107">
      <c r="A2107" s="2">
        <f>IFERROR(__xludf.DUMMYFUNCTION("""COMPUTED_VALUE"""),2106.0)</f>
        <v>2106</v>
      </c>
      <c r="B2107" s="2" t="str">
        <f>IFERROR(__xludf.DUMMYFUNCTION("""COMPUTED_VALUE"""),"Calli Fernley")</f>
        <v>Calli Fernley</v>
      </c>
      <c r="C2107" s="2"/>
      <c r="D2107" s="4">
        <f>IFERROR(__xludf.DUMMYFUNCTION("""COMPUTED_VALUE"""),9.0)</f>
        <v>9</v>
      </c>
      <c r="E2107" s="4">
        <f>IFERROR(__xludf.DUMMYFUNCTION("""COMPUTED_VALUE"""),84.0)</f>
        <v>84</v>
      </c>
      <c r="F2107" s="4">
        <f>IFERROR(__xludf.DUMMYFUNCTION("""COMPUTED_VALUE"""),1.0)</f>
        <v>1</v>
      </c>
      <c r="G2107" s="4">
        <f>IFERROR(__xludf.DUMMYFUNCTION("""COMPUTED_VALUE"""),173.0)</f>
        <v>173</v>
      </c>
      <c r="H2107" s="5">
        <f>IFERROR(__xludf.DUMMYFUNCTION("""COMPUTED_VALUE"""),7020.77)</f>
        <v>7020.77</v>
      </c>
      <c r="I2107" s="5">
        <f>IFERROR(__xludf.DUMMYFUNCTION("""COMPUTED_VALUE"""),7805.09)</f>
        <v>7805.09</v>
      </c>
      <c r="J2107" s="5">
        <f>IFERROR(__xludf.DUMMYFUNCTION("""COMPUTED_VALUE"""),3176.65)</f>
        <v>3176.65</v>
      </c>
      <c r="K2107" s="5">
        <f>IFERROR(__xludf.DUMMYFUNCTION("""COMPUTED_VALUE"""),6641.56)</f>
        <v>6641.56</v>
      </c>
      <c r="L2107" s="4">
        <f>IFERROR(__xludf.DUMMYFUNCTION("""COMPUTED_VALUE"""),16.0)</f>
        <v>16</v>
      </c>
      <c r="M2107" s="4">
        <f>IFERROR(__xludf.DUMMYFUNCTION("""COMPUTED_VALUE"""),81.0)</f>
        <v>81</v>
      </c>
      <c r="N2107" s="2" t="b">
        <f>IFERROR(__xludf.DUMMYFUNCTION("""COMPUTED_VALUE"""),FALSE)</f>
        <v>0</v>
      </c>
    </row>
    <row r="2108">
      <c r="A2108" s="2">
        <f>IFERROR(__xludf.DUMMYFUNCTION("""COMPUTED_VALUE"""),2107.0)</f>
        <v>2107</v>
      </c>
      <c r="B2108" s="2" t="str">
        <f>IFERROR(__xludf.DUMMYFUNCTION("""COMPUTED_VALUE"""),"Andros Easum")</f>
        <v>Andros Easum</v>
      </c>
      <c r="C2108" s="2"/>
      <c r="D2108" s="4">
        <f>IFERROR(__xludf.DUMMYFUNCTION("""COMPUTED_VALUE"""),131.0)</f>
        <v>131</v>
      </c>
      <c r="E2108" s="4">
        <f>IFERROR(__xludf.DUMMYFUNCTION("""COMPUTED_VALUE"""),80.0)</f>
        <v>80</v>
      </c>
      <c r="F2108" s="4">
        <f>IFERROR(__xludf.DUMMYFUNCTION("""COMPUTED_VALUE"""),5.0)</f>
        <v>5</v>
      </c>
      <c r="G2108" s="4">
        <f>IFERROR(__xludf.DUMMYFUNCTION("""COMPUTED_VALUE"""),687.0)</f>
        <v>687</v>
      </c>
      <c r="H2108" s="5">
        <f>IFERROR(__xludf.DUMMYFUNCTION("""COMPUTED_VALUE"""),1267.8)</f>
        <v>1267.8</v>
      </c>
      <c r="I2108" s="5">
        <f>IFERROR(__xludf.DUMMYFUNCTION("""COMPUTED_VALUE"""),5575.43)</f>
        <v>5575.43</v>
      </c>
      <c r="J2108" s="5">
        <f>IFERROR(__xludf.DUMMYFUNCTION("""COMPUTED_VALUE"""),5820.55)</f>
        <v>5820.55</v>
      </c>
      <c r="K2108" s="5">
        <f>IFERROR(__xludf.DUMMYFUNCTION("""COMPUTED_VALUE"""),1174.54)</f>
        <v>1174.54</v>
      </c>
      <c r="L2108" s="4">
        <f>IFERROR(__xludf.DUMMYFUNCTION("""COMPUTED_VALUE"""),6.0)</f>
        <v>6</v>
      </c>
      <c r="M2108" s="4">
        <f>IFERROR(__xludf.DUMMYFUNCTION("""COMPUTED_VALUE"""),90.0)</f>
        <v>90</v>
      </c>
      <c r="N2108" s="2" t="b">
        <f>IFERROR(__xludf.DUMMYFUNCTION("""COMPUTED_VALUE"""),FALSE)</f>
        <v>0</v>
      </c>
    </row>
    <row r="2109">
      <c r="A2109" s="2">
        <f>IFERROR(__xludf.DUMMYFUNCTION("""COMPUTED_VALUE"""),2108.0)</f>
        <v>2108</v>
      </c>
      <c r="B2109" s="2" t="str">
        <f>IFERROR(__xludf.DUMMYFUNCTION("""COMPUTED_VALUE"""),"Nev Waddilow")</f>
        <v>Nev Waddilow</v>
      </c>
      <c r="C2109" s="2" t="str">
        <f>IFERROR(__xludf.DUMMYFUNCTION("""COMPUTED_VALUE"""),"nwaddilow30@accuweather.com")</f>
        <v>nwaddilow30@accuweather.com</v>
      </c>
      <c r="D2109" s="4">
        <f>IFERROR(__xludf.DUMMYFUNCTION("""COMPUTED_VALUE"""),128.0)</f>
        <v>128</v>
      </c>
      <c r="E2109" s="4">
        <f>IFERROR(__xludf.DUMMYFUNCTION("""COMPUTED_VALUE"""),29.0)</f>
        <v>29</v>
      </c>
      <c r="F2109" s="4">
        <f>IFERROR(__xludf.DUMMYFUNCTION("""COMPUTED_VALUE"""),5.0)</f>
        <v>5</v>
      </c>
      <c r="G2109" s="4">
        <f>IFERROR(__xludf.DUMMYFUNCTION("""COMPUTED_VALUE"""),281.0)</f>
        <v>281</v>
      </c>
      <c r="H2109" s="5">
        <f>IFERROR(__xludf.DUMMYFUNCTION("""COMPUTED_VALUE"""),7613.88)</f>
        <v>7613.88</v>
      </c>
      <c r="I2109" s="5">
        <f>IFERROR(__xludf.DUMMYFUNCTION("""COMPUTED_VALUE"""),5253.72)</f>
        <v>5253.72</v>
      </c>
      <c r="J2109" s="5">
        <f>IFERROR(__xludf.DUMMYFUNCTION("""COMPUTED_VALUE"""),8447.73)</f>
        <v>8447.73</v>
      </c>
      <c r="K2109" s="5">
        <f>IFERROR(__xludf.DUMMYFUNCTION("""COMPUTED_VALUE"""),4578.75)</f>
        <v>4578.75</v>
      </c>
      <c r="L2109" s="4">
        <f>IFERROR(__xludf.DUMMYFUNCTION("""COMPUTED_VALUE"""),10.0)</f>
        <v>10</v>
      </c>
      <c r="M2109" s="4">
        <f>IFERROR(__xludf.DUMMYFUNCTION("""COMPUTED_VALUE"""),60.0)</f>
        <v>60</v>
      </c>
      <c r="N2109" s="2" t="b">
        <f>IFERROR(__xludf.DUMMYFUNCTION("""COMPUTED_VALUE"""),TRUE)</f>
        <v>1</v>
      </c>
    </row>
    <row r="2110">
      <c r="A2110" s="2">
        <f>IFERROR(__xludf.DUMMYFUNCTION("""COMPUTED_VALUE"""),2109.0)</f>
        <v>2109</v>
      </c>
      <c r="B2110" s="2" t="str">
        <f>IFERROR(__xludf.DUMMYFUNCTION("""COMPUTED_VALUE"""),"Sibilla Portman")</f>
        <v>Sibilla Portman</v>
      </c>
      <c r="C2110" s="2" t="str">
        <f>IFERROR(__xludf.DUMMYFUNCTION("""COMPUTED_VALUE"""),"sportman31@4shared.com")</f>
        <v>sportman31@4shared.com</v>
      </c>
      <c r="D2110" s="4">
        <f>IFERROR(__xludf.DUMMYFUNCTION("""COMPUTED_VALUE"""),119.0)</f>
        <v>119</v>
      </c>
      <c r="E2110" s="4">
        <f>IFERROR(__xludf.DUMMYFUNCTION("""COMPUTED_VALUE"""),56.0)</f>
        <v>56</v>
      </c>
      <c r="F2110" s="4">
        <f>IFERROR(__xludf.DUMMYFUNCTION("""COMPUTED_VALUE"""),13.0)</f>
        <v>13</v>
      </c>
      <c r="G2110" s="4">
        <f>IFERROR(__xludf.DUMMYFUNCTION("""COMPUTED_VALUE"""),359.0)</f>
        <v>359</v>
      </c>
      <c r="H2110" s="5">
        <f>IFERROR(__xludf.DUMMYFUNCTION("""COMPUTED_VALUE"""),1140.14)</f>
        <v>1140.14</v>
      </c>
      <c r="I2110" s="5">
        <f>IFERROR(__xludf.DUMMYFUNCTION("""COMPUTED_VALUE"""),3299.01)</f>
        <v>3299.01</v>
      </c>
      <c r="J2110" s="5">
        <f>IFERROR(__xludf.DUMMYFUNCTION("""COMPUTED_VALUE"""),5359.5)</f>
        <v>5359.5</v>
      </c>
      <c r="K2110" s="5">
        <f>IFERROR(__xludf.DUMMYFUNCTION("""COMPUTED_VALUE"""),6985.29)</f>
        <v>6985.29</v>
      </c>
      <c r="L2110" s="4">
        <f>IFERROR(__xludf.DUMMYFUNCTION("""COMPUTED_VALUE"""),5.0)</f>
        <v>5</v>
      </c>
      <c r="M2110" s="4">
        <f>IFERROR(__xludf.DUMMYFUNCTION("""COMPUTED_VALUE"""),78.0)</f>
        <v>78</v>
      </c>
      <c r="N2110" s="2" t="b">
        <f>IFERROR(__xludf.DUMMYFUNCTION("""COMPUTED_VALUE"""),TRUE)</f>
        <v>1</v>
      </c>
    </row>
    <row r="2111">
      <c r="A2111" s="2">
        <f>IFERROR(__xludf.DUMMYFUNCTION("""COMPUTED_VALUE"""),2110.0)</f>
        <v>2110</v>
      </c>
      <c r="B2111" s="2" t="str">
        <f>IFERROR(__xludf.DUMMYFUNCTION("""COMPUTED_VALUE"""),"Virgil Foy")</f>
        <v>Virgil Foy</v>
      </c>
      <c r="C2111" s="2" t="str">
        <f>IFERROR(__xludf.DUMMYFUNCTION("""COMPUTED_VALUE"""),"vfoy32@examiner.com")</f>
        <v>vfoy32@examiner.com</v>
      </c>
      <c r="D2111" s="4">
        <f>IFERROR(__xludf.DUMMYFUNCTION("""COMPUTED_VALUE"""),67.0)</f>
        <v>67</v>
      </c>
      <c r="E2111" s="4">
        <f>IFERROR(__xludf.DUMMYFUNCTION("""COMPUTED_VALUE"""),83.0)</f>
        <v>83</v>
      </c>
      <c r="F2111" s="4">
        <f>IFERROR(__xludf.DUMMYFUNCTION("""COMPUTED_VALUE"""),13.0)</f>
        <v>13</v>
      </c>
      <c r="G2111" s="4">
        <f>IFERROR(__xludf.DUMMYFUNCTION("""COMPUTED_VALUE"""),758.0)</f>
        <v>758</v>
      </c>
      <c r="H2111" s="5">
        <f>IFERROR(__xludf.DUMMYFUNCTION("""COMPUTED_VALUE"""),9513.33)</f>
        <v>9513.33</v>
      </c>
      <c r="I2111" s="5">
        <f>IFERROR(__xludf.DUMMYFUNCTION("""COMPUTED_VALUE"""),241.79)</f>
        <v>241.79</v>
      </c>
      <c r="J2111" s="5">
        <f>IFERROR(__xludf.DUMMYFUNCTION("""COMPUTED_VALUE"""),8014.14)</f>
        <v>8014.14</v>
      </c>
      <c r="K2111" s="5">
        <f>IFERROR(__xludf.DUMMYFUNCTION("""COMPUTED_VALUE"""),1327.39)</f>
        <v>1327.39</v>
      </c>
      <c r="L2111" s="4">
        <f>IFERROR(__xludf.DUMMYFUNCTION("""COMPUTED_VALUE"""),8.0)</f>
        <v>8</v>
      </c>
      <c r="M2111" s="4">
        <f>IFERROR(__xludf.DUMMYFUNCTION("""COMPUTED_VALUE"""),57.0)</f>
        <v>57</v>
      </c>
      <c r="N2111" s="2" t="b">
        <f>IFERROR(__xludf.DUMMYFUNCTION("""COMPUTED_VALUE"""),TRUE)</f>
        <v>1</v>
      </c>
    </row>
    <row r="2112">
      <c r="A2112" s="2">
        <f>IFERROR(__xludf.DUMMYFUNCTION("""COMPUTED_VALUE"""),2111.0)</f>
        <v>2111</v>
      </c>
      <c r="B2112" s="2" t="str">
        <f>IFERROR(__xludf.DUMMYFUNCTION("""COMPUTED_VALUE"""),"Stacy Maciejewski")</f>
        <v>Stacy Maciejewski</v>
      </c>
      <c r="C2112" s="2"/>
      <c r="D2112" s="4">
        <f>IFERROR(__xludf.DUMMYFUNCTION("""COMPUTED_VALUE"""),40.0)</f>
        <v>40</v>
      </c>
      <c r="E2112" s="4">
        <f>IFERROR(__xludf.DUMMYFUNCTION("""COMPUTED_VALUE"""),77.0)</f>
        <v>77</v>
      </c>
      <c r="F2112" s="4">
        <f>IFERROR(__xludf.DUMMYFUNCTION("""COMPUTED_VALUE"""),6.0)</f>
        <v>6</v>
      </c>
      <c r="G2112" s="4">
        <f>IFERROR(__xludf.DUMMYFUNCTION("""COMPUTED_VALUE"""),541.0)</f>
        <v>541</v>
      </c>
      <c r="H2112" s="5">
        <f>IFERROR(__xludf.DUMMYFUNCTION("""COMPUTED_VALUE"""),9220.83)</f>
        <v>9220.83</v>
      </c>
      <c r="I2112" s="5">
        <f>IFERROR(__xludf.DUMMYFUNCTION("""COMPUTED_VALUE"""),2272.23)</f>
        <v>2272.23</v>
      </c>
      <c r="J2112" s="5">
        <f>IFERROR(__xludf.DUMMYFUNCTION("""COMPUTED_VALUE"""),8074.87)</f>
        <v>8074.87</v>
      </c>
      <c r="K2112" s="5">
        <f>IFERROR(__xludf.DUMMYFUNCTION("""COMPUTED_VALUE"""),9808.43)</f>
        <v>9808.43</v>
      </c>
      <c r="L2112" s="4">
        <f>IFERROR(__xludf.DUMMYFUNCTION("""COMPUTED_VALUE"""),13.0)</f>
        <v>13</v>
      </c>
      <c r="M2112" s="4">
        <f>IFERROR(__xludf.DUMMYFUNCTION("""COMPUTED_VALUE"""),7.0)</f>
        <v>7</v>
      </c>
      <c r="N2112" s="2" t="b">
        <f>IFERROR(__xludf.DUMMYFUNCTION("""COMPUTED_VALUE"""),FALSE)</f>
        <v>0</v>
      </c>
    </row>
    <row r="2113">
      <c r="A2113" s="2">
        <f>IFERROR(__xludf.DUMMYFUNCTION("""COMPUTED_VALUE"""),2112.0)</f>
        <v>2112</v>
      </c>
      <c r="B2113" s="2" t="str">
        <f>IFERROR(__xludf.DUMMYFUNCTION("""COMPUTED_VALUE"""),"Mortimer Passo")</f>
        <v>Mortimer Passo</v>
      </c>
      <c r="C2113" s="2"/>
      <c r="D2113" s="4">
        <f>IFERROR(__xludf.DUMMYFUNCTION("""COMPUTED_VALUE"""),158.0)</f>
        <v>158</v>
      </c>
      <c r="E2113" s="4">
        <f>IFERROR(__xludf.DUMMYFUNCTION("""COMPUTED_VALUE"""),49.0)</f>
        <v>49</v>
      </c>
      <c r="F2113" s="4">
        <f>IFERROR(__xludf.DUMMYFUNCTION("""COMPUTED_VALUE"""),10.0)</f>
        <v>10</v>
      </c>
      <c r="G2113" s="4">
        <f>IFERROR(__xludf.DUMMYFUNCTION("""COMPUTED_VALUE"""),95.0)</f>
        <v>95</v>
      </c>
      <c r="H2113" s="5">
        <f>IFERROR(__xludf.DUMMYFUNCTION("""COMPUTED_VALUE"""),4067.27)</f>
        <v>4067.27</v>
      </c>
      <c r="I2113" s="5">
        <f>IFERROR(__xludf.DUMMYFUNCTION("""COMPUTED_VALUE"""),6110.08)</f>
        <v>6110.08</v>
      </c>
      <c r="J2113" s="5">
        <f>IFERROR(__xludf.DUMMYFUNCTION("""COMPUTED_VALUE"""),7102.5)</f>
        <v>7102.5</v>
      </c>
      <c r="K2113" s="5">
        <f>IFERROR(__xludf.DUMMYFUNCTION("""COMPUTED_VALUE"""),6390.76)</f>
        <v>6390.76</v>
      </c>
      <c r="L2113" s="4">
        <f>IFERROR(__xludf.DUMMYFUNCTION("""COMPUTED_VALUE"""),15.0)</f>
        <v>15</v>
      </c>
      <c r="M2113" s="4">
        <f>IFERROR(__xludf.DUMMYFUNCTION("""COMPUTED_VALUE"""),46.0)</f>
        <v>46</v>
      </c>
      <c r="N2113" s="2" t="b">
        <f>IFERROR(__xludf.DUMMYFUNCTION("""COMPUTED_VALUE"""),TRUE)</f>
        <v>1</v>
      </c>
    </row>
    <row r="2114">
      <c r="A2114" s="2">
        <f>IFERROR(__xludf.DUMMYFUNCTION("""COMPUTED_VALUE"""),2113.0)</f>
        <v>2113</v>
      </c>
      <c r="B2114" s="2" t="str">
        <f>IFERROR(__xludf.DUMMYFUNCTION("""COMPUTED_VALUE"""),"Evonne Meany")</f>
        <v>Evonne Meany</v>
      </c>
      <c r="C2114" s="2"/>
      <c r="D2114" s="4">
        <f>IFERROR(__xludf.DUMMYFUNCTION("""COMPUTED_VALUE"""),83.0)</f>
        <v>83</v>
      </c>
      <c r="E2114" s="4">
        <f>IFERROR(__xludf.DUMMYFUNCTION("""COMPUTED_VALUE"""),60.0)</f>
        <v>60</v>
      </c>
      <c r="F2114" s="4">
        <f>IFERROR(__xludf.DUMMYFUNCTION("""COMPUTED_VALUE"""),10.0)</f>
        <v>10</v>
      </c>
      <c r="G2114" s="4">
        <f>IFERROR(__xludf.DUMMYFUNCTION("""COMPUTED_VALUE"""),1174.0)</f>
        <v>1174</v>
      </c>
      <c r="H2114" s="5">
        <f>IFERROR(__xludf.DUMMYFUNCTION("""COMPUTED_VALUE"""),3352.3)</f>
        <v>3352.3</v>
      </c>
      <c r="I2114" s="5">
        <f>IFERROR(__xludf.DUMMYFUNCTION("""COMPUTED_VALUE"""),1537.18)</f>
        <v>1537.18</v>
      </c>
      <c r="J2114" s="5">
        <f>IFERROR(__xludf.DUMMYFUNCTION("""COMPUTED_VALUE"""),4979.31)</f>
        <v>4979.31</v>
      </c>
      <c r="K2114" s="5">
        <f>IFERROR(__xludf.DUMMYFUNCTION("""COMPUTED_VALUE"""),8108.67)</f>
        <v>8108.67</v>
      </c>
      <c r="L2114" s="4">
        <f>IFERROR(__xludf.DUMMYFUNCTION("""COMPUTED_VALUE"""),19.0)</f>
        <v>19</v>
      </c>
      <c r="M2114" s="4">
        <f>IFERROR(__xludf.DUMMYFUNCTION("""COMPUTED_VALUE"""),91.0)</f>
        <v>91</v>
      </c>
      <c r="N2114" s="2" t="b">
        <f>IFERROR(__xludf.DUMMYFUNCTION("""COMPUTED_VALUE"""),FALSE)</f>
        <v>0</v>
      </c>
    </row>
    <row r="2115">
      <c r="A2115" s="2">
        <f>IFERROR(__xludf.DUMMYFUNCTION("""COMPUTED_VALUE"""),2114.0)</f>
        <v>2114</v>
      </c>
      <c r="B2115" s="2" t="str">
        <f>IFERROR(__xludf.DUMMYFUNCTION("""COMPUTED_VALUE"""),"Tommie Hutcheon")</f>
        <v>Tommie Hutcheon</v>
      </c>
      <c r="C2115" s="2" t="str">
        <f>IFERROR(__xludf.DUMMYFUNCTION("""COMPUTED_VALUE"""),"thutcheon36@house.gov")</f>
        <v>thutcheon36@house.gov</v>
      </c>
      <c r="D2115" s="4">
        <f>IFERROR(__xludf.DUMMYFUNCTION("""COMPUTED_VALUE"""),74.0)</f>
        <v>74</v>
      </c>
      <c r="E2115" s="4">
        <f>IFERROR(__xludf.DUMMYFUNCTION("""COMPUTED_VALUE"""),49.0)</f>
        <v>49</v>
      </c>
      <c r="F2115" s="4">
        <f>IFERROR(__xludf.DUMMYFUNCTION("""COMPUTED_VALUE"""),5.0)</f>
        <v>5</v>
      </c>
      <c r="G2115" s="4">
        <f>IFERROR(__xludf.DUMMYFUNCTION("""COMPUTED_VALUE"""),331.0)</f>
        <v>331</v>
      </c>
      <c r="H2115" s="5">
        <f>IFERROR(__xludf.DUMMYFUNCTION("""COMPUTED_VALUE"""),3660.65)</f>
        <v>3660.65</v>
      </c>
      <c r="I2115" s="5">
        <f>IFERROR(__xludf.DUMMYFUNCTION("""COMPUTED_VALUE"""),124.56)</f>
        <v>124.56</v>
      </c>
      <c r="J2115" s="5">
        <f>IFERROR(__xludf.DUMMYFUNCTION("""COMPUTED_VALUE"""),4048.63)</f>
        <v>4048.63</v>
      </c>
      <c r="K2115" s="5">
        <f>IFERROR(__xludf.DUMMYFUNCTION("""COMPUTED_VALUE"""),668.08)</f>
        <v>668.08</v>
      </c>
      <c r="L2115" s="4">
        <f>IFERROR(__xludf.DUMMYFUNCTION("""COMPUTED_VALUE"""),14.0)</f>
        <v>14</v>
      </c>
      <c r="M2115" s="4">
        <f>IFERROR(__xludf.DUMMYFUNCTION("""COMPUTED_VALUE"""),74.0)</f>
        <v>74</v>
      </c>
      <c r="N2115" s="2" t="b">
        <f>IFERROR(__xludf.DUMMYFUNCTION("""COMPUTED_VALUE"""),TRUE)</f>
        <v>1</v>
      </c>
    </row>
    <row r="2116">
      <c r="A2116" s="2">
        <f>IFERROR(__xludf.DUMMYFUNCTION("""COMPUTED_VALUE"""),2115.0)</f>
        <v>2115</v>
      </c>
      <c r="B2116" s="2" t="str">
        <f>IFERROR(__xludf.DUMMYFUNCTION("""COMPUTED_VALUE"""),"Rodge Lohrensen")</f>
        <v>Rodge Lohrensen</v>
      </c>
      <c r="C2116" s="2" t="str">
        <f>IFERROR(__xludf.DUMMYFUNCTION("""COMPUTED_VALUE"""),"rlohrensen37@ifeng.com")</f>
        <v>rlohrensen37@ifeng.com</v>
      </c>
      <c r="D2116" s="4">
        <f>IFERROR(__xludf.DUMMYFUNCTION("""COMPUTED_VALUE"""),107.0)</f>
        <v>107</v>
      </c>
      <c r="E2116" s="4">
        <f>IFERROR(__xludf.DUMMYFUNCTION("""COMPUTED_VALUE"""),79.0)</f>
        <v>79</v>
      </c>
      <c r="F2116" s="4">
        <f>IFERROR(__xludf.DUMMYFUNCTION("""COMPUTED_VALUE"""),7.0)</f>
        <v>7</v>
      </c>
      <c r="G2116" s="4">
        <f>IFERROR(__xludf.DUMMYFUNCTION("""COMPUTED_VALUE"""),16.0)</f>
        <v>16</v>
      </c>
      <c r="H2116" s="5">
        <f>IFERROR(__xludf.DUMMYFUNCTION("""COMPUTED_VALUE"""),7173.34)</f>
        <v>7173.34</v>
      </c>
      <c r="I2116" s="5">
        <f>IFERROR(__xludf.DUMMYFUNCTION("""COMPUTED_VALUE"""),1941.69)</f>
        <v>1941.69</v>
      </c>
      <c r="J2116" s="5">
        <f>IFERROR(__xludf.DUMMYFUNCTION("""COMPUTED_VALUE"""),9899.9)</f>
        <v>9899.9</v>
      </c>
      <c r="K2116" s="5">
        <f>IFERROR(__xludf.DUMMYFUNCTION("""COMPUTED_VALUE"""),6965.68)</f>
        <v>6965.68</v>
      </c>
      <c r="L2116" s="4">
        <f>IFERROR(__xludf.DUMMYFUNCTION("""COMPUTED_VALUE"""),19.0)</f>
        <v>19</v>
      </c>
      <c r="M2116" s="4">
        <f>IFERROR(__xludf.DUMMYFUNCTION("""COMPUTED_VALUE"""),73.0)</f>
        <v>73</v>
      </c>
      <c r="N2116" s="2" t="b">
        <f>IFERROR(__xludf.DUMMYFUNCTION("""COMPUTED_VALUE"""),TRUE)</f>
        <v>1</v>
      </c>
    </row>
    <row r="2117">
      <c r="A2117" s="2">
        <f>IFERROR(__xludf.DUMMYFUNCTION("""COMPUTED_VALUE"""),2116.0)</f>
        <v>2116</v>
      </c>
      <c r="B2117" s="2" t="str">
        <f>IFERROR(__xludf.DUMMYFUNCTION("""COMPUTED_VALUE"""),"Carolyne Fairbank")</f>
        <v>Carolyne Fairbank</v>
      </c>
      <c r="C2117" s="2" t="str">
        <f>IFERROR(__xludf.DUMMYFUNCTION("""COMPUTED_VALUE"""),"cfairbank38@shinystat.com")</f>
        <v>cfairbank38@shinystat.com</v>
      </c>
      <c r="D2117" s="4">
        <f>IFERROR(__xludf.DUMMYFUNCTION("""COMPUTED_VALUE"""),60.0)</f>
        <v>60</v>
      </c>
      <c r="E2117" s="4">
        <f>IFERROR(__xludf.DUMMYFUNCTION("""COMPUTED_VALUE"""),104.0)</f>
        <v>104</v>
      </c>
      <c r="F2117" s="4">
        <f>IFERROR(__xludf.DUMMYFUNCTION("""COMPUTED_VALUE"""),8.0)</f>
        <v>8</v>
      </c>
      <c r="G2117" s="4">
        <f>IFERROR(__xludf.DUMMYFUNCTION("""COMPUTED_VALUE"""),293.0)</f>
        <v>293</v>
      </c>
      <c r="H2117" s="5">
        <f>IFERROR(__xludf.DUMMYFUNCTION("""COMPUTED_VALUE"""),8234.04)</f>
        <v>8234.04</v>
      </c>
      <c r="I2117" s="5">
        <f>IFERROR(__xludf.DUMMYFUNCTION("""COMPUTED_VALUE"""),5892.24)</f>
        <v>5892.24</v>
      </c>
      <c r="J2117" s="5">
        <f>IFERROR(__xludf.DUMMYFUNCTION("""COMPUTED_VALUE"""),3315.55)</f>
        <v>3315.55</v>
      </c>
      <c r="K2117" s="5">
        <f>IFERROR(__xludf.DUMMYFUNCTION("""COMPUTED_VALUE"""),9219.78)</f>
        <v>9219.78</v>
      </c>
      <c r="L2117" s="4">
        <f>IFERROR(__xludf.DUMMYFUNCTION("""COMPUTED_VALUE"""),3.0)</f>
        <v>3</v>
      </c>
      <c r="M2117" s="4">
        <f>IFERROR(__xludf.DUMMYFUNCTION("""COMPUTED_VALUE"""),76.0)</f>
        <v>76</v>
      </c>
      <c r="N2117" s="2" t="b">
        <f>IFERROR(__xludf.DUMMYFUNCTION("""COMPUTED_VALUE"""),FALSE)</f>
        <v>0</v>
      </c>
    </row>
    <row r="2118">
      <c r="A2118" s="2">
        <f>IFERROR(__xludf.DUMMYFUNCTION("""COMPUTED_VALUE"""),2117.0)</f>
        <v>2117</v>
      </c>
      <c r="B2118" s="2" t="str">
        <f>IFERROR(__xludf.DUMMYFUNCTION("""COMPUTED_VALUE"""),"Cristal Thundercliffe")</f>
        <v>Cristal Thundercliffe</v>
      </c>
      <c r="C2118" s="2"/>
      <c r="D2118" s="4">
        <f>IFERROR(__xludf.DUMMYFUNCTION("""COMPUTED_VALUE"""),158.0)</f>
        <v>158</v>
      </c>
      <c r="E2118" s="4">
        <f>IFERROR(__xludf.DUMMYFUNCTION("""COMPUTED_VALUE"""),34.0)</f>
        <v>34</v>
      </c>
      <c r="F2118" s="4">
        <f>IFERROR(__xludf.DUMMYFUNCTION("""COMPUTED_VALUE"""),9.0)</f>
        <v>9</v>
      </c>
      <c r="G2118" s="4">
        <f>IFERROR(__xludf.DUMMYFUNCTION("""COMPUTED_VALUE"""),161.0)</f>
        <v>161</v>
      </c>
      <c r="H2118" s="5">
        <f>IFERROR(__xludf.DUMMYFUNCTION("""COMPUTED_VALUE"""),4632.54)</f>
        <v>4632.54</v>
      </c>
      <c r="I2118" s="5">
        <f>IFERROR(__xludf.DUMMYFUNCTION("""COMPUTED_VALUE"""),1754.44)</f>
        <v>1754.44</v>
      </c>
      <c r="J2118" s="5">
        <f>IFERROR(__xludf.DUMMYFUNCTION("""COMPUTED_VALUE"""),5256.65)</f>
        <v>5256.65</v>
      </c>
      <c r="K2118" s="5">
        <f>IFERROR(__xludf.DUMMYFUNCTION("""COMPUTED_VALUE"""),4853.24)</f>
        <v>4853.24</v>
      </c>
      <c r="L2118" s="4">
        <f>IFERROR(__xludf.DUMMYFUNCTION("""COMPUTED_VALUE"""),16.0)</f>
        <v>16</v>
      </c>
      <c r="M2118" s="4">
        <f>IFERROR(__xludf.DUMMYFUNCTION("""COMPUTED_VALUE"""),14.0)</f>
        <v>14</v>
      </c>
      <c r="N2118" s="2" t="b">
        <f>IFERROR(__xludf.DUMMYFUNCTION("""COMPUTED_VALUE"""),TRUE)</f>
        <v>1</v>
      </c>
    </row>
    <row r="2119">
      <c r="A2119" s="2">
        <f>IFERROR(__xludf.DUMMYFUNCTION("""COMPUTED_VALUE"""),2118.0)</f>
        <v>2118</v>
      </c>
      <c r="B2119" s="2" t="str">
        <f>IFERROR(__xludf.DUMMYFUNCTION("""COMPUTED_VALUE"""),"Say Bare")</f>
        <v>Say Bare</v>
      </c>
      <c r="C2119" s="2"/>
      <c r="D2119" s="4">
        <f>IFERROR(__xludf.DUMMYFUNCTION("""COMPUTED_VALUE"""),32.0)</f>
        <v>32</v>
      </c>
      <c r="E2119" s="4">
        <f>IFERROR(__xludf.DUMMYFUNCTION("""COMPUTED_VALUE"""),110.0)</f>
        <v>110</v>
      </c>
      <c r="F2119" s="4">
        <f>IFERROR(__xludf.DUMMYFUNCTION("""COMPUTED_VALUE"""),5.0)</f>
        <v>5</v>
      </c>
      <c r="G2119" s="4">
        <f>IFERROR(__xludf.DUMMYFUNCTION("""COMPUTED_VALUE"""),50.0)</f>
        <v>50</v>
      </c>
      <c r="H2119" s="5">
        <f>IFERROR(__xludf.DUMMYFUNCTION("""COMPUTED_VALUE"""),7575.33)</f>
        <v>7575.33</v>
      </c>
      <c r="I2119" s="5">
        <f>IFERROR(__xludf.DUMMYFUNCTION("""COMPUTED_VALUE"""),9455.31)</f>
        <v>9455.31</v>
      </c>
      <c r="J2119" s="5">
        <f>IFERROR(__xludf.DUMMYFUNCTION("""COMPUTED_VALUE"""),1608.94)</f>
        <v>1608.94</v>
      </c>
      <c r="K2119" s="5">
        <f>IFERROR(__xludf.DUMMYFUNCTION("""COMPUTED_VALUE"""),8709.27)</f>
        <v>8709.27</v>
      </c>
      <c r="L2119" s="4">
        <f>IFERROR(__xludf.DUMMYFUNCTION("""COMPUTED_VALUE"""),10.0)</f>
        <v>10</v>
      </c>
      <c r="M2119" s="4">
        <f>IFERROR(__xludf.DUMMYFUNCTION("""COMPUTED_VALUE"""),2.0)</f>
        <v>2</v>
      </c>
      <c r="N2119" s="2" t="b">
        <f>IFERROR(__xludf.DUMMYFUNCTION("""COMPUTED_VALUE"""),TRUE)</f>
        <v>1</v>
      </c>
    </row>
    <row r="2120">
      <c r="A2120" s="2">
        <f>IFERROR(__xludf.DUMMYFUNCTION("""COMPUTED_VALUE"""),2119.0)</f>
        <v>2119</v>
      </c>
      <c r="B2120" s="2" t="str">
        <f>IFERROR(__xludf.DUMMYFUNCTION("""COMPUTED_VALUE"""),"Damien Cocking")</f>
        <v>Damien Cocking</v>
      </c>
      <c r="C2120" s="2"/>
      <c r="D2120" s="4">
        <f>IFERROR(__xludf.DUMMYFUNCTION("""COMPUTED_VALUE"""),22.0)</f>
        <v>22</v>
      </c>
      <c r="E2120" s="4">
        <f>IFERROR(__xludf.DUMMYFUNCTION("""COMPUTED_VALUE"""),116.0)</f>
        <v>116</v>
      </c>
      <c r="F2120" s="4">
        <f>IFERROR(__xludf.DUMMYFUNCTION("""COMPUTED_VALUE"""),13.0)</f>
        <v>13</v>
      </c>
      <c r="G2120" s="4">
        <f>IFERROR(__xludf.DUMMYFUNCTION("""COMPUTED_VALUE"""),698.0)</f>
        <v>698</v>
      </c>
      <c r="H2120" s="5">
        <f>IFERROR(__xludf.DUMMYFUNCTION("""COMPUTED_VALUE"""),2827.32)</f>
        <v>2827.32</v>
      </c>
      <c r="I2120" s="5">
        <f>IFERROR(__xludf.DUMMYFUNCTION("""COMPUTED_VALUE"""),5664.29)</f>
        <v>5664.29</v>
      </c>
      <c r="J2120" s="5">
        <f>IFERROR(__xludf.DUMMYFUNCTION("""COMPUTED_VALUE"""),8529.94)</f>
        <v>8529.94</v>
      </c>
      <c r="K2120" s="5">
        <f>IFERROR(__xludf.DUMMYFUNCTION("""COMPUTED_VALUE"""),7021.41)</f>
        <v>7021.41</v>
      </c>
      <c r="L2120" s="4">
        <f>IFERROR(__xludf.DUMMYFUNCTION("""COMPUTED_VALUE"""),4.0)</f>
        <v>4</v>
      </c>
      <c r="M2120" s="4">
        <f>IFERROR(__xludf.DUMMYFUNCTION("""COMPUTED_VALUE"""),75.0)</f>
        <v>75</v>
      </c>
      <c r="N2120" s="2" t="b">
        <f>IFERROR(__xludf.DUMMYFUNCTION("""COMPUTED_VALUE"""),FALSE)</f>
        <v>0</v>
      </c>
    </row>
    <row r="2121">
      <c r="A2121" s="2">
        <f>IFERROR(__xludf.DUMMYFUNCTION("""COMPUTED_VALUE"""),2120.0)</f>
        <v>2120</v>
      </c>
      <c r="B2121" s="2" t="str">
        <f>IFERROR(__xludf.DUMMYFUNCTION("""COMPUTED_VALUE"""),"Billie Mordon")</f>
        <v>Billie Mordon</v>
      </c>
      <c r="C2121" s="2" t="str">
        <f>IFERROR(__xludf.DUMMYFUNCTION("""COMPUTED_VALUE"""),"bmordon3c@ameblo.jp")</f>
        <v>bmordon3c@ameblo.jp</v>
      </c>
      <c r="D2121" s="4">
        <f>IFERROR(__xludf.DUMMYFUNCTION("""COMPUTED_VALUE"""),40.0)</f>
        <v>40</v>
      </c>
      <c r="E2121" s="4">
        <f>IFERROR(__xludf.DUMMYFUNCTION("""COMPUTED_VALUE"""),19.0)</f>
        <v>19</v>
      </c>
      <c r="F2121" s="4">
        <f>IFERROR(__xludf.DUMMYFUNCTION("""COMPUTED_VALUE"""),5.0)</f>
        <v>5</v>
      </c>
      <c r="G2121" s="4">
        <f>IFERROR(__xludf.DUMMYFUNCTION("""COMPUTED_VALUE"""),317.0)</f>
        <v>317</v>
      </c>
      <c r="H2121" s="5">
        <f>IFERROR(__xludf.DUMMYFUNCTION("""COMPUTED_VALUE"""),2097.76)</f>
        <v>2097.76</v>
      </c>
      <c r="I2121" s="5">
        <f>IFERROR(__xludf.DUMMYFUNCTION("""COMPUTED_VALUE"""),494.98)</f>
        <v>494.98</v>
      </c>
      <c r="J2121" s="5">
        <f>IFERROR(__xludf.DUMMYFUNCTION("""COMPUTED_VALUE"""),6486.31)</f>
        <v>6486.31</v>
      </c>
      <c r="K2121" s="5">
        <f>IFERROR(__xludf.DUMMYFUNCTION("""COMPUTED_VALUE"""),5202.79)</f>
        <v>5202.79</v>
      </c>
      <c r="L2121" s="4">
        <f>IFERROR(__xludf.DUMMYFUNCTION("""COMPUTED_VALUE"""),1.0)</f>
        <v>1</v>
      </c>
      <c r="M2121" s="4">
        <f>IFERROR(__xludf.DUMMYFUNCTION("""COMPUTED_VALUE"""),29.0)</f>
        <v>29</v>
      </c>
      <c r="N2121" s="2" t="b">
        <f>IFERROR(__xludf.DUMMYFUNCTION("""COMPUTED_VALUE"""),TRUE)</f>
        <v>1</v>
      </c>
    </row>
    <row r="2122">
      <c r="A2122" s="2">
        <f>IFERROR(__xludf.DUMMYFUNCTION("""COMPUTED_VALUE"""),2121.0)</f>
        <v>2121</v>
      </c>
      <c r="B2122" s="2" t="str">
        <f>IFERROR(__xludf.DUMMYFUNCTION("""COMPUTED_VALUE"""),"Elie Heigl")</f>
        <v>Elie Heigl</v>
      </c>
      <c r="C2122" s="2" t="str">
        <f>IFERROR(__xludf.DUMMYFUNCTION("""COMPUTED_VALUE"""),"eheigl3d@elpais.com")</f>
        <v>eheigl3d@elpais.com</v>
      </c>
      <c r="D2122" s="4">
        <f>IFERROR(__xludf.DUMMYFUNCTION("""COMPUTED_VALUE"""),155.0)</f>
        <v>155</v>
      </c>
      <c r="E2122" s="4">
        <f>IFERROR(__xludf.DUMMYFUNCTION("""COMPUTED_VALUE"""),59.0)</f>
        <v>59</v>
      </c>
      <c r="F2122" s="4">
        <f>IFERROR(__xludf.DUMMYFUNCTION("""COMPUTED_VALUE"""),13.0)</f>
        <v>13</v>
      </c>
      <c r="G2122" s="4">
        <f>IFERROR(__xludf.DUMMYFUNCTION("""COMPUTED_VALUE"""),397.0)</f>
        <v>397</v>
      </c>
      <c r="H2122" s="5">
        <f>IFERROR(__xludf.DUMMYFUNCTION("""COMPUTED_VALUE"""),3313.11)</f>
        <v>3313.11</v>
      </c>
      <c r="I2122" s="5">
        <f>IFERROR(__xludf.DUMMYFUNCTION("""COMPUTED_VALUE"""),191.82)</f>
        <v>191.82</v>
      </c>
      <c r="J2122" s="5">
        <f>IFERROR(__xludf.DUMMYFUNCTION("""COMPUTED_VALUE"""),2776.48)</f>
        <v>2776.48</v>
      </c>
      <c r="K2122" s="5">
        <f>IFERROR(__xludf.DUMMYFUNCTION("""COMPUTED_VALUE"""),5910.12)</f>
        <v>5910.12</v>
      </c>
      <c r="L2122" s="4">
        <f>IFERROR(__xludf.DUMMYFUNCTION("""COMPUTED_VALUE"""),7.0)</f>
        <v>7</v>
      </c>
      <c r="M2122" s="4">
        <f>IFERROR(__xludf.DUMMYFUNCTION("""COMPUTED_VALUE"""),22.0)</f>
        <v>22</v>
      </c>
      <c r="N2122" s="2" t="b">
        <f>IFERROR(__xludf.DUMMYFUNCTION("""COMPUTED_VALUE"""),FALSE)</f>
        <v>0</v>
      </c>
    </row>
    <row r="2123">
      <c r="A2123" s="2">
        <f>IFERROR(__xludf.DUMMYFUNCTION("""COMPUTED_VALUE"""),2122.0)</f>
        <v>2122</v>
      </c>
      <c r="B2123" s="2" t="str">
        <f>IFERROR(__xludf.DUMMYFUNCTION("""COMPUTED_VALUE"""),"Gretchen Scad")</f>
        <v>Gretchen Scad</v>
      </c>
      <c r="C2123" s="2"/>
      <c r="D2123" s="4">
        <f>IFERROR(__xludf.DUMMYFUNCTION("""COMPUTED_VALUE"""),4.0)</f>
        <v>4</v>
      </c>
      <c r="E2123" s="4">
        <f>IFERROR(__xludf.DUMMYFUNCTION("""COMPUTED_VALUE"""),10.0)</f>
        <v>10</v>
      </c>
      <c r="F2123" s="4">
        <f>IFERROR(__xludf.DUMMYFUNCTION("""COMPUTED_VALUE"""),11.0)</f>
        <v>11</v>
      </c>
      <c r="G2123" s="4">
        <f>IFERROR(__xludf.DUMMYFUNCTION("""COMPUTED_VALUE"""),1122.0)</f>
        <v>1122</v>
      </c>
      <c r="H2123" s="5">
        <f>IFERROR(__xludf.DUMMYFUNCTION("""COMPUTED_VALUE"""),2868.27)</f>
        <v>2868.27</v>
      </c>
      <c r="I2123" s="5">
        <f>IFERROR(__xludf.DUMMYFUNCTION("""COMPUTED_VALUE"""),955.26)</f>
        <v>955.26</v>
      </c>
      <c r="J2123" s="5">
        <f>IFERROR(__xludf.DUMMYFUNCTION("""COMPUTED_VALUE"""),2627.03)</f>
        <v>2627.03</v>
      </c>
      <c r="K2123" s="5">
        <f>IFERROR(__xludf.DUMMYFUNCTION("""COMPUTED_VALUE"""),6840.38)</f>
        <v>6840.38</v>
      </c>
      <c r="L2123" s="4">
        <f>IFERROR(__xludf.DUMMYFUNCTION("""COMPUTED_VALUE"""),2.0)</f>
        <v>2</v>
      </c>
      <c r="M2123" s="4">
        <f>IFERROR(__xludf.DUMMYFUNCTION("""COMPUTED_VALUE"""),90.0)</f>
        <v>90</v>
      </c>
      <c r="N2123" s="2" t="b">
        <f>IFERROR(__xludf.DUMMYFUNCTION("""COMPUTED_VALUE"""),FALSE)</f>
        <v>0</v>
      </c>
    </row>
    <row r="2124">
      <c r="A2124" s="2">
        <f>IFERROR(__xludf.DUMMYFUNCTION("""COMPUTED_VALUE"""),2123.0)</f>
        <v>2123</v>
      </c>
      <c r="B2124" s="2" t="str">
        <f>IFERROR(__xludf.DUMMYFUNCTION("""COMPUTED_VALUE"""),"Berni Samuels")</f>
        <v>Berni Samuels</v>
      </c>
      <c r="C2124" s="2"/>
      <c r="D2124" s="4">
        <f>IFERROR(__xludf.DUMMYFUNCTION("""COMPUTED_VALUE"""),68.0)</f>
        <v>68</v>
      </c>
      <c r="E2124" s="4">
        <f>IFERROR(__xludf.DUMMYFUNCTION("""COMPUTED_VALUE"""),18.0)</f>
        <v>18</v>
      </c>
      <c r="F2124" s="4">
        <f>IFERROR(__xludf.DUMMYFUNCTION("""COMPUTED_VALUE"""),3.0)</f>
        <v>3</v>
      </c>
      <c r="G2124" s="4">
        <f>IFERROR(__xludf.DUMMYFUNCTION("""COMPUTED_VALUE"""),654.0)</f>
        <v>654</v>
      </c>
      <c r="H2124" s="5">
        <f>IFERROR(__xludf.DUMMYFUNCTION("""COMPUTED_VALUE"""),4998.34)</f>
        <v>4998.34</v>
      </c>
      <c r="I2124" s="5">
        <f>IFERROR(__xludf.DUMMYFUNCTION("""COMPUTED_VALUE"""),5766.29)</f>
        <v>5766.29</v>
      </c>
      <c r="J2124" s="5">
        <f>IFERROR(__xludf.DUMMYFUNCTION("""COMPUTED_VALUE"""),67.16)</f>
        <v>67.16</v>
      </c>
      <c r="K2124" s="5">
        <f>IFERROR(__xludf.DUMMYFUNCTION("""COMPUTED_VALUE"""),6259.17)</f>
        <v>6259.17</v>
      </c>
      <c r="L2124" s="4">
        <f>IFERROR(__xludf.DUMMYFUNCTION("""COMPUTED_VALUE"""),18.0)</f>
        <v>18</v>
      </c>
      <c r="M2124" s="4">
        <f>IFERROR(__xludf.DUMMYFUNCTION("""COMPUTED_VALUE"""),49.0)</f>
        <v>49</v>
      </c>
      <c r="N2124" s="2" t="b">
        <f>IFERROR(__xludf.DUMMYFUNCTION("""COMPUTED_VALUE"""),FALSE)</f>
        <v>0</v>
      </c>
    </row>
    <row r="2125">
      <c r="A2125" s="2">
        <f>IFERROR(__xludf.DUMMYFUNCTION("""COMPUTED_VALUE"""),2124.0)</f>
        <v>2124</v>
      </c>
      <c r="B2125" s="2" t="str">
        <f>IFERROR(__xludf.DUMMYFUNCTION("""COMPUTED_VALUE"""),"Tracey Mallabone")</f>
        <v>Tracey Mallabone</v>
      </c>
      <c r="C2125" s="2" t="str">
        <f>IFERROR(__xludf.DUMMYFUNCTION("""COMPUTED_VALUE"""),"tmallabone3g@mashable.com")</f>
        <v>tmallabone3g@mashable.com</v>
      </c>
      <c r="D2125" s="4">
        <f>IFERROR(__xludf.DUMMYFUNCTION("""COMPUTED_VALUE"""),19.0)</f>
        <v>19</v>
      </c>
      <c r="E2125" s="4">
        <f>IFERROR(__xludf.DUMMYFUNCTION("""COMPUTED_VALUE"""),11.0)</f>
        <v>11</v>
      </c>
      <c r="F2125" s="4">
        <f>IFERROR(__xludf.DUMMYFUNCTION("""COMPUTED_VALUE"""),9.0)</f>
        <v>9</v>
      </c>
      <c r="G2125" s="4">
        <f>IFERROR(__xludf.DUMMYFUNCTION("""COMPUTED_VALUE"""),982.0)</f>
        <v>982</v>
      </c>
      <c r="H2125" s="5">
        <f>IFERROR(__xludf.DUMMYFUNCTION("""COMPUTED_VALUE"""),6656.97)</f>
        <v>6656.97</v>
      </c>
      <c r="I2125" s="5">
        <f>IFERROR(__xludf.DUMMYFUNCTION("""COMPUTED_VALUE"""),7305.11)</f>
        <v>7305.11</v>
      </c>
      <c r="J2125" s="5">
        <f>IFERROR(__xludf.DUMMYFUNCTION("""COMPUTED_VALUE"""),431.81)</f>
        <v>431.81</v>
      </c>
      <c r="K2125" s="5">
        <f>IFERROR(__xludf.DUMMYFUNCTION("""COMPUTED_VALUE"""),8800.38)</f>
        <v>8800.38</v>
      </c>
      <c r="L2125" s="4">
        <f>IFERROR(__xludf.DUMMYFUNCTION("""COMPUTED_VALUE"""),3.0)</f>
        <v>3</v>
      </c>
      <c r="M2125" s="4">
        <f>IFERROR(__xludf.DUMMYFUNCTION("""COMPUTED_VALUE"""),72.0)</f>
        <v>72</v>
      </c>
      <c r="N2125" s="2" t="b">
        <f>IFERROR(__xludf.DUMMYFUNCTION("""COMPUTED_VALUE"""),TRUE)</f>
        <v>1</v>
      </c>
    </row>
    <row r="2126">
      <c r="A2126" s="2">
        <f>IFERROR(__xludf.DUMMYFUNCTION("""COMPUTED_VALUE"""),2125.0)</f>
        <v>2125</v>
      </c>
      <c r="B2126" s="2" t="str">
        <f>IFERROR(__xludf.DUMMYFUNCTION("""COMPUTED_VALUE"""),"Myrtice Regis")</f>
        <v>Myrtice Regis</v>
      </c>
      <c r="C2126" s="2" t="str">
        <f>IFERROR(__xludf.DUMMYFUNCTION("""COMPUTED_VALUE"""),"mregis3h@ed.gov")</f>
        <v>mregis3h@ed.gov</v>
      </c>
      <c r="D2126" s="4">
        <f>IFERROR(__xludf.DUMMYFUNCTION("""COMPUTED_VALUE"""),108.0)</f>
        <v>108</v>
      </c>
      <c r="E2126" s="4">
        <f>IFERROR(__xludf.DUMMYFUNCTION("""COMPUTED_VALUE"""),43.0)</f>
        <v>43</v>
      </c>
      <c r="F2126" s="4">
        <f>IFERROR(__xludf.DUMMYFUNCTION("""COMPUTED_VALUE"""),11.0)</f>
        <v>11</v>
      </c>
      <c r="G2126" s="4">
        <f>IFERROR(__xludf.DUMMYFUNCTION("""COMPUTED_VALUE"""),1571.0)</f>
        <v>1571</v>
      </c>
      <c r="H2126" s="5">
        <f>IFERROR(__xludf.DUMMYFUNCTION("""COMPUTED_VALUE"""),8597.16)</f>
        <v>8597.16</v>
      </c>
      <c r="I2126" s="5">
        <f>IFERROR(__xludf.DUMMYFUNCTION("""COMPUTED_VALUE"""),2055.28)</f>
        <v>2055.28</v>
      </c>
      <c r="J2126" s="5">
        <f>IFERROR(__xludf.DUMMYFUNCTION("""COMPUTED_VALUE"""),7654.55)</f>
        <v>7654.55</v>
      </c>
      <c r="K2126" s="5">
        <f>IFERROR(__xludf.DUMMYFUNCTION("""COMPUTED_VALUE"""),5477.25)</f>
        <v>5477.25</v>
      </c>
      <c r="L2126" s="4">
        <f>IFERROR(__xludf.DUMMYFUNCTION("""COMPUTED_VALUE"""),12.0)</f>
        <v>12</v>
      </c>
      <c r="M2126" s="4">
        <f>IFERROR(__xludf.DUMMYFUNCTION("""COMPUTED_VALUE"""),4.0)</f>
        <v>4</v>
      </c>
      <c r="N2126" s="2" t="b">
        <f>IFERROR(__xludf.DUMMYFUNCTION("""COMPUTED_VALUE"""),TRUE)</f>
        <v>1</v>
      </c>
    </row>
    <row r="2127">
      <c r="A2127" s="2">
        <f>IFERROR(__xludf.DUMMYFUNCTION("""COMPUTED_VALUE"""),2126.0)</f>
        <v>2126</v>
      </c>
      <c r="B2127" s="2" t="str">
        <f>IFERROR(__xludf.DUMMYFUNCTION("""COMPUTED_VALUE"""),"Winfield Fotherby")</f>
        <v>Winfield Fotherby</v>
      </c>
      <c r="C2127" s="2" t="str">
        <f>IFERROR(__xludf.DUMMYFUNCTION("""COMPUTED_VALUE"""),"wfotherby3i@g.co")</f>
        <v>wfotherby3i@g.co</v>
      </c>
      <c r="D2127" s="4">
        <f>IFERROR(__xludf.DUMMYFUNCTION("""COMPUTED_VALUE"""),84.0)</f>
        <v>84</v>
      </c>
      <c r="E2127" s="4">
        <f>IFERROR(__xludf.DUMMYFUNCTION("""COMPUTED_VALUE"""),32.0)</f>
        <v>32</v>
      </c>
      <c r="F2127" s="4">
        <f>IFERROR(__xludf.DUMMYFUNCTION("""COMPUTED_VALUE"""),2.0)</f>
        <v>2</v>
      </c>
      <c r="G2127" s="4">
        <f>IFERROR(__xludf.DUMMYFUNCTION("""COMPUTED_VALUE"""),813.0)</f>
        <v>813</v>
      </c>
      <c r="H2127" s="5">
        <f>IFERROR(__xludf.DUMMYFUNCTION("""COMPUTED_VALUE"""),8156.58)</f>
        <v>8156.58</v>
      </c>
      <c r="I2127" s="5">
        <f>IFERROR(__xludf.DUMMYFUNCTION("""COMPUTED_VALUE"""),6633.35)</f>
        <v>6633.35</v>
      </c>
      <c r="J2127" s="5">
        <f>IFERROR(__xludf.DUMMYFUNCTION("""COMPUTED_VALUE"""),7713.75)</f>
        <v>7713.75</v>
      </c>
      <c r="K2127" s="5">
        <f>IFERROR(__xludf.DUMMYFUNCTION("""COMPUTED_VALUE"""),9058.24)</f>
        <v>9058.24</v>
      </c>
      <c r="L2127" s="4">
        <f>IFERROR(__xludf.DUMMYFUNCTION("""COMPUTED_VALUE"""),12.0)</f>
        <v>12</v>
      </c>
      <c r="M2127" s="4">
        <f>IFERROR(__xludf.DUMMYFUNCTION("""COMPUTED_VALUE"""),76.0)</f>
        <v>76</v>
      </c>
      <c r="N2127" s="2" t="b">
        <f>IFERROR(__xludf.DUMMYFUNCTION("""COMPUTED_VALUE"""),TRUE)</f>
        <v>1</v>
      </c>
    </row>
    <row r="2128">
      <c r="A2128" s="2">
        <f>IFERROR(__xludf.DUMMYFUNCTION("""COMPUTED_VALUE"""),2127.0)</f>
        <v>2127</v>
      </c>
      <c r="B2128" s="2" t="str">
        <f>IFERROR(__xludf.DUMMYFUNCTION("""COMPUTED_VALUE"""),"Carlynn Endecott")</f>
        <v>Carlynn Endecott</v>
      </c>
      <c r="C2128" s="2"/>
      <c r="D2128" s="4">
        <f>IFERROR(__xludf.DUMMYFUNCTION("""COMPUTED_VALUE"""),41.0)</f>
        <v>41</v>
      </c>
      <c r="E2128" s="4">
        <f>IFERROR(__xludf.DUMMYFUNCTION("""COMPUTED_VALUE"""),54.0)</f>
        <v>54</v>
      </c>
      <c r="F2128" s="4">
        <f>IFERROR(__xludf.DUMMYFUNCTION("""COMPUTED_VALUE"""),13.0)</f>
        <v>13</v>
      </c>
      <c r="G2128" s="4">
        <f>IFERROR(__xludf.DUMMYFUNCTION("""COMPUTED_VALUE"""),529.0)</f>
        <v>529</v>
      </c>
      <c r="H2128" s="5">
        <f>IFERROR(__xludf.DUMMYFUNCTION("""COMPUTED_VALUE"""),4122.85)</f>
        <v>4122.85</v>
      </c>
      <c r="I2128" s="5">
        <f>IFERROR(__xludf.DUMMYFUNCTION("""COMPUTED_VALUE"""),5353.01)</f>
        <v>5353.01</v>
      </c>
      <c r="J2128" s="5">
        <f>IFERROR(__xludf.DUMMYFUNCTION("""COMPUTED_VALUE"""),470.94)</f>
        <v>470.94</v>
      </c>
      <c r="K2128" s="5">
        <f>IFERROR(__xludf.DUMMYFUNCTION("""COMPUTED_VALUE"""),9100.4)</f>
        <v>9100.4</v>
      </c>
      <c r="L2128" s="4">
        <f>IFERROR(__xludf.DUMMYFUNCTION("""COMPUTED_VALUE"""),14.0)</f>
        <v>14</v>
      </c>
      <c r="M2128" s="4">
        <f>IFERROR(__xludf.DUMMYFUNCTION("""COMPUTED_VALUE"""),83.0)</f>
        <v>83</v>
      </c>
      <c r="N2128" s="2" t="b">
        <f>IFERROR(__xludf.DUMMYFUNCTION("""COMPUTED_VALUE"""),TRUE)</f>
        <v>1</v>
      </c>
    </row>
    <row r="2129">
      <c r="A2129" s="2">
        <f>IFERROR(__xludf.DUMMYFUNCTION("""COMPUTED_VALUE"""),2128.0)</f>
        <v>2128</v>
      </c>
      <c r="B2129" s="2" t="str">
        <f>IFERROR(__xludf.DUMMYFUNCTION("""COMPUTED_VALUE"""),"Tedie Hechlin")</f>
        <v>Tedie Hechlin</v>
      </c>
      <c r="C2129" s="2"/>
      <c r="D2129" s="4">
        <f>IFERROR(__xludf.DUMMYFUNCTION("""COMPUTED_VALUE"""),38.0)</f>
        <v>38</v>
      </c>
      <c r="E2129" s="4">
        <f>IFERROR(__xludf.DUMMYFUNCTION("""COMPUTED_VALUE"""),46.0)</f>
        <v>46</v>
      </c>
      <c r="F2129" s="4">
        <f>IFERROR(__xludf.DUMMYFUNCTION("""COMPUTED_VALUE"""),7.0)</f>
        <v>7</v>
      </c>
      <c r="G2129" s="4">
        <f>IFERROR(__xludf.DUMMYFUNCTION("""COMPUTED_VALUE"""),100.0)</f>
        <v>100</v>
      </c>
      <c r="H2129" s="5">
        <f>IFERROR(__xludf.DUMMYFUNCTION("""COMPUTED_VALUE"""),8878.4)</f>
        <v>8878.4</v>
      </c>
      <c r="I2129" s="5">
        <f>IFERROR(__xludf.DUMMYFUNCTION("""COMPUTED_VALUE"""),9529.47)</f>
        <v>9529.47</v>
      </c>
      <c r="J2129" s="5">
        <f>IFERROR(__xludf.DUMMYFUNCTION("""COMPUTED_VALUE"""),2774.13)</f>
        <v>2774.13</v>
      </c>
      <c r="K2129" s="5">
        <f>IFERROR(__xludf.DUMMYFUNCTION("""COMPUTED_VALUE"""),3997.98)</f>
        <v>3997.98</v>
      </c>
      <c r="L2129" s="4">
        <f>IFERROR(__xludf.DUMMYFUNCTION("""COMPUTED_VALUE"""),7.0)</f>
        <v>7</v>
      </c>
      <c r="M2129" s="4">
        <f>IFERROR(__xludf.DUMMYFUNCTION("""COMPUTED_VALUE"""),66.0)</f>
        <v>66</v>
      </c>
      <c r="N2129" s="2" t="b">
        <f>IFERROR(__xludf.DUMMYFUNCTION("""COMPUTED_VALUE"""),TRUE)</f>
        <v>1</v>
      </c>
    </row>
    <row r="2130">
      <c r="A2130" s="2">
        <f>IFERROR(__xludf.DUMMYFUNCTION("""COMPUTED_VALUE"""),2129.0)</f>
        <v>2129</v>
      </c>
      <c r="B2130" s="2" t="str">
        <f>IFERROR(__xludf.DUMMYFUNCTION("""COMPUTED_VALUE"""),"Charlotte Ribey")</f>
        <v>Charlotte Ribey</v>
      </c>
      <c r="C2130" s="2" t="str">
        <f>IFERROR(__xludf.DUMMYFUNCTION("""COMPUTED_VALUE"""),"cribey3l@diigo.com")</f>
        <v>cribey3l@diigo.com</v>
      </c>
      <c r="D2130" s="4">
        <f>IFERROR(__xludf.DUMMYFUNCTION("""COMPUTED_VALUE"""),149.0)</f>
        <v>149</v>
      </c>
      <c r="E2130" s="4">
        <f>IFERROR(__xludf.DUMMYFUNCTION("""COMPUTED_VALUE"""),78.0)</f>
        <v>78</v>
      </c>
      <c r="F2130" s="4">
        <f>IFERROR(__xludf.DUMMYFUNCTION("""COMPUTED_VALUE"""),6.0)</f>
        <v>6</v>
      </c>
      <c r="G2130" s="4">
        <f>IFERROR(__xludf.DUMMYFUNCTION("""COMPUTED_VALUE"""),90.0)</f>
        <v>90</v>
      </c>
      <c r="H2130" s="5">
        <f>IFERROR(__xludf.DUMMYFUNCTION("""COMPUTED_VALUE"""),4961.42)</f>
        <v>4961.42</v>
      </c>
      <c r="I2130" s="5">
        <f>IFERROR(__xludf.DUMMYFUNCTION("""COMPUTED_VALUE"""),2702.72)</f>
        <v>2702.72</v>
      </c>
      <c r="J2130" s="5">
        <f>IFERROR(__xludf.DUMMYFUNCTION("""COMPUTED_VALUE"""),8694.13)</f>
        <v>8694.13</v>
      </c>
      <c r="K2130" s="5">
        <f>IFERROR(__xludf.DUMMYFUNCTION("""COMPUTED_VALUE"""),691.24)</f>
        <v>691.24</v>
      </c>
      <c r="L2130" s="4">
        <f>IFERROR(__xludf.DUMMYFUNCTION("""COMPUTED_VALUE"""),12.0)</f>
        <v>12</v>
      </c>
      <c r="M2130" s="4">
        <f>IFERROR(__xludf.DUMMYFUNCTION("""COMPUTED_VALUE"""),69.0)</f>
        <v>69</v>
      </c>
      <c r="N2130" s="2" t="b">
        <f>IFERROR(__xludf.DUMMYFUNCTION("""COMPUTED_VALUE"""),FALSE)</f>
        <v>0</v>
      </c>
    </row>
    <row r="2131">
      <c r="A2131" s="2">
        <f>IFERROR(__xludf.DUMMYFUNCTION("""COMPUTED_VALUE"""),2130.0)</f>
        <v>2130</v>
      </c>
      <c r="B2131" s="2" t="str">
        <f>IFERROR(__xludf.DUMMYFUNCTION("""COMPUTED_VALUE"""),"Jasun Summerton")</f>
        <v>Jasun Summerton</v>
      </c>
      <c r="C2131" s="2" t="str">
        <f>IFERROR(__xludf.DUMMYFUNCTION("""COMPUTED_VALUE"""),"jsummerton3m@godaddy.com")</f>
        <v>jsummerton3m@godaddy.com</v>
      </c>
      <c r="D2131" s="4">
        <f>IFERROR(__xludf.DUMMYFUNCTION("""COMPUTED_VALUE"""),11.0)</f>
        <v>11</v>
      </c>
      <c r="E2131" s="4">
        <f>IFERROR(__xludf.DUMMYFUNCTION("""COMPUTED_VALUE"""),13.0)</f>
        <v>13</v>
      </c>
      <c r="F2131" s="4">
        <f>IFERROR(__xludf.DUMMYFUNCTION("""COMPUTED_VALUE"""),10.0)</f>
        <v>10</v>
      </c>
      <c r="G2131" s="4">
        <f>IFERROR(__xludf.DUMMYFUNCTION("""COMPUTED_VALUE"""),101.0)</f>
        <v>101</v>
      </c>
      <c r="H2131" s="5">
        <f>IFERROR(__xludf.DUMMYFUNCTION("""COMPUTED_VALUE"""),2803.99)</f>
        <v>2803.99</v>
      </c>
      <c r="I2131" s="5">
        <f>IFERROR(__xludf.DUMMYFUNCTION("""COMPUTED_VALUE"""),7060.57)</f>
        <v>7060.57</v>
      </c>
      <c r="J2131" s="5">
        <f>IFERROR(__xludf.DUMMYFUNCTION("""COMPUTED_VALUE"""),5202.26)</f>
        <v>5202.26</v>
      </c>
      <c r="K2131" s="5">
        <f>IFERROR(__xludf.DUMMYFUNCTION("""COMPUTED_VALUE"""),5657.35)</f>
        <v>5657.35</v>
      </c>
      <c r="L2131" s="4">
        <f>IFERROR(__xludf.DUMMYFUNCTION("""COMPUTED_VALUE"""),15.0)</f>
        <v>15</v>
      </c>
      <c r="M2131" s="4">
        <f>IFERROR(__xludf.DUMMYFUNCTION("""COMPUTED_VALUE"""),99.0)</f>
        <v>99</v>
      </c>
      <c r="N2131" s="2" t="b">
        <f>IFERROR(__xludf.DUMMYFUNCTION("""COMPUTED_VALUE"""),TRUE)</f>
        <v>1</v>
      </c>
    </row>
    <row r="2132">
      <c r="A2132" s="2">
        <f>IFERROR(__xludf.DUMMYFUNCTION("""COMPUTED_VALUE"""),2131.0)</f>
        <v>2131</v>
      </c>
      <c r="B2132" s="2" t="str">
        <f>IFERROR(__xludf.DUMMYFUNCTION("""COMPUTED_VALUE"""),"Barde Brychan")</f>
        <v>Barde Brychan</v>
      </c>
      <c r="C2132" s="2" t="str">
        <f>IFERROR(__xludf.DUMMYFUNCTION("""COMPUTED_VALUE"""),"bbrychan3n@gov.uk")</f>
        <v>bbrychan3n@gov.uk</v>
      </c>
      <c r="D2132" s="4">
        <f>IFERROR(__xludf.DUMMYFUNCTION("""COMPUTED_VALUE"""),122.0)</f>
        <v>122</v>
      </c>
      <c r="E2132" s="4">
        <f>IFERROR(__xludf.DUMMYFUNCTION("""COMPUTED_VALUE"""),94.0)</f>
        <v>94</v>
      </c>
      <c r="F2132" s="4">
        <f>IFERROR(__xludf.DUMMYFUNCTION("""COMPUTED_VALUE"""),11.0)</f>
        <v>11</v>
      </c>
      <c r="G2132" s="4">
        <f>IFERROR(__xludf.DUMMYFUNCTION("""COMPUTED_VALUE"""),1515.0)</f>
        <v>1515</v>
      </c>
      <c r="H2132" s="5">
        <f>IFERROR(__xludf.DUMMYFUNCTION("""COMPUTED_VALUE"""),8876.57)</f>
        <v>8876.57</v>
      </c>
      <c r="I2132" s="5">
        <f>IFERROR(__xludf.DUMMYFUNCTION("""COMPUTED_VALUE"""),874.29)</f>
        <v>874.29</v>
      </c>
      <c r="J2132" s="5">
        <f>IFERROR(__xludf.DUMMYFUNCTION("""COMPUTED_VALUE"""),8684.09)</f>
        <v>8684.09</v>
      </c>
      <c r="K2132" s="5">
        <f>IFERROR(__xludf.DUMMYFUNCTION("""COMPUTED_VALUE"""),6573.54)</f>
        <v>6573.54</v>
      </c>
      <c r="L2132" s="4">
        <f>IFERROR(__xludf.DUMMYFUNCTION("""COMPUTED_VALUE"""),13.0)</f>
        <v>13</v>
      </c>
      <c r="M2132" s="4">
        <f>IFERROR(__xludf.DUMMYFUNCTION("""COMPUTED_VALUE"""),90.0)</f>
        <v>90</v>
      </c>
      <c r="N2132" s="2" t="b">
        <f>IFERROR(__xludf.DUMMYFUNCTION("""COMPUTED_VALUE"""),FALSE)</f>
        <v>0</v>
      </c>
    </row>
    <row r="2133">
      <c r="A2133" s="2">
        <f>IFERROR(__xludf.DUMMYFUNCTION("""COMPUTED_VALUE"""),2132.0)</f>
        <v>2132</v>
      </c>
      <c r="B2133" s="2" t="str">
        <f>IFERROR(__xludf.DUMMYFUNCTION("""COMPUTED_VALUE"""),"Janenna Rickis")</f>
        <v>Janenna Rickis</v>
      </c>
      <c r="C2133" s="2" t="str">
        <f>IFERROR(__xludf.DUMMYFUNCTION("""COMPUTED_VALUE"""),"jrickis3o@photobucket.com")</f>
        <v>jrickis3o@photobucket.com</v>
      </c>
      <c r="D2133" s="4">
        <f>IFERROR(__xludf.DUMMYFUNCTION("""COMPUTED_VALUE"""),28.0)</f>
        <v>28</v>
      </c>
      <c r="E2133" s="4">
        <f>IFERROR(__xludf.DUMMYFUNCTION("""COMPUTED_VALUE"""),86.0)</f>
        <v>86</v>
      </c>
      <c r="F2133" s="4">
        <f>IFERROR(__xludf.DUMMYFUNCTION("""COMPUTED_VALUE"""),13.0)</f>
        <v>13</v>
      </c>
      <c r="G2133" s="4">
        <f>IFERROR(__xludf.DUMMYFUNCTION("""COMPUTED_VALUE"""),1063.0)</f>
        <v>1063</v>
      </c>
      <c r="H2133" s="5">
        <f>IFERROR(__xludf.DUMMYFUNCTION("""COMPUTED_VALUE"""),149.55)</f>
        <v>149.55</v>
      </c>
      <c r="I2133" s="5">
        <f>IFERROR(__xludf.DUMMYFUNCTION("""COMPUTED_VALUE"""),1479.92)</f>
        <v>1479.92</v>
      </c>
      <c r="J2133" s="5">
        <f>IFERROR(__xludf.DUMMYFUNCTION("""COMPUTED_VALUE"""),1157.08)</f>
        <v>1157.08</v>
      </c>
      <c r="K2133" s="5">
        <f>IFERROR(__xludf.DUMMYFUNCTION("""COMPUTED_VALUE"""),7057.11)</f>
        <v>7057.11</v>
      </c>
      <c r="L2133" s="4">
        <f>IFERROR(__xludf.DUMMYFUNCTION("""COMPUTED_VALUE"""),11.0)</f>
        <v>11</v>
      </c>
      <c r="M2133" s="4">
        <f>IFERROR(__xludf.DUMMYFUNCTION("""COMPUTED_VALUE"""),92.0)</f>
        <v>92</v>
      </c>
      <c r="N2133" s="2" t="b">
        <f>IFERROR(__xludf.DUMMYFUNCTION("""COMPUTED_VALUE"""),TRUE)</f>
        <v>1</v>
      </c>
    </row>
    <row r="2134">
      <c r="A2134" s="2">
        <f>IFERROR(__xludf.DUMMYFUNCTION("""COMPUTED_VALUE"""),2133.0)</f>
        <v>2133</v>
      </c>
      <c r="B2134" s="2" t="str">
        <f>IFERROR(__xludf.DUMMYFUNCTION("""COMPUTED_VALUE"""),"Dougy Waith")</f>
        <v>Dougy Waith</v>
      </c>
      <c r="C2134" s="2"/>
      <c r="D2134" s="4">
        <f>IFERROR(__xludf.DUMMYFUNCTION("""COMPUTED_VALUE"""),145.0)</f>
        <v>145</v>
      </c>
      <c r="E2134" s="4">
        <f>IFERROR(__xludf.DUMMYFUNCTION("""COMPUTED_VALUE"""),54.0)</f>
        <v>54</v>
      </c>
      <c r="F2134" s="4">
        <f>IFERROR(__xludf.DUMMYFUNCTION("""COMPUTED_VALUE"""),11.0)</f>
        <v>11</v>
      </c>
      <c r="G2134" s="4">
        <f>IFERROR(__xludf.DUMMYFUNCTION("""COMPUTED_VALUE"""),1584.0)</f>
        <v>1584</v>
      </c>
      <c r="H2134" s="5">
        <f>IFERROR(__xludf.DUMMYFUNCTION("""COMPUTED_VALUE"""),5259.1)</f>
        <v>5259.1</v>
      </c>
      <c r="I2134" s="5">
        <f>IFERROR(__xludf.DUMMYFUNCTION("""COMPUTED_VALUE"""),9089.45)</f>
        <v>9089.45</v>
      </c>
      <c r="J2134" s="5">
        <f>IFERROR(__xludf.DUMMYFUNCTION("""COMPUTED_VALUE"""),6736.81)</f>
        <v>6736.81</v>
      </c>
      <c r="K2134" s="5">
        <f>IFERROR(__xludf.DUMMYFUNCTION("""COMPUTED_VALUE"""),6908.16)</f>
        <v>6908.16</v>
      </c>
      <c r="L2134" s="4">
        <f>IFERROR(__xludf.DUMMYFUNCTION("""COMPUTED_VALUE"""),19.0)</f>
        <v>19</v>
      </c>
      <c r="M2134" s="4">
        <f>IFERROR(__xludf.DUMMYFUNCTION("""COMPUTED_VALUE"""),65.0)</f>
        <v>65</v>
      </c>
      <c r="N2134" s="2" t="b">
        <f>IFERROR(__xludf.DUMMYFUNCTION("""COMPUTED_VALUE"""),TRUE)</f>
        <v>1</v>
      </c>
    </row>
    <row r="2135">
      <c r="A2135" s="2">
        <f>IFERROR(__xludf.DUMMYFUNCTION("""COMPUTED_VALUE"""),2134.0)</f>
        <v>2134</v>
      </c>
      <c r="B2135" s="2" t="str">
        <f>IFERROR(__xludf.DUMMYFUNCTION("""COMPUTED_VALUE"""),"Trudy Bartholin")</f>
        <v>Trudy Bartholin</v>
      </c>
      <c r="C2135" s="2"/>
      <c r="D2135" s="4">
        <f>IFERROR(__xludf.DUMMYFUNCTION("""COMPUTED_VALUE"""),69.0)</f>
        <v>69</v>
      </c>
      <c r="E2135" s="4">
        <f>IFERROR(__xludf.DUMMYFUNCTION("""COMPUTED_VALUE"""),31.0)</f>
        <v>31</v>
      </c>
      <c r="F2135" s="4">
        <f>IFERROR(__xludf.DUMMYFUNCTION("""COMPUTED_VALUE"""),9.0)</f>
        <v>9</v>
      </c>
      <c r="G2135" s="4">
        <f>IFERROR(__xludf.DUMMYFUNCTION("""COMPUTED_VALUE"""),1156.0)</f>
        <v>1156</v>
      </c>
      <c r="H2135" s="5">
        <f>IFERROR(__xludf.DUMMYFUNCTION("""COMPUTED_VALUE"""),1328.52)</f>
        <v>1328.52</v>
      </c>
      <c r="I2135" s="5">
        <f>IFERROR(__xludf.DUMMYFUNCTION("""COMPUTED_VALUE"""),779.51)</f>
        <v>779.51</v>
      </c>
      <c r="J2135" s="5">
        <f>IFERROR(__xludf.DUMMYFUNCTION("""COMPUTED_VALUE"""),6480.93)</f>
        <v>6480.93</v>
      </c>
      <c r="K2135" s="5">
        <f>IFERROR(__xludf.DUMMYFUNCTION("""COMPUTED_VALUE"""),3732.19)</f>
        <v>3732.19</v>
      </c>
      <c r="L2135" s="4">
        <f>IFERROR(__xludf.DUMMYFUNCTION("""COMPUTED_VALUE"""),20.0)</f>
        <v>20</v>
      </c>
      <c r="M2135" s="4">
        <f>IFERROR(__xludf.DUMMYFUNCTION("""COMPUTED_VALUE"""),85.0)</f>
        <v>85</v>
      </c>
      <c r="N2135" s="2" t="b">
        <f>IFERROR(__xludf.DUMMYFUNCTION("""COMPUTED_VALUE"""),TRUE)</f>
        <v>1</v>
      </c>
    </row>
    <row r="2136">
      <c r="A2136" s="2">
        <f>IFERROR(__xludf.DUMMYFUNCTION("""COMPUTED_VALUE"""),2135.0)</f>
        <v>2135</v>
      </c>
      <c r="B2136" s="2" t="str">
        <f>IFERROR(__xludf.DUMMYFUNCTION("""COMPUTED_VALUE"""),"Normie Seville")</f>
        <v>Normie Seville</v>
      </c>
      <c r="C2136" s="2"/>
      <c r="D2136" s="4">
        <f>IFERROR(__xludf.DUMMYFUNCTION("""COMPUTED_VALUE"""),140.0)</f>
        <v>140</v>
      </c>
      <c r="E2136" s="4">
        <f>IFERROR(__xludf.DUMMYFUNCTION("""COMPUTED_VALUE"""),84.0)</f>
        <v>84</v>
      </c>
      <c r="F2136" s="4">
        <f>IFERROR(__xludf.DUMMYFUNCTION("""COMPUTED_VALUE"""),7.0)</f>
        <v>7</v>
      </c>
      <c r="G2136" s="4">
        <f>IFERROR(__xludf.DUMMYFUNCTION("""COMPUTED_VALUE"""),343.0)</f>
        <v>343</v>
      </c>
      <c r="H2136" s="5">
        <f>IFERROR(__xludf.DUMMYFUNCTION("""COMPUTED_VALUE"""),3506.28)</f>
        <v>3506.28</v>
      </c>
      <c r="I2136" s="5">
        <f>IFERROR(__xludf.DUMMYFUNCTION("""COMPUTED_VALUE"""),4685.42)</f>
        <v>4685.42</v>
      </c>
      <c r="J2136" s="5">
        <f>IFERROR(__xludf.DUMMYFUNCTION("""COMPUTED_VALUE"""),5868.63)</f>
        <v>5868.63</v>
      </c>
      <c r="K2136" s="5">
        <f>IFERROR(__xludf.DUMMYFUNCTION("""COMPUTED_VALUE"""),8599.43)</f>
        <v>8599.43</v>
      </c>
      <c r="L2136" s="4">
        <f>IFERROR(__xludf.DUMMYFUNCTION("""COMPUTED_VALUE"""),8.0)</f>
        <v>8</v>
      </c>
      <c r="M2136" s="4">
        <f>IFERROR(__xludf.DUMMYFUNCTION("""COMPUTED_VALUE"""),49.0)</f>
        <v>49</v>
      </c>
      <c r="N2136" s="2" t="b">
        <f>IFERROR(__xludf.DUMMYFUNCTION("""COMPUTED_VALUE"""),FALSE)</f>
        <v>0</v>
      </c>
    </row>
    <row r="2137">
      <c r="A2137" s="2">
        <f>IFERROR(__xludf.DUMMYFUNCTION("""COMPUTED_VALUE"""),2136.0)</f>
        <v>2136</v>
      </c>
      <c r="B2137" s="2" t="str">
        <f>IFERROR(__xludf.DUMMYFUNCTION("""COMPUTED_VALUE"""),"Lionello Halls")</f>
        <v>Lionello Halls</v>
      </c>
      <c r="C2137" s="2"/>
      <c r="D2137" s="4">
        <f>IFERROR(__xludf.DUMMYFUNCTION("""COMPUTED_VALUE"""),104.0)</f>
        <v>104</v>
      </c>
      <c r="E2137" s="4">
        <f>IFERROR(__xludf.DUMMYFUNCTION("""COMPUTED_VALUE"""),101.0)</f>
        <v>101</v>
      </c>
      <c r="F2137" s="4">
        <f>IFERROR(__xludf.DUMMYFUNCTION("""COMPUTED_VALUE"""),6.0)</f>
        <v>6</v>
      </c>
      <c r="G2137" s="4">
        <f>IFERROR(__xludf.DUMMYFUNCTION("""COMPUTED_VALUE"""),1104.0)</f>
        <v>1104</v>
      </c>
      <c r="H2137" s="5">
        <f>IFERROR(__xludf.DUMMYFUNCTION("""COMPUTED_VALUE"""),759.18)</f>
        <v>759.18</v>
      </c>
      <c r="I2137" s="5">
        <f>IFERROR(__xludf.DUMMYFUNCTION("""COMPUTED_VALUE"""),2064.61)</f>
        <v>2064.61</v>
      </c>
      <c r="J2137" s="5">
        <f>IFERROR(__xludf.DUMMYFUNCTION("""COMPUTED_VALUE"""),410.34)</f>
        <v>410.34</v>
      </c>
      <c r="K2137" s="5">
        <f>IFERROR(__xludf.DUMMYFUNCTION("""COMPUTED_VALUE"""),6652.54)</f>
        <v>6652.54</v>
      </c>
      <c r="L2137" s="4">
        <f>IFERROR(__xludf.DUMMYFUNCTION("""COMPUTED_VALUE"""),12.0)</f>
        <v>12</v>
      </c>
      <c r="M2137" s="4">
        <f>IFERROR(__xludf.DUMMYFUNCTION("""COMPUTED_VALUE"""),29.0)</f>
        <v>29</v>
      </c>
      <c r="N2137" s="2" t="b">
        <f>IFERROR(__xludf.DUMMYFUNCTION("""COMPUTED_VALUE"""),FALSE)</f>
        <v>0</v>
      </c>
    </row>
    <row r="2138">
      <c r="A2138" s="2">
        <f>IFERROR(__xludf.DUMMYFUNCTION("""COMPUTED_VALUE"""),2137.0)</f>
        <v>2137</v>
      </c>
      <c r="B2138" s="2" t="str">
        <f>IFERROR(__xludf.DUMMYFUNCTION("""COMPUTED_VALUE"""),"Waly Osgordby")</f>
        <v>Waly Osgordby</v>
      </c>
      <c r="C2138" s="2" t="str">
        <f>IFERROR(__xludf.DUMMYFUNCTION("""COMPUTED_VALUE"""),"wosgordby3t@friendfeed.com")</f>
        <v>wosgordby3t@friendfeed.com</v>
      </c>
      <c r="D2138" s="4">
        <f>IFERROR(__xludf.DUMMYFUNCTION("""COMPUTED_VALUE"""),32.0)</f>
        <v>32</v>
      </c>
      <c r="E2138" s="4">
        <f>IFERROR(__xludf.DUMMYFUNCTION("""COMPUTED_VALUE"""),19.0)</f>
        <v>19</v>
      </c>
      <c r="F2138" s="4">
        <f>IFERROR(__xludf.DUMMYFUNCTION("""COMPUTED_VALUE"""),7.0)</f>
        <v>7</v>
      </c>
      <c r="G2138" s="4">
        <f>IFERROR(__xludf.DUMMYFUNCTION("""COMPUTED_VALUE"""),313.0)</f>
        <v>313</v>
      </c>
      <c r="H2138" s="5">
        <f>IFERROR(__xludf.DUMMYFUNCTION("""COMPUTED_VALUE"""),8911.2)</f>
        <v>8911.2</v>
      </c>
      <c r="I2138" s="5">
        <f>IFERROR(__xludf.DUMMYFUNCTION("""COMPUTED_VALUE"""),2867.44)</f>
        <v>2867.44</v>
      </c>
      <c r="J2138" s="5">
        <f>IFERROR(__xludf.DUMMYFUNCTION("""COMPUTED_VALUE"""),1929.12)</f>
        <v>1929.12</v>
      </c>
      <c r="K2138" s="5">
        <f>IFERROR(__xludf.DUMMYFUNCTION("""COMPUTED_VALUE"""),2129.43)</f>
        <v>2129.43</v>
      </c>
      <c r="L2138" s="4">
        <f>IFERROR(__xludf.DUMMYFUNCTION("""COMPUTED_VALUE"""),18.0)</f>
        <v>18</v>
      </c>
      <c r="M2138" s="4">
        <f>IFERROR(__xludf.DUMMYFUNCTION("""COMPUTED_VALUE"""),60.0)</f>
        <v>60</v>
      </c>
      <c r="N2138" s="2" t="b">
        <f>IFERROR(__xludf.DUMMYFUNCTION("""COMPUTED_VALUE"""),FALSE)</f>
        <v>0</v>
      </c>
    </row>
    <row r="2139">
      <c r="A2139" s="2">
        <f>IFERROR(__xludf.DUMMYFUNCTION("""COMPUTED_VALUE"""),2138.0)</f>
        <v>2138</v>
      </c>
      <c r="B2139" s="2" t="str">
        <f>IFERROR(__xludf.DUMMYFUNCTION("""COMPUTED_VALUE"""),"Minny Salleir")</f>
        <v>Minny Salleir</v>
      </c>
      <c r="C2139" s="2"/>
      <c r="D2139" s="4">
        <f>IFERROR(__xludf.DUMMYFUNCTION("""COMPUTED_VALUE"""),160.0)</f>
        <v>160</v>
      </c>
      <c r="E2139" s="4">
        <f>IFERROR(__xludf.DUMMYFUNCTION("""COMPUTED_VALUE"""),48.0)</f>
        <v>48</v>
      </c>
      <c r="F2139" s="4">
        <f>IFERROR(__xludf.DUMMYFUNCTION("""COMPUTED_VALUE"""),6.0)</f>
        <v>6</v>
      </c>
      <c r="G2139" s="4">
        <f>IFERROR(__xludf.DUMMYFUNCTION("""COMPUTED_VALUE"""),665.0)</f>
        <v>665</v>
      </c>
      <c r="H2139" s="5">
        <f>IFERROR(__xludf.DUMMYFUNCTION("""COMPUTED_VALUE"""),3890.07)</f>
        <v>3890.07</v>
      </c>
      <c r="I2139" s="5">
        <f>IFERROR(__xludf.DUMMYFUNCTION("""COMPUTED_VALUE"""),9207.65)</f>
        <v>9207.65</v>
      </c>
      <c r="J2139" s="5">
        <f>IFERROR(__xludf.DUMMYFUNCTION("""COMPUTED_VALUE"""),5686.43)</f>
        <v>5686.43</v>
      </c>
      <c r="K2139" s="5">
        <f>IFERROR(__xludf.DUMMYFUNCTION("""COMPUTED_VALUE"""),1676.88)</f>
        <v>1676.88</v>
      </c>
      <c r="L2139" s="4">
        <f>IFERROR(__xludf.DUMMYFUNCTION("""COMPUTED_VALUE"""),19.0)</f>
        <v>19</v>
      </c>
      <c r="M2139" s="4">
        <f>IFERROR(__xludf.DUMMYFUNCTION("""COMPUTED_VALUE"""),11.0)</f>
        <v>11</v>
      </c>
      <c r="N2139" s="2" t="b">
        <f>IFERROR(__xludf.DUMMYFUNCTION("""COMPUTED_VALUE"""),TRUE)</f>
        <v>1</v>
      </c>
    </row>
    <row r="2140">
      <c r="A2140" s="2">
        <f>IFERROR(__xludf.DUMMYFUNCTION("""COMPUTED_VALUE"""),2139.0)</f>
        <v>2139</v>
      </c>
      <c r="B2140" s="2" t="str">
        <f>IFERROR(__xludf.DUMMYFUNCTION("""COMPUTED_VALUE"""),"Hurleigh Trayling")</f>
        <v>Hurleigh Trayling</v>
      </c>
      <c r="C2140" s="2"/>
      <c r="D2140" s="4">
        <f>IFERROR(__xludf.DUMMYFUNCTION("""COMPUTED_VALUE"""),154.0)</f>
        <v>154</v>
      </c>
      <c r="E2140" s="4">
        <f>IFERROR(__xludf.DUMMYFUNCTION("""COMPUTED_VALUE"""),104.0)</f>
        <v>104</v>
      </c>
      <c r="F2140" s="4">
        <f>IFERROR(__xludf.DUMMYFUNCTION("""COMPUTED_VALUE"""),4.0)</f>
        <v>4</v>
      </c>
      <c r="G2140" s="4">
        <f>IFERROR(__xludf.DUMMYFUNCTION("""COMPUTED_VALUE"""),608.0)</f>
        <v>608</v>
      </c>
      <c r="H2140" s="5">
        <f>IFERROR(__xludf.DUMMYFUNCTION("""COMPUTED_VALUE"""),3634.41)</f>
        <v>3634.41</v>
      </c>
      <c r="I2140" s="5">
        <f>IFERROR(__xludf.DUMMYFUNCTION("""COMPUTED_VALUE"""),490.0)</f>
        <v>490</v>
      </c>
      <c r="J2140" s="5">
        <f>IFERROR(__xludf.DUMMYFUNCTION("""COMPUTED_VALUE"""),7986.08)</f>
        <v>7986.08</v>
      </c>
      <c r="K2140" s="5">
        <f>IFERROR(__xludf.DUMMYFUNCTION("""COMPUTED_VALUE"""),9486.9)</f>
        <v>9486.9</v>
      </c>
      <c r="L2140" s="4">
        <f>IFERROR(__xludf.DUMMYFUNCTION("""COMPUTED_VALUE"""),5.0)</f>
        <v>5</v>
      </c>
      <c r="M2140" s="4">
        <f>IFERROR(__xludf.DUMMYFUNCTION("""COMPUTED_VALUE"""),83.0)</f>
        <v>83</v>
      </c>
      <c r="N2140" s="2" t="b">
        <f>IFERROR(__xludf.DUMMYFUNCTION("""COMPUTED_VALUE"""),FALSE)</f>
        <v>0</v>
      </c>
    </row>
    <row r="2141">
      <c r="A2141" s="2">
        <f>IFERROR(__xludf.DUMMYFUNCTION("""COMPUTED_VALUE"""),2140.0)</f>
        <v>2140</v>
      </c>
      <c r="B2141" s="2" t="str">
        <f>IFERROR(__xludf.DUMMYFUNCTION("""COMPUTED_VALUE"""),"Remus Gimert")</f>
        <v>Remus Gimert</v>
      </c>
      <c r="C2141" s="2" t="str">
        <f>IFERROR(__xludf.DUMMYFUNCTION("""COMPUTED_VALUE"""),"rgimert3w@about.com")</f>
        <v>rgimert3w@about.com</v>
      </c>
      <c r="D2141" s="4">
        <f>IFERROR(__xludf.DUMMYFUNCTION("""COMPUTED_VALUE"""),48.0)</f>
        <v>48</v>
      </c>
      <c r="E2141" s="4">
        <f>IFERROR(__xludf.DUMMYFUNCTION("""COMPUTED_VALUE"""),95.0)</f>
        <v>95</v>
      </c>
      <c r="F2141" s="4">
        <f>IFERROR(__xludf.DUMMYFUNCTION("""COMPUTED_VALUE"""),1.0)</f>
        <v>1</v>
      </c>
      <c r="G2141" s="4">
        <f>IFERROR(__xludf.DUMMYFUNCTION("""COMPUTED_VALUE"""),1246.0)</f>
        <v>1246</v>
      </c>
      <c r="H2141" s="5">
        <f>IFERROR(__xludf.DUMMYFUNCTION("""COMPUTED_VALUE"""),9291.79)</f>
        <v>9291.79</v>
      </c>
      <c r="I2141" s="5">
        <f>IFERROR(__xludf.DUMMYFUNCTION("""COMPUTED_VALUE"""),6926.42)</f>
        <v>6926.42</v>
      </c>
      <c r="J2141" s="5">
        <f>IFERROR(__xludf.DUMMYFUNCTION("""COMPUTED_VALUE"""),5330.08)</f>
        <v>5330.08</v>
      </c>
      <c r="K2141" s="5">
        <f>IFERROR(__xludf.DUMMYFUNCTION("""COMPUTED_VALUE"""),1685.88)</f>
        <v>1685.88</v>
      </c>
      <c r="L2141" s="4">
        <f>IFERROR(__xludf.DUMMYFUNCTION("""COMPUTED_VALUE"""),7.0)</f>
        <v>7</v>
      </c>
      <c r="M2141" s="4">
        <f>IFERROR(__xludf.DUMMYFUNCTION("""COMPUTED_VALUE"""),78.0)</f>
        <v>78</v>
      </c>
      <c r="N2141" s="2" t="b">
        <f>IFERROR(__xludf.DUMMYFUNCTION("""COMPUTED_VALUE"""),TRUE)</f>
        <v>1</v>
      </c>
    </row>
    <row r="2142">
      <c r="A2142" s="2">
        <f>IFERROR(__xludf.DUMMYFUNCTION("""COMPUTED_VALUE"""),2141.0)</f>
        <v>2141</v>
      </c>
      <c r="B2142" s="2" t="str">
        <f>IFERROR(__xludf.DUMMYFUNCTION("""COMPUTED_VALUE"""),"Porty Wing")</f>
        <v>Porty Wing</v>
      </c>
      <c r="C2142" s="2"/>
      <c r="D2142" s="4">
        <f>IFERROR(__xludf.DUMMYFUNCTION("""COMPUTED_VALUE"""),126.0)</f>
        <v>126</v>
      </c>
      <c r="E2142" s="4">
        <f>IFERROR(__xludf.DUMMYFUNCTION("""COMPUTED_VALUE"""),61.0)</f>
        <v>61</v>
      </c>
      <c r="F2142" s="4">
        <f>IFERROR(__xludf.DUMMYFUNCTION("""COMPUTED_VALUE"""),1.0)</f>
        <v>1</v>
      </c>
      <c r="G2142" s="4">
        <f>IFERROR(__xludf.DUMMYFUNCTION("""COMPUTED_VALUE"""),924.0)</f>
        <v>924</v>
      </c>
      <c r="H2142" s="5">
        <f>IFERROR(__xludf.DUMMYFUNCTION("""COMPUTED_VALUE"""),2981.29)</f>
        <v>2981.29</v>
      </c>
      <c r="I2142" s="5">
        <f>IFERROR(__xludf.DUMMYFUNCTION("""COMPUTED_VALUE"""),2640.07)</f>
        <v>2640.07</v>
      </c>
      <c r="J2142" s="5">
        <f>IFERROR(__xludf.DUMMYFUNCTION("""COMPUTED_VALUE"""),145.13)</f>
        <v>145.13</v>
      </c>
      <c r="K2142" s="5">
        <f>IFERROR(__xludf.DUMMYFUNCTION("""COMPUTED_VALUE"""),2229.69)</f>
        <v>2229.69</v>
      </c>
      <c r="L2142" s="4">
        <f>IFERROR(__xludf.DUMMYFUNCTION("""COMPUTED_VALUE"""),16.0)</f>
        <v>16</v>
      </c>
      <c r="M2142" s="4">
        <f>IFERROR(__xludf.DUMMYFUNCTION("""COMPUTED_VALUE"""),94.0)</f>
        <v>94</v>
      </c>
      <c r="N2142" s="2" t="b">
        <f>IFERROR(__xludf.DUMMYFUNCTION("""COMPUTED_VALUE"""),FALSE)</f>
        <v>0</v>
      </c>
    </row>
    <row r="2143">
      <c r="A2143" s="2">
        <f>IFERROR(__xludf.DUMMYFUNCTION("""COMPUTED_VALUE"""),2142.0)</f>
        <v>2142</v>
      </c>
      <c r="B2143" s="2" t="str">
        <f>IFERROR(__xludf.DUMMYFUNCTION("""COMPUTED_VALUE"""),"Wait Hinstridge")</f>
        <v>Wait Hinstridge</v>
      </c>
      <c r="C2143" s="2"/>
      <c r="D2143" s="4">
        <f>IFERROR(__xludf.DUMMYFUNCTION("""COMPUTED_VALUE"""),21.0)</f>
        <v>21</v>
      </c>
      <c r="E2143" s="4">
        <f>IFERROR(__xludf.DUMMYFUNCTION("""COMPUTED_VALUE"""),42.0)</f>
        <v>42</v>
      </c>
      <c r="F2143" s="4">
        <f>IFERROR(__xludf.DUMMYFUNCTION("""COMPUTED_VALUE"""),2.0)</f>
        <v>2</v>
      </c>
      <c r="G2143" s="4">
        <f>IFERROR(__xludf.DUMMYFUNCTION("""COMPUTED_VALUE"""),169.0)</f>
        <v>169</v>
      </c>
      <c r="H2143" s="5">
        <f>IFERROR(__xludf.DUMMYFUNCTION("""COMPUTED_VALUE"""),5712.37)</f>
        <v>5712.37</v>
      </c>
      <c r="I2143" s="5">
        <f>IFERROR(__xludf.DUMMYFUNCTION("""COMPUTED_VALUE"""),3936.85)</f>
        <v>3936.85</v>
      </c>
      <c r="J2143" s="5">
        <f>IFERROR(__xludf.DUMMYFUNCTION("""COMPUTED_VALUE"""),2637.36)</f>
        <v>2637.36</v>
      </c>
      <c r="K2143" s="5">
        <f>IFERROR(__xludf.DUMMYFUNCTION("""COMPUTED_VALUE"""),335.25)</f>
        <v>335.25</v>
      </c>
      <c r="L2143" s="4">
        <f>IFERROR(__xludf.DUMMYFUNCTION("""COMPUTED_VALUE"""),10.0)</f>
        <v>10</v>
      </c>
      <c r="M2143" s="4">
        <f>IFERROR(__xludf.DUMMYFUNCTION("""COMPUTED_VALUE"""),62.0)</f>
        <v>62</v>
      </c>
      <c r="N2143" s="2" t="b">
        <f>IFERROR(__xludf.DUMMYFUNCTION("""COMPUTED_VALUE"""),TRUE)</f>
        <v>1</v>
      </c>
    </row>
    <row r="2144">
      <c r="A2144" s="2">
        <f>IFERROR(__xludf.DUMMYFUNCTION("""COMPUTED_VALUE"""),2143.0)</f>
        <v>2143</v>
      </c>
      <c r="B2144" s="2" t="str">
        <f>IFERROR(__xludf.DUMMYFUNCTION("""COMPUTED_VALUE"""),"Emlyn Heinish")</f>
        <v>Emlyn Heinish</v>
      </c>
      <c r="C2144" s="2"/>
      <c r="D2144" s="4">
        <f>IFERROR(__xludf.DUMMYFUNCTION("""COMPUTED_VALUE"""),137.0)</f>
        <v>137</v>
      </c>
      <c r="E2144" s="4">
        <f>IFERROR(__xludf.DUMMYFUNCTION("""COMPUTED_VALUE"""),11.0)</f>
        <v>11</v>
      </c>
      <c r="F2144" s="4">
        <f>IFERROR(__xludf.DUMMYFUNCTION("""COMPUTED_VALUE"""),4.0)</f>
        <v>4</v>
      </c>
      <c r="G2144" s="4">
        <f>IFERROR(__xludf.DUMMYFUNCTION("""COMPUTED_VALUE"""),378.0)</f>
        <v>378</v>
      </c>
      <c r="H2144" s="5">
        <f>IFERROR(__xludf.DUMMYFUNCTION("""COMPUTED_VALUE"""),672.21)</f>
        <v>672.21</v>
      </c>
      <c r="I2144" s="5">
        <f>IFERROR(__xludf.DUMMYFUNCTION("""COMPUTED_VALUE"""),9442.99)</f>
        <v>9442.99</v>
      </c>
      <c r="J2144" s="5">
        <f>IFERROR(__xludf.DUMMYFUNCTION("""COMPUTED_VALUE"""),6958.91)</f>
        <v>6958.91</v>
      </c>
      <c r="K2144" s="5">
        <f>IFERROR(__xludf.DUMMYFUNCTION("""COMPUTED_VALUE"""),2485.18)</f>
        <v>2485.18</v>
      </c>
      <c r="L2144" s="4">
        <f>IFERROR(__xludf.DUMMYFUNCTION("""COMPUTED_VALUE"""),5.0)</f>
        <v>5</v>
      </c>
      <c r="M2144" s="4">
        <f>IFERROR(__xludf.DUMMYFUNCTION("""COMPUTED_VALUE"""),40.0)</f>
        <v>40</v>
      </c>
      <c r="N2144" s="2" t="b">
        <f>IFERROR(__xludf.DUMMYFUNCTION("""COMPUTED_VALUE"""),TRUE)</f>
        <v>1</v>
      </c>
    </row>
    <row r="2145">
      <c r="A2145" s="2">
        <f>IFERROR(__xludf.DUMMYFUNCTION("""COMPUTED_VALUE"""),2144.0)</f>
        <v>2144</v>
      </c>
      <c r="B2145" s="2" t="str">
        <f>IFERROR(__xludf.DUMMYFUNCTION("""COMPUTED_VALUE"""),"Roberto Duffitt")</f>
        <v>Roberto Duffitt</v>
      </c>
      <c r="C2145" s="2"/>
      <c r="D2145" s="4">
        <f>IFERROR(__xludf.DUMMYFUNCTION("""COMPUTED_VALUE"""),42.0)</f>
        <v>42</v>
      </c>
      <c r="E2145" s="4">
        <f>IFERROR(__xludf.DUMMYFUNCTION("""COMPUTED_VALUE"""),115.0)</f>
        <v>115</v>
      </c>
      <c r="F2145" s="4">
        <f>IFERROR(__xludf.DUMMYFUNCTION("""COMPUTED_VALUE"""),5.0)</f>
        <v>5</v>
      </c>
      <c r="G2145" s="4">
        <f>IFERROR(__xludf.DUMMYFUNCTION("""COMPUTED_VALUE"""),1440.0)</f>
        <v>1440</v>
      </c>
      <c r="H2145" s="5">
        <f>IFERROR(__xludf.DUMMYFUNCTION("""COMPUTED_VALUE"""),8924.06)</f>
        <v>8924.06</v>
      </c>
      <c r="I2145" s="5">
        <f>IFERROR(__xludf.DUMMYFUNCTION("""COMPUTED_VALUE"""),8447.45)</f>
        <v>8447.45</v>
      </c>
      <c r="J2145" s="5">
        <f>IFERROR(__xludf.DUMMYFUNCTION("""COMPUTED_VALUE"""),2382.64)</f>
        <v>2382.64</v>
      </c>
      <c r="K2145" s="5">
        <f>IFERROR(__xludf.DUMMYFUNCTION("""COMPUTED_VALUE"""),3650.27)</f>
        <v>3650.27</v>
      </c>
      <c r="L2145" s="4">
        <f>IFERROR(__xludf.DUMMYFUNCTION("""COMPUTED_VALUE"""),20.0)</f>
        <v>20</v>
      </c>
      <c r="M2145" s="4">
        <f>IFERROR(__xludf.DUMMYFUNCTION("""COMPUTED_VALUE"""),88.0)</f>
        <v>88</v>
      </c>
      <c r="N2145" s="2" t="b">
        <f>IFERROR(__xludf.DUMMYFUNCTION("""COMPUTED_VALUE"""),FALSE)</f>
        <v>0</v>
      </c>
    </row>
    <row r="2146">
      <c r="A2146" s="2">
        <f>IFERROR(__xludf.DUMMYFUNCTION("""COMPUTED_VALUE"""),2145.0)</f>
        <v>2145</v>
      </c>
      <c r="B2146" s="2" t="str">
        <f>IFERROR(__xludf.DUMMYFUNCTION("""COMPUTED_VALUE"""),"Consolata Ambrosini")</f>
        <v>Consolata Ambrosini</v>
      </c>
      <c r="C2146" s="2" t="str">
        <f>IFERROR(__xludf.DUMMYFUNCTION("""COMPUTED_VALUE"""),"cambrosini41@slashdot.org")</f>
        <v>cambrosini41@slashdot.org</v>
      </c>
      <c r="D2146" s="4">
        <f>IFERROR(__xludf.DUMMYFUNCTION("""COMPUTED_VALUE"""),122.0)</f>
        <v>122</v>
      </c>
      <c r="E2146" s="4">
        <f>IFERROR(__xludf.DUMMYFUNCTION("""COMPUTED_VALUE"""),15.0)</f>
        <v>15</v>
      </c>
      <c r="F2146" s="4">
        <f>IFERROR(__xludf.DUMMYFUNCTION("""COMPUTED_VALUE"""),5.0)</f>
        <v>5</v>
      </c>
      <c r="G2146" s="4">
        <f>IFERROR(__xludf.DUMMYFUNCTION("""COMPUTED_VALUE"""),1155.0)</f>
        <v>1155</v>
      </c>
      <c r="H2146" s="5">
        <f>IFERROR(__xludf.DUMMYFUNCTION("""COMPUTED_VALUE"""),4769.04)</f>
        <v>4769.04</v>
      </c>
      <c r="I2146" s="5">
        <f>IFERROR(__xludf.DUMMYFUNCTION("""COMPUTED_VALUE"""),8861.17)</f>
        <v>8861.17</v>
      </c>
      <c r="J2146" s="5">
        <f>IFERROR(__xludf.DUMMYFUNCTION("""COMPUTED_VALUE"""),9523.28)</f>
        <v>9523.28</v>
      </c>
      <c r="K2146" s="5">
        <f>IFERROR(__xludf.DUMMYFUNCTION("""COMPUTED_VALUE"""),913.63)</f>
        <v>913.63</v>
      </c>
      <c r="L2146" s="4">
        <f>IFERROR(__xludf.DUMMYFUNCTION("""COMPUTED_VALUE"""),5.0)</f>
        <v>5</v>
      </c>
      <c r="M2146" s="4">
        <f>IFERROR(__xludf.DUMMYFUNCTION("""COMPUTED_VALUE"""),85.0)</f>
        <v>85</v>
      </c>
      <c r="N2146" s="2" t="b">
        <f>IFERROR(__xludf.DUMMYFUNCTION("""COMPUTED_VALUE"""),TRUE)</f>
        <v>1</v>
      </c>
    </row>
    <row r="2147">
      <c r="A2147" s="2">
        <f>IFERROR(__xludf.DUMMYFUNCTION("""COMPUTED_VALUE"""),2146.0)</f>
        <v>2146</v>
      </c>
      <c r="B2147" s="2" t="str">
        <f>IFERROR(__xludf.DUMMYFUNCTION("""COMPUTED_VALUE"""),"Courtnay Derobert")</f>
        <v>Courtnay Derobert</v>
      </c>
      <c r="C2147" s="2"/>
      <c r="D2147" s="4">
        <f>IFERROR(__xludf.DUMMYFUNCTION("""COMPUTED_VALUE"""),4.0)</f>
        <v>4</v>
      </c>
      <c r="E2147" s="4">
        <f>IFERROR(__xludf.DUMMYFUNCTION("""COMPUTED_VALUE"""),111.0)</f>
        <v>111</v>
      </c>
      <c r="F2147" s="4">
        <f>IFERROR(__xludf.DUMMYFUNCTION("""COMPUTED_VALUE"""),5.0)</f>
        <v>5</v>
      </c>
      <c r="G2147" s="4">
        <f>IFERROR(__xludf.DUMMYFUNCTION("""COMPUTED_VALUE"""),1497.0)</f>
        <v>1497</v>
      </c>
      <c r="H2147" s="5">
        <f>IFERROR(__xludf.DUMMYFUNCTION("""COMPUTED_VALUE"""),7113.48)</f>
        <v>7113.48</v>
      </c>
      <c r="I2147" s="5">
        <f>IFERROR(__xludf.DUMMYFUNCTION("""COMPUTED_VALUE"""),6746.38)</f>
        <v>6746.38</v>
      </c>
      <c r="J2147" s="5">
        <f>IFERROR(__xludf.DUMMYFUNCTION("""COMPUTED_VALUE"""),4949.47)</f>
        <v>4949.47</v>
      </c>
      <c r="K2147" s="5">
        <f>IFERROR(__xludf.DUMMYFUNCTION("""COMPUTED_VALUE"""),3815.92)</f>
        <v>3815.92</v>
      </c>
      <c r="L2147" s="4">
        <f>IFERROR(__xludf.DUMMYFUNCTION("""COMPUTED_VALUE"""),9.0)</f>
        <v>9</v>
      </c>
      <c r="M2147" s="4">
        <f>IFERROR(__xludf.DUMMYFUNCTION("""COMPUTED_VALUE"""),67.0)</f>
        <v>67</v>
      </c>
      <c r="N2147" s="2" t="b">
        <f>IFERROR(__xludf.DUMMYFUNCTION("""COMPUTED_VALUE"""),TRUE)</f>
        <v>1</v>
      </c>
    </row>
    <row r="2148">
      <c r="A2148" s="2">
        <f>IFERROR(__xludf.DUMMYFUNCTION("""COMPUTED_VALUE"""),2147.0)</f>
        <v>2147</v>
      </c>
      <c r="B2148" s="2" t="str">
        <f>IFERROR(__xludf.DUMMYFUNCTION("""COMPUTED_VALUE"""),"Martina Feldheim")</f>
        <v>Martina Feldheim</v>
      </c>
      <c r="C2148" s="2"/>
      <c r="D2148" s="4">
        <f>IFERROR(__xludf.DUMMYFUNCTION("""COMPUTED_VALUE"""),100.0)</f>
        <v>100</v>
      </c>
      <c r="E2148" s="4">
        <f>IFERROR(__xludf.DUMMYFUNCTION("""COMPUTED_VALUE"""),13.0)</f>
        <v>13</v>
      </c>
      <c r="F2148" s="4">
        <f>IFERROR(__xludf.DUMMYFUNCTION("""COMPUTED_VALUE"""),6.0)</f>
        <v>6</v>
      </c>
      <c r="G2148" s="4">
        <f>IFERROR(__xludf.DUMMYFUNCTION("""COMPUTED_VALUE"""),233.0)</f>
        <v>233</v>
      </c>
      <c r="H2148" s="5">
        <f>IFERROR(__xludf.DUMMYFUNCTION("""COMPUTED_VALUE"""),8214.95)</f>
        <v>8214.95</v>
      </c>
      <c r="I2148" s="5">
        <f>IFERROR(__xludf.DUMMYFUNCTION("""COMPUTED_VALUE"""),1231.5)</f>
        <v>1231.5</v>
      </c>
      <c r="J2148" s="5">
        <f>IFERROR(__xludf.DUMMYFUNCTION("""COMPUTED_VALUE"""),8785.9)</f>
        <v>8785.9</v>
      </c>
      <c r="K2148" s="5">
        <f>IFERROR(__xludf.DUMMYFUNCTION("""COMPUTED_VALUE"""),6246.27)</f>
        <v>6246.27</v>
      </c>
      <c r="L2148" s="4">
        <f>IFERROR(__xludf.DUMMYFUNCTION("""COMPUTED_VALUE"""),8.0)</f>
        <v>8</v>
      </c>
      <c r="M2148" s="4">
        <f>IFERROR(__xludf.DUMMYFUNCTION("""COMPUTED_VALUE"""),66.0)</f>
        <v>66</v>
      </c>
      <c r="N2148" s="2" t="b">
        <f>IFERROR(__xludf.DUMMYFUNCTION("""COMPUTED_VALUE"""),FALSE)</f>
        <v>0</v>
      </c>
    </row>
    <row r="2149">
      <c r="A2149" s="2">
        <f>IFERROR(__xludf.DUMMYFUNCTION("""COMPUTED_VALUE"""),2148.0)</f>
        <v>2148</v>
      </c>
      <c r="B2149" s="2" t="str">
        <f>IFERROR(__xludf.DUMMYFUNCTION("""COMPUTED_VALUE"""),"Muffin Fritchley")</f>
        <v>Muffin Fritchley</v>
      </c>
      <c r="C2149" s="2"/>
      <c r="D2149" s="4">
        <f>IFERROR(__xludf.DUMMYFUNCTION("""COMPUTED_VALUE"""),139.0)</f>
        <v>139</v>
      </c>
      <c r="E2149" s="4">
        <f>IFERROR(__xludf.DUMMYFUNCTION("""COMPUTED_VALUE"""),6.0)</f>
        <v>6</v>
      </c>
      <c r="F2149" s="4">
        <f>IFERROR(__xludf.DUMMYFUNCTION("""COMPUTED_VALUE"""),1.0)</f>
        <v>1</v>
      </c>
      <c r="G2149" s="4">
        <f>IFERROR(__xludf.DUMMYFUNCTION("""COMPUTED_VALUE"""),580.0)</f>
        <v>580</v>
      </c>
      <c r="H2149" s="5">
        <f>IFERROR(__xludf.DUMMYFUNCTION("""COMPUTED_VALUE"""),5346.12)</f>
        <v>5346.12</v>
      </c>
      <c r="I2149" s="5">
        <f>IFERROR(__xludf.DUMMYFUNCTION("""COMPUTED_VALUE"""),6249.81)</f>
        <v>6249.81</v>
      </c>
      <c r="J2149" s="5">
        <f>IFERROR(__xludf.DUMMYFUNCTION("""COMPUTED_VALUE"""),5729.31)</f>
        <v>5729.31</v>
      </c>
      <c r="K2149" s="5">
        <f>IFERROR(__xludf.DUMMYFUNCTION("""COMPUTED_VALUE"""),3169.8)</f>
        <v>3169.8</v>
      </c>
      <c r="L2149" s="4">
        <f>IFERROR(__xludf.DUMMYFUNCTION("""COMPUTED_VALUE"""),4.0)</f>
        <v>4</v>
      </c>
      <c r="M2149" s="4">
        <f>IFERROR(__xludf.DUMMYFUNCTION("""COMPUTED_VALUE"""),91.0)</f>
        <v>91</v>
      </c>
      <c r="N2149" s="2" t="b">
        <f>IFERROR(__xludf.DUMMYFUNCTION("""COMPUTED_VALUE"""),TRUE)</f>
        <v>1</v>
      </c>
    </row>
    <row r="2150">
      <c r="A2150" s="2">
        <f>IFERROR(__xludf.DUMMYFUNCTION("""COMPUTED_VALUE"""),2149.0)</f>
        <v>2149</v>
      </c>
      <c r="B2150" s="2" t="str">
        <f>IFERROR(__xludf.DUMMYFUNCTION("""COMPUTED_VALUE"""),"Lilla Fishbourne")</f>
        <v>Lilla Fishbourne</v>
      </c>
      <c r="C2150" s="2"/>
      <c r="D2150" s="4">
        <f>IFERROR(__xludf.DUMMYFUNCTION("""COMPUTED_VALUE"""),53.0)</f>
        <v>53</v>
      </c>
      <c r="E2150" s="4">
        <f>IFERROR(__xludf.DUMMYFUNCTION("""COMPUTED_VALUE"""),34.0)</f>
        <v>34</v>
      </c>
      <c r="F2150" s="4">
        <f>IFERROR(__xludf.DUMMYFUNCTION("""COMPUTED_VALUE"""),13.0)</f>
        <v>13</v>
      </c>
      <c r="G2150" s="4">
        <f>IFERROR(__xludf.DUMMYFUNCTION("""COMPUTED_VALUE"""),755.0)</f>
        <v>755</v>
      </c>
      <c r="H2150" s="5">
        <f>IFERROR(__xludf.DUMMYFUNCTION("""COMPUTED_VALUE"""),3084.45)</f>
        <v>3084.45</v>
      </c>
      <c r="I2150" s="5">
        <f>IFERROR(__xludf.DUMMYFUNCTION("""COMPUTED_VALUE"""),9618.31)</f>
        <v>9618.31</v>
      </c>
      <c r="J2150" s="5">
        <f>IFERROR(__xludf.DUMMYFUNCTION("""COMPUTED_VALUE"""),125.02)</f>
        <v>125.02</v>
      </c>
      <c r="K2150" s="5">
        <f>IFERROR(__xludf.DUMMYFUNCTION("""COMPUTED_VALUE"""),2931.33)</f>
        <v>2931.33</v>
      </c>
      <c r="L2150" s="4">
        <f>IFERROR(__xludf.DUMMYFUNCTION("""COMPUTED_VALUE"""),6.0)</f>
        <v>6</v>
      </c>
      <c r="M2150" s="4">
        <f>IFERROR(__xludf.DUMMYFUNCTION("""COMPUTED_VALUE"""),6.0)</f>
        <v>6</v>
      </c>
      <c r="N2150" s="2" t="b">
        <f>IFERROR(__xludf.DUMMYFUNCTION("""COMPUTED_VALUE"""),TRUE)</f>
        <v>1</v>
      </c>
    </row>
    <row r="2151">
      <c r="A2151" s="2">
        <f>IFERROR(__xludf.DUMMYFUNCTION("""COMPUTED_VALUE"""),2150.0)</f>
        <v>2150</v>
      </c>
      <c r="B2151" s="2" t="str">
        <f>IFERROR(__xludf.DUMMYFUNCTION("""COMPUTED_VALUE"""),"Mayor Grenville")</f>
        <v>Mayor Grenville</v>
      </c>
      <c r="C2151" s="2" t="str">
        <f>IFERROR(__xludf.DUMMYFUNCTION("""COMPUTED_VALUE"""),"mgrenville46@xing.com")</f>
        <v>mgrenville46@xing.com</v>
      </c>
      <c r="D2151" s="4">
        <f>IFERROR(__xludf.DUMMYFUNCTION("""COMPUTED_VALUE"""),158.0)</f>
        <v>158</v>
      </c>
      <c r="E2151" s="4">
        <f>IFERROR(__xludf.DUMMYFUNCTION("""COMPUTED_VALUE"""),111.0)</f>
        <v>111</v>
      </c>
      <c r="F2151" s="4">
        <f>IFERROR(__xludf.DUMMYFUNCTION("""COMPUTED_VALUE"""),1.0)</f>
        <v>1</v>
      </c>
      <c r="G2151" s="4">
        <f>IFERROR(__xludf.DUMMYFUNCTION("""COMPUTED_VALUE"""),31.0)</f>
        <v>31</v>
      </c>
      <c r="H2151" s="5">
        <f>IFERROR(__xludf.DUMMYFUNCTION("""COMPUTED_VALUE"""),8506.18)</f>
        <v>8506.18</v>
      </c>
      <c r="I2151" s="5">
        <f>IFERROR(__xludf.DUMMYFUNCTION("""COMPUTED_VALUE"""),4627.18)</f>
        <v>4627.18</v>
      </c>
      <c r="J2151" s="5">
        <f>IFERROR(__xludf.DUMMYFUNCTION("""COMPUTED_VALUE"""),5827.16)</f>
        <v>5827.16</v>
      </c>
      <c r="K2151" s="5">
        <f>IFERROR(__xludf.DUMMYFUNCTION("""COMPUTED_VALUE"""),3148.35)</f>
        <v>3148.35</v>
      </c>
      <c r="L2151" s="4">
        <f>IFERROR(__xludf.DUMMYFUNCTION("""COMPUTED_VALUE"""),6.0)</f>
        <v>6</v>
      </c>
      <c r="M2151" s="4">
        <f>IFERROR(__xludf.DUMMYFUNCTION("""COMPUTED_VALUE"""),65.0)</f>
        <v>65</v>
      </c>
      <c r="N2151" s="2" t="b">
        <f>IFERROR(__xludf.DUMMYFUNCTION("""COMPUTED_VALUE"""),FALSE)</f>
        <v>0</v>
      </c>
    </row>
    <row r="2152">
      <c r="A2152" s="2">
        <f>IFERROR(__xludf.DUMMYFUNCTION("""COMPUTED_VALUE"""),2151.0)</f>
        <v>2151</v>
      </c>
      <c r="B2152" s="2" t="str">
        <f>IFERROR(__xludf.DUMMYFUNCTION("""COMPUTED_VALUE"""),"Donica Robertis")</f>
        <v>Donica Robertis</v>
      </c>
      <c r="C2152" s="2"/>
      <c r="D2152" s="4">
        <f>IFERROR(__xludf.DUMMYFUNCTION("""COMPUTED_VALUE"""),134.0)</f>
        <v>134</v>
      </c>
      <c r="E2152" s="4">
        <f>IFERROR(__xludf.DUMMYFUNCTION("""COMPUTED_VALUE"""),110.0)</f>
        <v>110</v>
      </c>
      <c r="F2152" s="4">
        <f>IFERROR(__xludf.DUMMYFUNCTION("""COMPUTED_VALUE"""),4.0)</f>
        <v>4</v>
      </c>
      <c r="G2152" s="4">
        <f>IFERROR(__xludf.DUMMYFUNCTION("""COMPUTED_VALUE"""),355.0)</f>
        <v>355</v>
      </c>
      <c r="H2152" s="5">
        <f>IFERROR(__xludf.DUMMYFUNCTION("""COMPUTED_VALUE"""),4134.34)</f>
        <v>4134.34</v>
      </c>
      <c r="I2152" s="5">
        <f>IFERROR(__xludf.DUMMYFUNCTION("""COMPUTED_VALUE"""),365.6)</f>
        <v>365.6</v>
      </c>
      <c r="J2152" s="5">
        <f>IFERROR(__xludf.DUMMYFUNCTION("""COMPUTED_VALUE"""),8333.63)</f>
        <v>8333.63</v>
      </c>
      <c r="K2152" s="5">
        <f>IFERROR(__xludf.DUMMYFUNCTION("""COMPUTED_VALUE"""),555.63)</f>
        <v>555.63</v>
      </c>
      <c r="L2152" s="4">
        <f>IFERROR(__xludf.DUMMYFUNCTION("""COMPUTED_VALUE"""),6.0)</f>
        <v>6</v>
      </c>
      <c r="M2152" s="4">
        <f>IFERROR(__xludf.DUMMYFUNCTION("""COMPUTED_VALUE"""),22.0)</f>
        <v>22</v>
      </c>
      <c r="N2152" s="2" t="b">
        <f>IFERROR(__xludf.DUMMYFUNCTION("""COMPUTED_VALUE"""),TRUE)</f>
        <v>1</v>
      </c>
    </row>
    <row r="2153">
      <c r="A2153" s="2">
        <f>IFERROR(__xludf.DUMMYFUNCTION("""COMPUTED_VALUE"""),2152.0)</f>
        <v>2152</v>
      </c>
      <c r="B2153" s="2" t="str">
        <f>IFERROR(__xludf.DUMMYFUNCTION("""COMPUTED_VALUE"""),"Field Godbold")</f>
        <v>Field Godbold</v>
      </c>
      <c r="C2153" s="2"/>
      <c r="D2153" s="4">
        <f>IFERROR(__xludf.DUMMYFUNCTION("""COMPUTED_VALUE"""),81.0)</f>
        <v>81</v>
      </c>
      <c r="E2153" s="4">
        <f>IFERROR(__xludf.DUMMYFUNCTION("""COMPUTED_VALUE"""),90.0)</f>
        <v>90</v>
      </c>
      <c r="F2153" s="4">
        <f>IFERROR(__xludf.DUMMYFUNCTION("""COMPUTED_VALUE"""),5.0)</f>
        <v>5</v>
      </c>
      <c r="G2153" s="4">
        <f>IFERROR(__xludf.DUMMYFUNCTION("""COMPUTED_VALUE"""),1495.0)</f>
        <v>1495</v>
      </c>
      <c r="H2153" s="5">
        <f>IFERROR(__xludf.DUMMYFUNCTION("""COMPUTED_VALUE"""),5590.62)</f>
        <v>5590.62</v>
      </c>
      <c r="I2153" s="5">
        <f>IFERROR(__xludf.DUMMYFUNCTION("""COMPUTED_VALUE"""),7141.05)</f>
        <v>7141.05</v>
      </c>
      <c r="J2153" s="5">
        <f>IFERROR(__xludf.DUMMYFUNCTION("""COMPUTED_VALUE"""),5738.35)</f>
        <v>5738.35</v>
      </c>
      <c r="K2153" s="5">
        <f>IFERROR(__xludf.DUMMYFUNCTION("""COMPUTED_VALUE"""),4025.35)</f>
        <v>4025.35</v>
      </c>
      <c r="L2153" s="4">
        <f>IFERROR(__xludf.DUMMYFUNCTION("""COMPUTED_VALUE"""),8.0)</f>
        <v>8</v>
      </c>
      <c r="M2153" s="4">
        <f>IFERROR(__xludf.DUMMYFUNCTION("""COMPUTED_VALUE"""),70.0)</f>
        <v>70</v>
      </c>
      <c r="N2153" s="2" t="b">
        <f>IFERROR(__xludf.DUMMYFUNCTION("""COMPUTED_VALUE"""),TRUE)</f>
        <v>1</v>
      </c>
    </row>
    <row r="2154">
      <c r="A2154" s="2">
        <f>IFERROR(__xludf.DUMMYFUNCTION("""COMPUTED_VALUE"""),2153.0)</f>
        <v>2153</v>
      </c>
      <c r="B2154" s="2" t="str">
        <f>IFERROR(__xludf.DUMMYFUNCTION("""COMPUTED_VALUE"""),"Gusti Gocher")</f>
        <v>Gusti Gocher</v>
      </c>
      <c r="C2154" s="2" t="str">
        <f>IFERROR(__xludf.DUMMYFUNCTION("""COMPUTED_VALUE"""),"ggocher49@unblog.fr")</f>
        <v>ggocher49@unblog.fr</v>
      </c>
      <c r="D2154" s="4">
        <f>IFERROR(__xludf.DUMMYFUNCTION("""COMPUTED_VALUE"""),70.0)</f>
        <v>70</v>
      </c>
      <c r="E2154" s="4">
        <f>IFERROR(__xludf.DUMMYFUNCTION("""COMPUTED_VALUE"""),54.0)</f>
        <v>54</v>
      </c>
      <c r="F2154" s="4">
        <f>IFERROR(__xludf.DUMMYFUNCTION("""COMPUTED_VALUE"""),2.0)</f>
        <v>2</v>
      </c>
      <c r="G2154" s="4">
        <f>IFERROR(__xludf.DUMMYFUNCTION("""COMPUTED_VALUE"""),1415.0)</f>
        <v>1415</v>
      </c>
      <c r="H2154" s="5">
        <f>IFERROR(__xludf.DUMMYFUNCTION("""COMPUTED_VALUE"""),4667.65)</f>
        <v>4667.65</v>
      </c>
      <c r="I2154" s="5">
        <f>IFERROR(__xludf.DUMMYFUNCTION("""COMPUTED_VALUE"""),3654.17)</f>
        <v>3654.17</v>
      </c>
      <c r="J2154" s="5">
        <f>IFERROR(__xludf.DUMMYFUNCTION("""COMPUTED_VALUE"""),5690.96)</f>
        <v>5690.96</v>
      </c>
      <c r="K2154" s="5">
        <f>IFERROR(__xludf.DUMMYFUNCTION("""COMPUTED_VALUE"""),2923.43)</f>
        <v>2923.43</v>
      </c>
      <c r="L2154" s="4">
        <f>IFERROR(__xludf.DUMMYFUNCTION("""COMPUTED_VALUE"""),8.0)</f>
        <v>8</v>
      </c>
      <c r="M2154" s="4">
        <f>IFERROR(__xludf.DUMMYFUNCTION("""COMPUTED_VALUE"""),70.0)</f>
        <v>70</v>
      </c>
      <c r="N2154" s="2" t="b">
        <f>IFERROR(__xludf.DUMMYFUNCTION("""COMPUTED_VALUE"""),FALSE)</f>
        <v>0</v>
      </c>
    </row>
    <row r="2155">
      <c r="A2155" s="2">
        <f>IFERROR(__xludf.DUMMYFUNCTION("""COMPUTED_VALUE"""),2154.0)</f>
        <v>2154</v>
      </c>
      <c r="B2155" s="2" t="str">
        <f>IFERROR(__xludf.DUMMYFUNCTION("""COMPUTED_VALUE"""),"Jessie Trengove")</f>
        <v>Jessie Trengove</v>
      </c>
      <c r="C2155" s="2" t="str">
        <f>IFERROR(__xludf.DUMMYFUNCTION("""COMPUTED_VALUE"""),"jtrengove4a@nsw.gov.au")</f>
        <v>jtrengove4a@nsw.gov.au</v>
      </c>
      <c r="D2155" s="4">
        <f>IFERROR(__xludf.DUMMYFUNCTION("""COMPUTED_VALUE"""),107.0)</f>
        <v>107</v>
      </c>
      <c r="E2155" s="4">
        <f>IFERROR(__xludf.DUMMYFUNCTION("""COMPUTED_VALUE"""),33.0)</f>
        <v>33</v>
      </c>
      <c r="F2155" s="4">
        <f>IFERROR(__xludf.DUMMYFUNCTION("""COMPUTED_VALUE"""),1.0)</f>
        <v>1</v>
      </c>
      <c r="G2155" s="4">
        <f>IFERROR(__xludf.DUMMYFUNCTION("""COMPUTED_VALUE"""),1251.0)</f>
        <v>1251</v>
      </c>
      <c r="H2155" s="5">
        <f>IFERROR(__xludf.DUMMYFUNCTION("""COMPUTED_VALUE"""),1676.35)</f>
        <v>1676.35</v>
      </c>
      <c r="I2155" s="5">
        <f>IFERROR(__xludf.DUMMYFUNCTION("""COMPUTED_VALUE"""),9275.22)</f>
        <v>9275.22</v>
      </c>
      <c r="J2155" s="5">
        <f>IFERROR(__xludf.DUMMYFUNCTION("""COMPUTED_VALUE"""),9977.79)</f>
        <v>9977.79</v>
      </c>
      <c r="K2155" s="5">
        <f>IFERROR(__xludf.DUMMYFUNCTION("""COMPUTED_VALUE"""),7124.11)</f>
        <v>7124.11</v>
      </c>
      <c r="L2155" s="4">
        <f>IFERROR(__xludf.DUMMYFUNCTION("""COMPUTED_VALUE"""),9.0)</f>
        <v>9</v>
      </c>
      <c r="M2155" s="4">
        <f>IFERROR(__xludf.DUMMYFUNCTION("""COMPUTED_VALUE"""),87.0)</f>
        <v>87</v>
      </c>
      <c r="N2155" s="2" t="b">
        <f>IFERROR(__xludf.DUMMYFUNCTION("""COMPUTED_VALUE"""),TRUE)</f>
        <v>1</v>
      </c>
    </row>
    <row r="2156">
      <c r="A2156" s="2">
        <f>IFERROR(__xludf.DUMMYFUNCTION("""COMPUTED_VALUE"""),2155.0)</f>
        <v>2155</v>
      </c>
      <c r="B2156" s="2" t="str">
        <f>IFERROR(__xludf.DUMMYFUNCTION("""COMPUTED_VALUE"""),"Dimitry Leimster")</f>
        <v>Dimitry Leimster</v>
      </c>
      <c r="C2156" s="2" t="str">
        <f>IFERROR(__xludf.DUMMYFUNCTION("""COMPUTED_VALUE"""),"dleimster4b@illinois.edu")</f>
        <v>dleimster4b@illinois.edu</v>
      </c>
      <c r="D2156" s="4">
        <f>IFERROR(__xludf.DUMMYFUNCTION("""COMPUTED_VALUE"""),22.0)</f>
        <v>22</v>
      </c>
      <c r="E2156" s="4">
        <f>IFERROR(__xludf.DUMMYFUNCTION("""COMPUTED_VALUE"""),121.0)</f>
        <v>121</v>
      </c>
      <c r="F2156" s="4">
        <f>IFERROR(__xludf.DUMMYFUNCTION("""COMPUTED_VALUE"""),2.0)</f>
        <v>2</v>
      </c>
      <c r="G2156" s="4">
        <f>IFERROR(__xludf.DUMMYFUNCTION("""COMPUTED_VALUE"""),745.0)</f>
        <v>745</v>
      </c>
      <c r="H2156" s="5">
        <f>IFERROR(__xludf.DUMMYFUNCTION("""COMPUTED_VALUE"""),1312.36)</f>
        <v>1312.36</v>
      </c>
      <c r="I2156" s="5">
        <f>IFERROR(__xludf.DUMMYFUNCTION("""COMPUTED_VALUE"""),9520.27)</f>
        <v>9520.27</v>
      </c>
      <c r="J2156" s="5">
        <f>IFERROR(__xludf.DUMMYFUNCTION("""COMPUTED_VALUE"""),2695.9)</f>
        <v>2695.9</v>
      </c>
      <c r="K2156" s="5">
        <f>IFERROR(__xludf.DUMMYFUNCTION("""COMPUTED_VALUE"""),2100.24)</f>
        <v>2100.24</v>
      </c>
      <c r="L2156" s="4">
        <f>IFERROR(__xludf.DUMMYFUNCTION("""COMPUTED_VALUE"""),18.0)</f>
        <v>18</v>
      </c>
      <c r="M2156" s="4">
        <f>IFERROR(__xludf.DUMMYFUNCTION("""COMPUTED_VALUE"""),82.0)</f>
        <v>82</v>
      </c>
      <c r="N2156" s="2" t="b">
        <f>IFERROR(__xludf.DUMMYFUNCTION("""COMPUTED_VALUE"""),TRUE)</f>
        <v>1</v>
      </c>
    </row>
    <row r="2157">
      <c r="A2157" s="2">
        <f>IFERROR(__xludf.DUMMYFUNCTION("""COMPUTED_VALUE"""),2156.0)</f>
        <v>2156</v>
      </c>
      <c r="B2157" s="2" t="str">
        <f>IFERROR(__xludf.DUMMYFUNCTION("""COMPUTED_VALUE"""),"Douglass Mandry")</f>
        <v>Douglass Mandry</v>
      </c>
      <c r="C2157" s="2" t="str">
        <f>IFERROR(__xludf.DUMMYFUNCTION("""COMPUTED_VALUE"""),"dmandry4c@ifeng.com")</f>
        <v>dmandry4c@ifeng.com</v>
      </c>
      <c r="D2157" s="4">
        <f>IFERROR(__xludf.DUMMYFUNCTION("""COMPUTED_VALUE"""),5.0)</f>
        <v>5</v>
      </c>
      <c r="E2157" s="4">
        <f>IFERROR(__xludf.DUMMYFUNCTION("""COMPUTED_VALUE"""),61.0)</f>
        <v>61</v>
      </c>
      <c r="F2157" s="4">
        <f>IFERROR(__xludf.DUMMYFUNCTION("""COMPUTED_VALUE"""),2.0)</f>
        <v>2</v>
      </c>
      <c r="G2157" s="4">
        <f>IFERROR(__xludf.DUMMYFUNCTION("""COMPUTED_VALUE"""),384.0)</f>
        <v>384</v>
      </c>
      <c r="H2157" s="5">
        <f>IFERROR(__xludf.DUMMYFUNCTION("""COMPUTED_VALUE"""),6075.85)</f>
        <v>6075.85</v>
      </c>
      <c r="I2157" s="5">
        <f>IFERROR(__xludf.DUMMYFUNCTION("""COMPUTED_VALUE"""),3857.37)</f>
        <v>3857.37</v>
      </c>
      <c r="J2157" s="5">
        <f>IFERROR(__xludf.DUMMYFUNCTION("""COMPUTED_VALUE"""),8699.48)</f>
        <v>8699.48</v>
      </c>
      <c r="K2157" s="5">
        <f>IFERROR(__xludf.DUMMYFUNCTION("""COMPUTED_VALUE"""),2241.73)</f>
        <v>2241.73</v>
      </c>
      <c r="L2157" s="4">
        <f>IFERROR(__xludf.DUMMYFUNCTION("""COMPUTED_VALUE"""),6.0)</f>
        <v>6</v>
      </c>
      <c r="M2157" s="4">
        <f>IFERROR(__xludf.DUMMYFUNCTION("""COMPUTED_VALUE"""),43.0)</f>
        <v>43</v>
      </c>
      <c r="N2157" s="2" t="b">
        <f>IFERROR(__xludf.DUMMYFUNCTION("""COMPUTED_VALUE"""),FALSE)</f>
        <v>0</v>
      </c>
    </row>
    <row r="2158">
      <c r="A2158" s="2">
        <f>IFERROR(__xludf.DUMMYFUNCTION("""COMPUTED_VALUE"""),2157.0)</f>
        <v>2157</v>
      </c>
      <c r="B2158" s="2" t="str">
        <f>IFERROR(__xludf.DUMMYFUNCTION("""COMPUTED_VALUE"""),"Gregoor Sloegrave")</f>
        <v>Gregoor Sloegrave</v>
      </c>
      <c r="C2158" s="2" t="str">
        <f>IFERROR(__xludf.DUMMYFUNCTION("""COMPUTED_VALUE"""),"gsloegrave4d@webmd.com")</f>
        <v>gsloegrave4d@webmd.com</v>
      </c>
      <c r="D2158" s="4">
        <f>IFERROR(__xludf.DUMMYFUNCTION("""COMPUTED_VALUE"""),112.0)</f>
        <v>112</v>
      </c>
      <c r="E2158" s="4">
        <f>IFERROR(__xludf.DUMMYFUNCTION("""COMPUTED_VALUE"""),120.0)</f>
        <v>120</v>
      </c>
      <c r="F2158" s="4">
        <f>IFERROR(__xludf.DUMMYFUNCTION("""COMPUTED_VALUE"""),9.0)</f>
        <v>9</v>
      </c>
      <c r="G2158" s="4">
        <f>IFERROR(__xludf.DUMMYFUNCTION("""COMPUTED_VALUE"""),1080.0)</f>
        <v>1080</v>
      </c>
      <c r="H2158" s="5">
        <f>IFERROR(__xludf.DUMMYFUNCTION("""COMPUTED_VALUE"""),8552.21)</f>
        <v>8552.21</v>
      </c>
      <c r="I2158" s="5">
        <f>IFERROR(__xludf.DUMMYFUNCTION("""COMPUTED_VALUE"""),7783.71)</f>
        <v>7783.71</v>
      </c>
      <c r="J2158" s="5">
        <f>IFERROR(__xludf.DUMMYFUNCTION("""COMPUTED_VALUE"""),2127.09)</f>
        <v>2127.09</v>
      </c>
      <c r="K2158" s="5">
        <f>IFERROR(__xludf.DUMMYFUNCTION("""COMPUTED_VALUE"""),3887.81)</f>
        <v>3887.81</v>
      </c>
      <c r="L2158" s="4">
        <f>IFERROR(__xludf.DUMMYFUNCTION("""COMPUTED_VALUE"""),10.0)</f>
        <v>10</v>
      </c>
      <c r="M2158" s="4">
        <f>IFERROR(__xludf.DUMMYFUNCTION("""COMPUTED_VALUE"""),71.0)</f>
        <v>71</v>
      </c>
      <c r="N2158" s="2" t="b">
        <f>IFERROR(__xludf.DUMMYFUNCTION("""COMPUTED_VALUE"""),FALSE)</f>
        <v>0</v>
      </c>
    </row>
    <row r="2159">
      <c r="A2159" s="2">
        <f>IFERROR(__xludf.DUMMYFUNCTION("""COMPUTED_VALUE"""),2158.0)</f>
        <v>2158</v>
      </c>
      <c r="B2159" s="2" t="str">
        <f>IFERROR(__xludf.DUMMYFUNCTION("""COMPUTED_VALUE"""),"Flore Huxstep")</f>
        <v>Flore Huxstep</v>
      </c>
      <c r="C2159" s="2" t="str">
        <f>IFERROR(__xludf.DUMMYFUNCTION("""COMPUTED_VALUE"""),"fhuxstep4e@typepad.com")</f>
        <v>fhuxstep4e@typepad.com</v>
      </c>
      <c r="D2159" s="4">
        <f>IFERROR(__xludf.DUMMYFUNCTION("""COMPUTED_VALUE"""),113.0)</f>
        <v>113</v>
      </c>
      <c r="E2159" s="4">
        <f>IFERROR(__xludf.DUMMYFUNCTION("""COMPUTED_VALUE"""),40.0)</f>
        <v>40</v>
      </c>
      <c r="F2159" s="4">
        <f>IFERROR(__xludf.DUMMYFUNCTION("""COMPUTED_VALUE"""),5.0)</f>
        <v>5</v>
      </c>
      <c r="G2159" s="4">
        <f>IFERROR(__xludf.DUMMYFUNCTION("""COMPUTED_VALUE"""),365.0)</f>
        <v>365</v>
      </c>
      <c r="H2159" s="5">
        <f>IFERROR(__xludf.DUMMYFUNCTION("""COMPUTED_VALUE"""),7143.34)</f>
        <v>7143.34</v>
      </c>
      <c r="I2159" s="5">
        <f>IFERROR(__xludf.DUMMYFUNCTION("""COMPUTED_VALUE"""),4776.31)</f>
        <v>4776.31</v>
      </c>
      <c r="J2159" s="5">
        <f>IFERROR(__xludf.DUMMYFUNCTION("""COMPUTED_VALUE"""),1245.52)</f>
        <v>1245.52</v>
      </c>
      <c r="K2159" s="5">
        <f>IFERROR(__xludf.DUMMYFUNCTION("""COMPUTED_VALUE"""),263.77)</f>
        <v>263.77</v>
      </c>
      <c r="L2159" s="4">
        <f>IFERROR(__xludf.DUMMYFUNCTION("""COMPUTED_VALUE"""),16.0)</f>
        <v>16</v>
      </c>
      <c r="M2159" s="4">
        <f>IFERROR(__xludf.DUMMYFUNCTION("""COMPUTED_VALUE"""),79.0)</f>
        <v>79</v>
      </c>
      <c r="N2159" s="2" t="b">
        <f>IFERROR(__xludf.DUMMYFUNCTION("""COMPUTED_VALUE"""),TRUE)</f>
        <v>1</v>
      </c>
    </row>
    <row r="2160">
      <c r="A2160" s="2">
        <f>IFERROR(__xludf.DUMMYFUNCTION("""COMPUTED_VALUE"""),2159.0)</f>
        <v>2159</v>
      </c>
      <c r="B2160" s="2" t="str">
        <f>IFERROR(__xludf.DUMMYFUNCTION("""COMPUTED_VALUE"""),"Tobe Lampitt")</f>
        <v>Tobe Lampitt</v>
      </c>
      <c r="C2160" s="2" t="str">
        <f>IFERROR(__xludf.DUMMYFUNCTION("""COMPUTED_VALUE"""),"tlampitt4f@instagram.com")</f>
        <v>tlampitt4f@instagram.com</v>
      </c>
      <c r="D2160" s="4">
        <f>IFERROR(__xludf.DUMMYFUNCTION("""COMPUTED_VALUE"""),27.0)</f>
        <v>27</v>
      </c>
      <c r="E2160" s="4">
        <f>IFERROR(__xludf.DUMMYFUNCTION("""COMPUTED_VALUE"""),65.0)</f>
        <v>65</v>
      </c>
      <c r="F2160" s="4">
        <f>IFERROR(__xludf.DUMMYFUNCTION("""COMPUTED_VALUE"""),12.0)</f>
        <v>12</v>
      </c>
      <c r="G2160" s="4">
        <f>IFERROR(__xludf.DUMMYFUNCTION("""COMPUTED_VALUE"""),621.0)</f>
        <v>621</v>
      </c>
      <c r="H2160" s="5">
        <f>IFERROR(__xludf.DUMMYFUNCTION("""COMPUTED_VALUE"""),1900.11)</f>
        <v>1900.11</v>
      </c>
      <c r="I2160" s="5">
        <f>IFERROR(__xludf.DUMMYFUNCTION("""COMPUTED_VALUE"""),6352.77)</f>
        <v>6352.77</v>
      </c>
      <c r="J2160" s="5">
        <f>IFERROR(__xludf.DUMMYFUNCTION("""COMPUTED_VALUE"""),8593.88)</f>
        <v>8593.88</v>
      </c>
      <c r="K2160" s="5">
        <f>IFERROR(__xludf.DUMMYFUNCTION("""COMPUTED_VALUE"""),6333.96)</f>
        <v>6333.96</v>
      </c>
      <c r="L2160" s="4">
        <f>IFERROR(__xludf.DUMMYFUNCTION("""COMPUTED_VALUE"""),2.0)</f>
        <v>2</v>
      </c>
      <c r="M2160" s="4">
        <f>IFERROR(__xludf.DUMMYFUNCTION("""COMPUTED_VALUE"""),65.0)</f>
        <v>65</v>
      </c>
      <c r="N2160" s="2" t="b">
        <f>IFERROR(__xludf.DUMMYFUNCTION("""COMPUTED_VALUE"""),TRUE)</f>
        <v>1</v>
      </c>
    </row>
    <row r="2161">
      <c r="A2161" s="2">
        <f>IFERROR(__xludf.DUMMYFUNCTION("""COMPUTED_VALUE"""),2160.0)</f>
        <v>2160</v>
      </c>
      <c r="B2161" s="2" t="str">
        <f>IFERROR(__xludf.DUMMYFUNCTION("""COMPUTED_VALUE"""),"Linell Breward")</f>
        <v>Linell Breward</v>
      </c>
      <c r="C2161" s="2"/>
      <c r="D2161" s="4">
        <f>IFERROR(__xludf.DUMMYFUNCTION("""COMPUTED_VALUE"""),114.0)</f>
        <v>114</v>
      </c>
      <c r="E2161" s="4">
        <f>IFERROR(__xludf.DUMMYFUNCTION("""COMPUTED_VALUE"""),60.0)</f>
        <v>60</v>
      </c>
      <c r="F2161" s="4">
        <f>IFERROR(__xludf.DUMMYFUNCTION("""COMPUTED_VALUE"""),5.0)</f>
        <v>5</v>
      </c>
      <c r="G2161" s="4">
        <f>IFERROR(__xludf.DUMMYFUNCTION("""COMPUTED_VALUE"""),1580.0)</f>
        <v>1580</v>
      </c>
      <c r="H2161" s="5">
        <f>IFERROR(__xludf.DUMMYFUNCTION("""COMPUTED_VALUE"""),8925.81)</f>
        <v>8925.81</v>
      </c>
      <c r="I2161" s="5">
        <f>IFERROR(__xludf.DUMMYFUNCTION("""COMPUTED_VALUE"""),3312.48)</f>
        <v>3312.48</v>
      </c>
      <c r="J2161" s="5">
        <f>IFERROR(__xludf.DUMMYFUNCTION("""COMPUTED_VALUE"""),3576.01)</f>
        <v>3576.01</v>
      </c>
      <c r="K2161" s="5">
        <f>IFERROR(__xludf.DUMMYFUNCTION("""COMPUTED_VALUE"""),1866.96)</f>
        <v>1866.96</v>
      </c>
      <c r="L2161" s="4">
        <f>IFERROR(__xludf.DUMMYFUNCTION("""COMPUTED_VALUE"""),7.0)</f>
        <v>7</v>
      </c>
      <c r="M2161" s="4">
        <f>IFERROR(__xludf.DUMMYFUNCTION("""COMPUTED_VALUE"""),85.0)</f>
        <v>85</v>
      </c>
      <c r="N2161" s="2" t="b">
        <f>IFERROR(__xludf.DUMMYFUNCTION("""COMPUTED_VALUE"""),FALSE)</f>
        <v>0</v>
      </c>
    </row>
    <row r="2162">
      <c r="A2162" s="2">
        <f>IFERROR(__xludf.DUMMYFUNCTION("""COMPUTED_VALUE"""),2161.0)</f>
        <v>2161</v>
      </c>
      <c r="B2162" s="2" t="str">
        <f>IFERROR(__xludf.DUMMYFUNCTION("""COMPUTED_VALUE"""),"Baily Budik")</f>
        <v>Baily Budik</v>
      </c>
      <c r="C2162" s="2"/>
      <c r="D2162" s="4">
        <f>IFERROR(__xludf.DUMMYFUNCTION("""COMPUTED_VALUE"""),21.0)</f>
        <v>21</v>
      </c>
      <c r="E2162" s="4">
        <f>IFERROR(__xludf.DUMMYFUNCTION("""COMPUTED_VALUE"""),42.0)</f>
        <v>42</v>
      </c>
      <c r="F2162" s="4">
        <f>IFERROR(__xludf.DUMMYFUNCTION("""COMPUTED_VALUE"""),6.0)</f>
        <v>6</v>
      </c>
      <c r="G2162" s="4">
        <f>IFERROR(__xludf.DUMMYFUNCTION("""COMPUTED_VALUE"""),442.0)</f>
        <v>442</v>
      </c>
      <c r="H2162" s="5">
        <f>IFERROR(__xludf.DUMMYFUNCTION("""COMPUTED_VALUE"""),3428.97)</f>
        <v>3428.97</v>
      </c>
      <c r="I2162" s="5">
        <f>IFERROR(__xludf.DUMMYFUNCTION("""COMPUTED_VALUE"""),178.44)</f>
        <v>178.44</v>
      </c>
      <c r="J2162" s="5">
        <f>IFERROR(__xludf.DUMMYFUNCTION("""COMPUTED_VALUE"""),3653.47)</f>
        <v>3653.47</v>
      </c>
      <c r="K2162" s="5">
        <f>IFERROR(__xludf.DUMMYFUNCTION("""COMPUTED_VALUE"""),9127.92)</f>
        <v>9127.92</v>
      </c>
      <c r="L2162" s="4">
        <f>IFERROR(__xludf.DUMMYFUNCTION("""COMPUTED_VALUE"""),12.0)</f>
        <v>12</v>
      </c>
      <c r="M2162" s="4">
        <f>IFERROR(__xludf.DUMMYFUNCTION("""COMPUTED_VALUE"""),9.0)</f>
        <v>9</v>
      </c>
      <c r="N2162" s="2" t="b">
        <f>IFERROR(__xludf.DUMMYFUNCTION("""COMPUTED_VALUE"""),TRUE)</f>
        <v>1</v>
      </c>
    </row>
    <row r="2163">
      <c r="A2163" s="2">
        <f>IFERROR(__xludf.DUMMYFUNCTION("""COMPUTED_VALUE"""),2162.0)</f>
        <v>2162</v>
      </c>
      <c r="B2163" s="2" t="str">
        <f>IFERROR(__xludf.DUMMYFUNCTION("""COMPUTED_VALUE"""),"Jeni Moryson")</f>
        <v>Jeni Moryson</v>
      </c>
      <c r="C2163" s="2" t="str">
        <f>IFERROR(__xludf.DUMMYFUNCTION("""COMPUTED_VALUE"""),"jmoryson4i@microsoft.com")</f>
        <v>jmoryson4i@microsoft.com</v>
      </c>
      <c r="D2163" s="4">
        <f>IFERROR(__xludf.DUMMYFUNCTION("""COMPUTED_VALUE"""),151.0)</f>
        <v>151</v>
      </c>
      <c r="E2163" s="4">
        <f>IFERROR(__xludf.DUMMYFUNCTION("""COMPUTED_VALUE"""),57.0)</f>
        <v>57</v>
      </c>
      <c r="F2163" s="4">
        <f>IFERROR(__xludf.DUMMYFUNCTION("""COMPUTED_VALUE"""),7.0)</f>
        <v>7</v>
      </c>
      <c r="G2163" s="4">
        <f>IFERROR(__xludf.DUMMYFUNCTION("""COMPUTED_VALUE"""),1600.0)</f>
        <v>1600</v>
      </c>
      <c r="H2163" s="5">
        <f>IFERROR(__xludf.DUMMYFUNCTION("""COMPUTED_VALUE"""),7781.0)</f>
        <v>7781</v>
      </c>
      <c r="I2163" s="5">
        <f>IFERROR(__xludf.DUMMYFUNCTION("""COMPUTED_VALUE"""),2605.67)</f>
        <v>2605.67</v>
      </c>
      <c r="J2163" s="5">
        <f>IFERROR(__xludf.DUMMYFUNCTION("""COMPUTED_VALUE"""),7425.63)</f>
        <v>7425.63</v>
      </c>
      <c r="K2163" s="5">
        <f>IFERROR(__xludf.DUMMYFUNCTION("""COMPUTED_VALUE"""),5870.86)</f>
        <v>5870.86</v>
      </c>
      <c r="L2163" s="4">
        <f>IFERROR(__xludf.DUMMYFUNCTION("""COMPUTED_VALUE"""),8.0)</f>
        <v>8</v>
      </c>
      <c r="M2163" s="4">
        <f>IFERROR(__xludf.DUMMYFUNCTION("""COMPUTED_VALUE"""),74.0)</f>
        <v>74</v>
      </c>
      <c r="N2163" s="2" t="b">
        <f>IFERROR(__xludf.DUMMYFUNCTION("""COMPUTED_VALUE"""),FALSE)</f>
        <v>0</v>
      </c>
    </row>
    <row r="2164">
      <c r="A2164" s="2">
        <f>IFERROR(__xludf.DUMMYFUNCTION("""COMPUTED_VALUE"""),2163.0)</f>
        <v>2163</v>
      </c>
      <c r="B2164" s="2" t="str">
        <f>IFERROR(__xludf.DUMMYFUNCTION("""COMPUTED_VALUE"""),"Reiko Odcroft")</f>
        <v>Reiko Odcroft</v>
      </c>
      <c r="C2164" s="2"/>
      <c r="D2164" s="4">
        <f>IFERROR(__xludf.DUMMYFUNCTION("""COMPUTED_VALUE"""),83.0)</f>
        <v>83</v>
      </c>
      <c r="E2164" s="4">
        <f>IFERROR(__xludf.DUMMYFUNCTION("""COMPUTED_VALUE"""),111.0)</f>
        <v>111</v>
      </c>
      <c r="F2164" s="4">
        <f>IFERROR(__xludf.DUMMYFUNCTION("""COMPUTED_VALUE"""),5.0)</f>
        <v>5</v>
      </c>
      <c r="G2164" s="4">
        <f>IFERROR(__xludf.DUMMYFUNCTION("""COMPUTED_VALUE"""),587.0)</f>
        <v>587</v>
      </c>
      <c r="H2164" s="5">
        <f>IFERROR(__xludf.DUMMYFUNCTION("""COMPUTED_VALUE"""),9496.48)</f>
        <v>9496.48</v>
      </c>
      <c r="I2164" s="5">
        <f>IFERROR(__xludf.DUMMYFUNCTION("""COMPUTED_VALUE"""),8479.93)</f>
        <v>8479.93</v>
      </c>
      <c r="J2164" s="5">
        <f>IFERROR(__xludf.DUMMYFUNCTION("""COMPUTED_VALUE"""),2036.2)</f>
        <v>2036.2</v>
      </c>
      <c r="K2164" s="5">
        <f>IFERROR(__xludf.DUMMYFUNCTION("""COMPUTED_VALUE"""),7300.87)</f>
        <v>7300.87</v>
      </c>
      <c r="L2164" s="4">
        <f>IFERROR(__xludf.DUMMYFUNCTION("""COMPUTED_VALUE"""),5.0)</f>
        <v>5</v>
      </c>
      <c r="M2164" s="4">
        <f>IFERROR(__xludf.DUMMYFUNCTION("""COMPUTED_VALUE"""),5.0)</f>
        <v>5</v>
      </c>
      <c r="N2164" s="2" t="b">
        <f>IFERROR(__xludf.DUMMYFUNCTION("""COMPUTED_VALUE"""),FALSE)</f>
        <v>0</v>
      </c>
    </row>
    <row r="2165">
      <c r="A2165" s="2">
        <f>IFERROR(__xludf.DUMMYFUNCTION("""COMPUTED_VALUE"""),2164.0)</f>
        <v>2164</v>
      </c>
      <c r="B2165" s="2" t="str">
        <f>IFERROR(__xludf.DUMMYFUNCTION("""COMPUTED_VALUE"""),"Clementia Beves")</f>
        <v>Clementia Beves</v>
      </c>
      <c r="C2165" s="2"/>
      <c r="D2165" s="4">
        <f>IFERROR(__xludf.DUMMYFUNCTION("""COMPUTED_VALUE"""),137.0)</f>
        <v>137</v>
      </c>
      <c r="E2165" s="4">
        <f>IFERROR(__xludf.DUMMYFUNCTION("""COMPUTED_VALUE"""),27.0)</f>
        <v>27</v>
      </c>
      <c r="F2165" s="4">
        <f>IFERROR(__xludf.DUMMYFUNCTION("""COMPUTED_VALUE"""),8.0)</f>
        <v>8</v>
      </c>
      <c r="G2165" s="4">
        <f>IFERROR(__xludf.DUMMYFUNCTION("""COMPUTED_VALUE"""),1565.0)</f>
        <v>1565</v>
      </c>
      <c r="H2165" s="5">
        <f>IFERROR(__xludf.DUMMYFUNCTION("""COMPUTED_VALUE"""),7062.38)</f>
        <v>7062.38</v>
      </c>
      <c r="I2165" s="5">
        <f>IFERROR(__xludf.DUMMYFUNCTION("""COMPUTED_VALUE"""),2502.54)</f>
        <v>2502.54</v>
      </c>
      <c r="J2165" s="5">
        <f>IFERROR(__xludf.DUMMYFUNCTION("""COMPUTED_VALUE"""),1880.33)</f>
        <v>1880.33</v>
      </c>
      <c r="K2165" s="5">
        <f>IFERROR(__xludf.DUMMYFUNCTION("""COMPUTED_VALUE"""),9121.54)</f>
        <v>9121.54</v>
      </c>
      <c r="L2165" s="4">
        <f>IFERROR(__xludf.DUMMYFUNCTION("""COMPUTED_VALUE"""),13.0)</f>
        <v>13</v>
      </c>
      <c r="M2165" s="4">
        <f>IFERROR(__xludf.DUMMYFUNCTION("""COMPUTED_VALUE"""),15.0)</f>
        <v>15</v>
      </c>
      <c r="N2165" s="2" t="b">
        <f>IFERROR(__xludf.DUMMYFUNCTION("""COMPUTED_VALUE"""),TRUE)</f>
        <v>1</v>
      </c>
    </row>
    <row r="2166">
      <c r="A2166" s="2">
        <f>IFERROR(__xludf.DUMMYFUNCTION("""COMPUTED_VALUE"""),2165.0)</f>
        <v>2165</v>
      </c>
      <c r="B2166" s="2" t="str">
        <f>IFERROR(__xludf.DUMMYFUNCTION("""COMPUTED_VALUE"""),"Leshia Hellwing")</f>
        <v>Leshia Hellwing</v>
      </c>
      <c r="C2166" s="2" t="str">
        <f>IFERROR(__xludf.DUMMYFUNCTION("""COMPUTED_VALUE"""),"lhellwing4l@naver.com")</f>
        <v>lhellwing4l@naver.com</v>
      </c>
      <c r="D2166" s="4">
        <f>IFERROR(__xludf.DUMMYFUNCTION("""COMPUTED_VALUE"""),135.0)</f>
        <v>135</v>
      </c>
      <c r="E2166" s="4">
        <f>IFERROR(__xludf.DUMMYFUNCTION("""COMPUTED_VALUE"""),83.0)</f>
        <v>83</v>
      </c>
      <c r="F2166" s="4">
        <f>IFERROR(__xludf.DUMMYFUNCTION("""COMPUTED_VALUE"""),11.0)</f>
        <v>11</v>
      </c>
      <c r="G2166" s="4">
        <f>IFERROR(__xludf.DUMMYFUNCTION("""COMPUTED_VALUE"""),1476.0)</f>
        <v>1476</v>
      </c>
      <c r="H2166" s="5">
        <f>IFERROR(__xludf.DUMMYFUNCTION("""COMPUTED_VALUE"""),9018.98)</f>
        <v>9018.98</v>
      </c>
      <c r="I2166" s="5">
        <f>IFERROR(__xludf.DUMMYFUNCTION("""COMPUTED_VALUE"""),75.39)</f>
        <v>75.39</v>
      </c>
      <c r="J2166" s="5">
        <f>IFERROR(__xludf.DUMMYFUNCTION("""COMPUTED_VALUE"""),7473.3)</f>
        <v>7473.3</v>
      </c>
      <c r="K2166" s="5">
        <f>IFERROR(__xludf.DUMMYFUNCTION("""COMPUTED_VALUE"""),2473.88)</f>
        <v>2473.88</v>
      </c>
      <c r="L2166" s="4">
        <f>IFERROR(__xludf.DUMMYFUNCTION("""COMPUTED_VALUE"""),19.0)</f>
        <v>19</v>
      </c>
      <c r="M2166" s="4">
        <f>IFERROR(__xludf.DUMMYFUNCTION("""COMPUTED_VALUE"""),21.0)</f>
        <v>21</v>
      </c>
      <c r="N2166" s="2" t="b">
        <f>IFERROR(__xludf.DUMMYFUNCTION("""COMPUTED_VALUE"""),TRUE)</f>
        <v>1</v>
      </c>
    </row>
    <row r="2167">
      <c r="A2167" s="2">
        <f>IFERROR(__xludf.DUMMYFUNCTION("""COMPUTED_VALUE"""),2166.0)</f>
        <v>2166</v>
      </c>
      <c r="B2167" s="2" t="str">
        <f>IFERROR(__xludf.DUMMYFUNCTION("""COMPUTED_VALUE"""),"Devlen Cops")</f>
        <v>Devlen Cops</v>
      </c>
      <c r="C2167" s="2"/>
      <c r="D2167" s="4">
        <f>IFERROR(__xludf.DUMMYFUNCTION("""COMPUTED_VALUE"""),32.0)</f>
        <v>32</v>
      </c>
      <c r="E2167" s="4">
        <f>IFERROR(__xludf.DUMMYFUNCTION("""COMPUTED_VALUE"""),56.0)</f>
        <v>56</v>
      </c>
      <c r="F2167" s="4">
        <f>IFERROR(__xludf.DUMMYFUNCTION("""COMPUTED_VALUE"""),6.0)</f>
        <v>6</v>
      </c>
      <c r="G2167" s="4">
        <f>IFERROR(__xludf.DUMMYFUNCTION("""COMPUTED_VALUE"""),988.0)</f>
        <v>988</v>
      </c>
      <c r="H2167" s="5">
        <f>IFERROR(__xludf.DUMMYFUNCTION("""COMPUTED_VALUE"""),9466.39)</f>
        <v>9466.39</v>
      </c>
      <c r="I2167" s="5">
        <f>IFERROR(__xludf.DUMMYFUNCTION("""COMPUTED_VALUE"""),234.78)</f>
        <v>234.78</v>
      </c>
      <c r="J2167" s="5">
        <f>IFERROR(__xludf.DUMMYFUNCTION("""COMPUTED_VALUE"""),4510.35)</f>
        <v>4510.35</v>
      </c>
      <c r="K2167" s="5">
        <f>IFERROR(__xludf.DUMMYFUNCTION("""COMPUTED_VALUE"""),5253.69)</f>
        <v>5253.69</v>
      </c>
      <c r="L2167" s="4">
        <f>IFERROR(__xludf.DUMMYFUNCTION("""COMPUTED_VALUE"""),5.0)</f>
        <v>5</v>
      </c>
      <c r="M2167" s="4">
        <f>IFERROR(__xludf.DUMMYFUNCTION("""COMPUTED_VALUE"""),80.0)</f>
        <v>80</v>
      </c>
      <c r="N2167" s="2" t="b">
        <f>IFERROR(__xludf.DUMMYFUNCTION("""COMPUTED_VALUE"""),TRUE)</f>
        <v>1</v>
      </c>
    </row>
    <row r="2168">
      <c r="A2168" s="2">
        <f>IFERROR(__xludf.DUMMYFUNCTION("""COMPUTED_VALUE"""),2167.0)</f>
        <v>2167</v>
      </c>
      <c r="B2168" s="2" t="str">
        <f>IFERROR(__xludf.DUMMYFUNCTION("""COMPUTED_VALUE"""),"Kori Baniard")</f>
        <v>Kori Baniard</v>
      </c>
      <c r="C2168" s="2" t="str">
        <f>IFERROR(__xludf.DUMMYFUNCTION("""COMPUTED_VALUE"""),"kbaniard4n@mac.com")</f>
        <v>kbaniard4n@mac.com</v>
      </c>
      <c r="D2168" s="4">
        <f>IFERROR(__xludf.DUMMYFUNCTION("""COMPUTED_VALUE"""),2.0)</f>
        <v>2</v>
      </c>
      <c r="E2168" s="4">
        <f>IFERROR(__xludf.DUMMYFUNCTION("""COMPUTED_VALUE"""),70.0)</f>
        <v>70</v>
      </c>
      <c r="F2168" s="4">
        <f>IFERROR(__xludf.DUMMYFUNCTION("""COMPUTED_VALUE"""),3.0)</f>
        <v>3</v>
      </c>
      <c r="G2168" s="4">
        <f>IFERROR(__xludf.DUMMYFUNCTION("""COMPUTED_VALUE"""),1029.0)</f>
        <v>1029</v>
      </c>
      <c r="H2168" s="5">
        <f>IFERROR(__xludf.DUMMYFUNCTION("""COMPUTED_VALUE"""),8338.68)</f>
        <v>8338.68</v>
      </c>
      <c r="I2168" s="5">
        <f>IFERROR(__xludf.DUMMYFUNCTION("""COMPUTED_VALUE"""),5810.86)</f>
        <v>5810.86</v>
      </c>
      <c r="J2168" s="5">
        <f>IFERROR(__xludf.DUMMYFUNCTION("""COMPUTED_VALUE"""),8772.84)</f>
        <v>8772.84</v>
      </c>
      <c r="K2168" s="5">
        <f>IFERROR(__xludf.DUMMYFUNCTION("""COMPUTED_VALUE"""),7996.48)</f>
        <v>7996.48</v>
      </c>
      <c r="L2168" s="4">
        <f>IFERROR(__xludf.DUMMYFUNCTION("""COMPUTED_VALUE"""),4.0)</f>
        <v>4</v>
      </c>
      <c r="M2168" s="4">
        <f>IFERROR(__xludf.DUMMYFUNCTION("""COMPUTED_VALUE"""),96.0)</f>
        <v>96</v>
      </c>
      <c r="N2168" s="2" t="b">
        <f>IFERROR(__xludf.DUMMYFUNCTION("""COMPUTED_VALUE"""),TRUE)</f>
        <v>1</v>
      </c>
    </row>
    <row r="2169">
      <c r="A2169" s="2">
        <f>IFERROR(__xludf.DUMMYFUNCTION("""COMPUTED_VALUE"""),2168.0)</f>
        <v>2168</v>
      </c>
      <c r="B2169" s="2" t="str">
        <f>IFERROR(__xludf.DUMMYFUNCTION("""COMPUTED_VALUE"""),"Wittie Syncke")</f>
        <v>Wittie Syncke</v>
      </c>
      <c r="C2169" s="2"/>
      <c r="D2169" s="4">
        <f>IFERROR(__xludf.DUMMYFUNCTION("""COMPUTED_VALUE"""),51.0)</f>
        <v>51</v>
      </c>
      <c r="E2169" s="4">
        <f>IFERROR(__xludf.DUMMYFUNCTION("""COMPUTED_VALUE"""),57.0)</f>
        <v>57</v>
      </c>
      <c r="F2169" s="4">
        <f>IFERROR(__xludf.DUMMYFUNCTION("""COMPUTED_VALUE"""),3.0)</f>
        <v>3</v>
      </c>
      <c r="G2169" s="4">
        <f>IFERROR(__xludf.DUMMYFUNCTION("""COMPUTED_VALUE"""),596.0)</f>
        <v>596</v>
      </c>
      <c r="H2169" s="5">
        <f>IFERROR(__xludf.DUMMYFUNCTION("""COMPUTED_VALUE"""),3919.17)</f>
        <v>3919.17</v>
      </c>
      <c r="I2169" s="5">
        <f>IFERROR(__xludf.DUMMYFUNCTION("""COMPUTED_VALUE"""),3348.43)</f>
        <v>3348.43</v>
      </c>
      <c r="J2169" s="5">
        <f>IFERROR(__xludf.DUMMYFUNCTION("""COMPUTED_VALUE"""),6249.26)</f>
        <v>6249.26</v>
      </c>
      <c r="K2169" s="5">
        <f>IFERROR(__xludf.DUMMYFUNCTION("""COMPUTED_VALUE"""),2860.96)</f>
        <v>2860.96</v>
      </c>
      <c r="L2169" s="4">
        <f>IFERROR(__xludf.DUMMYFUNCTION("""COMPUTED_VALUE"""),15.0)</f>
        <v>15</v>
      </c>
      <c r="M2169" s="4">
        <f>IFERROR(__xludf.DUMMYFUNCTION("""COMPUTED_VALUE"""),1.0)</f>
        <v>1</v>
      </c>
      <c r="N2169" s="2" t="b">
        <f>IFERROR(__xludf.DUMMYFUNCTION("""COMPUTED_VALUE"""),TRUE)</f>
        <v>1</v>
      </c>
    </row>
    <row r="2170">
      <c r="A2170" s="2">
        <f>IFERROR(__xludf.DUMMYFUNCTION("""COMPUTED_VALUE"""),2169.0)</f>
        <v>2169</v>
      </c>
      <c r="B2170" s="2" t="str">
        <f>IFERROR(__xludf.DUMMYFUNCTION("""COMPUTED_VALUE"""),"Madelin Cardwell")</f>
        <v>Madelin Cardwell</v>
      </c>
      <c r="C2170" s="2" t="str">
        <f>IFERROR(__xludf.DUMMYFUNCTION("""COMPUTED_VALUE"""),"mcardwell4p@wikispaces.com")</f>
        <v>mcardwell4p@wikispaces.com</v>
      </c>
      <c r="D2170" s="4">
        <f>IFERROR(__xludf.DUMMYFUNCTION("""COMPUTED_VALUE"""),157.0)</f>
        <v>157</v>
      </c>
      <c r="E2170" s="4">
        <f>IFERROR(__xludf.DUMMYFUNCTION("""COMPUTED_VALUE"""),78.0)</f>
        <v>78</v>
      </c>
      <c r="F2170" s="4">
        <f>IFERROR(__xludf.DUMMYFUNCTION("""COMPUTED_VALUE"""),4.0)</f>
        <v>4</v>
      </c>
      <c r="G2170" s="4">
        <f>IFERROR(__xludf.DUMMYFUNCTION("""COMPUTED_VALUE"""),1364.0)</f>
        <v>1364</v>
      </c>
      <c r="H2170" s="5">
        <f>IFERROR(__xludf.DUMMYFUNCTION("""COMPUTED_VALUE"""),73.6)</f>
        <v>73.6</v>
      </c>
      <c r="I2170" s="5">
        <f>IFERROR(__xludf.DUMMYFUNCTION("""COMPUTED_VALUE"""),7462.26)</f>
        <v>7462.26</v>
      </c>
      <c r="J2170" s="5">
        <f>IFERROR(__xludf.DUMMYFUNCTION("""COMPUTED_VALUE"""),1160.72)</f>
        <v>1160.72</v>
      </c>
      <c r="K2170" s="5">
        <f>IFERROR(__xludf.DUMMYFUNCTION("""COMPUTED_VALUE"""),2743.37)</f>
        <v>2743.37</v>
      </c>
      <c r="L2170" s="4">
        <f>IFERROR(__xludf.DUMMYFUNCTION("""COMPUTED_VALUE"""),19.0)</f>
        <v>19</v>
      </c>
      <c r="M2170" s="4">
        <f>IFERROR(__xludf.DUMMYFUNCTION("""COMPUTED_VALUE"""),65.0)</f>
        <v>65</v>
      </c>
      <c r="N2170" s="2" t="b">
        <f>IFERROR(__xludf.DUMMYFUNCTION("""COMPUTED_VALUE"""),TRUE)</f>
        <v>1</v>
      </c>
    </row>
    <row r="2171">
      <c r="A2171" s="2">
        <f>IFERROR(__xludf.DUMMYFUNCTION("""COMPUTED_VALUE"""),2170.0)</f>
        <v>2170</v>
      </c>
      <c r="B2171" s="2" t="str">
        <f>IFERROR(__xludf.DUMMYFUNCTION("""COMPUTED_VALUE"""),"Blinny Mazzey")</f>
        <v>Blinny Mazzey</v>
      </c>
      <c r="C2171" s="2"/>
      <c r="D2171" s="4">
        <f>IFERROR(__xludf.DUMMYFUNCTION("""COMPUTED_VALUE"""),107.0)</f>
        <v>107</v>
      </c>
      <c r="E2171" s="4">
        <f>IFERROR(__xludf.DUMMYFUNCTION("""COMPUTED_VALUE"""),20.0)</f>
        <v>20</v>
      </c>
      <c r="F2171" s="4">
        <f>IFERROR(__xludf.DUMMYFUNCTION("""COMPUTED_VALUE"""),5.0)</f>
        <v>5</v>
      </c>
      <c r="G2171" s="4">
        <f>IFERROR(__xludf.DUMMYFUNCTION("""COMPUTED_VALUE"""),1115.0)</f>
        <v>1115</v>
      </c>
      <c r="H2171" s="5">
        <f>IFERROR(__xludf.DUMMYFUNCTION("""COMPUTED_VALUE"""),3097.02)</f>
        <v>3097.02</v>
      </c>
      <c r="I2171" s="5">
        <f>IFERROR(__xludf.DUMMYFUNCTION("""COMPUTED_VALUE"""),9146.49)</f>
        <v>9146.49</v>
      </c>
      <c r="J2171" s="5">
        <f>IFERROR(__xludf.DUMMYFUNCTION("""COMPUTED_VALUE"""),4933.08)</f>
        <v>4933.08</v>
      </c>
      <c r="K2171" s="5">
        <f>IFERROR(__xludf.DUMMYFUNCTION("""COMPUTED_VALUE"""),1384.3)</f>
        <v>1384.3</v>
      </c>
      <c r="L2171" s="4">
        <f>IFERROR(__xludf.DUMMYFUNCTION("""COMPUTED_VALUE"""),1.0)</f>
        <v>1</v>
      </c>
      <c r="M2171" s="4">
        <f>IFERROR(__xludf.DUMMYFUNCTION("""COMPUTED_VALUE"""),37.0)</f>
        <v>37</v>
      </c>
      <c r="N2171" s="2" t="b">
        <f>IFERROR(__xludf.DUMMYFUNCTION("""COMPUTED_VALUE"""),TRUE)</f>
        <v>1</v>
      </c>
    </row>
    <row r="2172">
      <c r="A2172" s="2">
        <f>IFERROR(__xludf.DUMMYFUNCTION("""COMPUTED_VALUE"""),2171.0)</f>
        <v>2171</v>
      </c>
      <c r="B2172" s="2" t="str">
        <f>IFERROR(__xludf.DUMMYFUNCTION("""COMPUTED_VALUE"""),"Marty Bebbington")</f>
        <v>Marty Bebbington</v>
      </c>
      <c r="C2172" s="2"/>
      <c r="D2172" s="4">
        <f>IFERROR(__xludf.DUMMYFUNCTION("""COMPUTED_VALUE"""),31.0)</f>
        <v>31</v>
      </c>
      <c r="E2172" s="4">
        <f>IFERROR(__xludf.DUMMYFUNCTION("""COMPUTED_VALUE"""),1.0)</f>
        <v>1</v>
      </c>
      <c r="F2172" s="4">
        <f>IFERROR(__xludf.DUMMYFUNCTION("""COMPUTED_VALUE"""),7.0)</f>
        <v>7</v>
      </c>
      <c r="G2172" s="4">
        <f>IFERROR(__xludf.DUMMYFUNCTION("""COMPUTED_VALUE"""),1059.0)</f>
        <v>1059</v>
      </c>
      <c r="H2172" s="5">
        <f>IFERROR(__xludf.DUMMYFUNCTION("""COMPUTED_VALUE"""),4212.29)</f>
        <v>4212.29</v>
      </c>
      <c r="I2172" s="5">
        <f>IFERROR(__xludf.DUMMYFUNCTION("""COMPUTED_VALUE"""),2174.74)</f>
        <v>2174.74</v>
      </c>
      <c r="J2172" s="5">
        <f>IFERROR(__xludf.DUMMYFUNCTION("""COMPUTED_VALUE"""),6098.48)</f>
        <v>6098.48</v>
      </c>
      <c r="K2172" s="5">
        <f>IFERROR(__xludf.DUMMYFUNCTION("""COMPUTED_VALUE"""),2297.73)</f>
        <v>2297.73</v>
      </c>
      <c r="L2172" s="4">
        <f>IFERROR(__xludf.DUMMYFUNCTION("""COMPUTED_VALUE"""),15.0)</f>
        <v>15</v>
      </c>
      <c r="M2172" s="4">
        <f>IFERROR(__xludf.DUMMYFUNCTION("""COMPUTED_VALUE"""),73.0)</f>
        <v>73</v>
      </c>
      <c r="N2172" s="2" t="b">
        <f>IFERROR(__xludf.DUMMYFUNCTION("""COMPUTED_VALUE"""),TRUE)</f>
        <v>1</v>
      </c>
    </row>
    <row r="2173">
      <c r="A2173" s="2">
        <f>IFERROR(__xludf.DUMMYFUNCTION("""COMPUTED_VALUE"""),2172.0)</f>
        <v>2172</v>
      </c>
      <c r="B2173" s="2" t="str">
        <f>IFERROR(__xludf.DUMMYFUNCTION("""COMPUTED_VALUE"""),"Orelie Szymanowicz")</f>
        <v>Orelie Szymanowicz</v>
      </c>
      <c r="C2173" s="2" t="str">
        <f>IFERROR(__xludf.DUMMYFUNCTION("""COMPUTED_VALUE"""),"oszymanowicz4s@answers.com")</f>
        <v>oszymanowicz4s@answers.com</v>
      </c>
      <c r="D2173" s="4">
        <f>IFERROR(__xludf.DUMMYFUNCTION("""COMPUTED_VALUE"""),73.0)</f>
        <v>73</v>
      </c>
      <c r="E2173" s="4">
        <f>IFERROR(__xludf.DUMMYFUNCTION("""COMPUTED_VALUE"""),58.0)</f>
        <v>58</v>
      </c>
      <c r="F2173" s="4">
        <f>IFERROR(__xludf.DUMMYFUNCTION("""COMPUTED_VALUE"""),1.0)</f>
        <v>1</v>
      </c>
      <c r="G2173" s="4">
        <f>IFERROR(__xludf.DUMMYFUNCTION("""COMPUTED_VALUE"""),824.0)</f>
        <v>824</v>
      </c>
      <c r="H2173" s="5">
        <f>IFERROR(__xludf.DUMMYFUNCTION("""COMPUTED_VALUE"""),5781.69)</f>
        <v>5781.69</v>
      </c>
      <c r="I2173" s="5">
        <f>IFERROR(__xludf.DUMMYFUNCTION("""COMPUTED_VALUE"""),5668.85)</f>
        <v>5668.85</v>
      </c>
      <c r="J2173" s="5">
        <f>IFERROR(__xludf.DUMMYFUNCTION("""COMPUTED_VALUE"""),5348.13)</f>
        <v>5348.13</v>
      </c>
      <c r="K2173" s="5">
        <f>IFERROR(__xludf.DUMMYFUNCTION("""COMPUTED_VALUE"""),3080.92)</f>
        <v>3080.92</v>
      </c>
      <c r="L2173" s="4">
        <f>IFERROR(__xludf.DUMMYFUNCTION("""COMPUTED_VALUE"""),14.0)</f>
        <v>14</v>
      </c>
      <c r="M2173" s="4">
        <f>IFERROR(__xludf.DUMMYFUNCTION("""COMPUTED_VALUE"""),62.0)</f>
        <v>62</v>
      </c>
      <c r="N2173" s="2" t="b">
        <f>IFERROR(__xludf.DUMMYFUNCTION("""COMPUTED_VALUE"""),TRUE)</f>
        <v>1</v>
      </c>
    </row>
    <row r="2174">
      <c r="A2174" s="2">
        <f>IFERROR(__xludf.DUMMYFUNCTION("""COMPUTED_VALUE"""),2173.0)</f>
        <v>2173</v>
      </c>
      <c r="B2174" s="2" t="str">
        <f>IFERROR(__xludf.DUMMYFUNCTION("""COMPUTED_VALUE"""),"Adi Scripps")</f>
        <v>Adi Scripps</v>
      </c>
      <c r="C2174" s="2" t="str">
        <f>IFERROR(__xludf.DUMMYFUNCTION("""COMPUTED_VALUE"""),"ascripps4t@amazon.de")</f>
        <v>ascripps4t@amazon.de</v>
      </c>
      <c r="D2174" s="4">
        <f>IFERROR(__xludf.DUMMYFUNCTION("""COMPUTED_VALUE"""),149.0)</f>
        <v>149</v>
      </c>
      <c r="E2174" s="4">
        <f>IFERROR(__xludf.DUMMYFUNCTION("""COMPUTED_VALUE"""),5.0)</f>
        <v>5</v>
      </c>
      <c r="F2174" s="4">
        <f>IFERROR(__xludf.DUMMYFUNCTION("""COMPUTED_VALUE"""),11.0)</f>
        <v>11</v>
      </c>
      <c r="G2174" s="4">
        <f>IFERROR(__xludf.DUMMYFUNCTION("""COMPUTED_VALUE"""),917.0)</f>
        <v>917</v>
      </c>
      <c r="H2174" s="5">
        <f>IFERROR(__xludf.DUMMYFUNCTION("""COMPUTED_VALUE"""),8194.18)</f>
        <v>8194.18</v>
      </c>
      <c r="I2174" s="5">
        <f>IFERROR(__xludf.DUMMYFUNCTION("""COMPUTED_VALUE"""),7679.29)</f>
        <v>7679.29</v>
      </c>
      <c r="J2174" s="5">
        <f>IFERROR(__xludf.DUMMYFUNCTION("""COMPUTED_VALUE"""),2193.07)</f>
        <v>2193.07</v>
      </c>
      <c r="K2174" s="5">
        <f>IFERROR(__xludf.DUMMYFUNCTION("""COMPUTED_VALUE"""),9340.77)</f>
        <v>9340.77</v>
      </c>
      <c r="L2174" s="4">
        <f>IFERROR(__xludf.DUMMYFUNCTION("""COMPUTED_VALUE"""),3.0)</f>
        <v>3</v>
      </c>
      <c r="M2174" s="4">
        <f>IFERROR(__xludf.DUMMYFUNCTION("""COMPUTED_VALUE"""),35.0)</f>
        <v>35</v>
      </c>
      <c r="N2174" s="2" t="b">
        <f>IFERROR(__xludf.DUMMYFUNCTION("""COMPUTED_VALUE"""),FALSE)</f>
        <v>0</v>
      </c>
    </row>
    <row r="2175">
      <c r="A2175" s="2">
        <f>IFERROR(__xludf.DUMMYFUNCTION("""COMPUTED_VALUE"""),2174.0)</f>
        <v>2174</v>
      </c>
      <c r="B2175" s="2" t="str">
        <f>IFERROR(__xludf.DUMMYFUNCTION("""COMPUTED_VALUE"""),"Boy Perillio")</f>
        <v>Boy Perillio</v>
      </c>
      <c r="C2175" s="2"/>
      <c r="D2175" s="4">
        <f>IFERROR(__xludf.DUMMYFUNCTION("""COMPUTED_VALUE"""),78.0)</f>
        <v>78</v>
      </c>
      <c r="E2175" s="4">
        <f>IFERROR(__xludf.DUMMYFUNCTION("""COMPUTED_VALUE"""),100.0)</f>
        <v>100</v>
      </c>
      <c r="F2175" s="4">
        <f>IFERROR(__xludf.DUMMYFUNCTION("""COMPUTED_VALUE"""),7.0)</f>
        <v>7</v>
      </c>
      <c r="G2175" s="4">
        <f>IFERROR(__xludf.DUMMYFUNCTION("""COMPUTED_VALUE"""),73.0)</f>
        <v>73</v>
      </c>
      <c r="H2175" s="5">
        <f>IFERROR(__xludf.DUMMYFUNCTION("""COMPUTED_VALUE"""),4958.84)</f>
        <v>4958.84</v>
      </c>
      <c r="I2175" s="5">
        <f>IFERROR(__xludf.DUMMYFUNCTION("""COMPUTED_VALUE"""),4436.4)</f>
        <v>4436.4</v>
      </c>
      <c r="J2175" s="5">
        <f>IFERROR(__xludf.DUMMYFUNCTION("""COMPUTED_VALUE"""),5010.89)</f>
        <v>5010.89</v>
      </c>
      <c r="K2175" s="5">
        <f>IFERROR(__xludf.DUMMYFUNCTION("""COMPUTED_VALUE"""),4706.03)</f>
        <v>4706.03</v>
      </c>
      <c r="L2175" s="4">
        <f>IFERROR(__xludf.DUMMYFUNCTION("""COMPUTED_VALUE"""),8.0)</f>
        <v>8</v>
      </c>
      <c r="M2175" s="4">
        <f>IFERROR(__xludf.DUMMYFUNCTION("""COMPUTED_VALUE"""),90.0)</f>
        <v>90</v>
      </c>
      <c r="N2175" s="2" t="b">
        <f>IFERROR(__xludf.DUMMYFUNCTION("""COMPUTED_VALUE"""),TRUE)</f>
        <v>1</v>
      </c>
    </row>
    <row r="2176">
      <c r="A2176" s="2">
        <f>IFERROR(__xludf.DUMMYFUNCTION("""COMPUTED_VALUE"""),2175.0)</f>
        <v>2175</v>
      </c>
      <c r="B2176" s="2" t="str">
        <f>IFERROR(__xludf.DUMMYFUNCTION("""COMPUTED_VALUE"""),"Lemmie Williamson")</f>
        <v>Lemmie Williamson</v>
      </c>
      <c r="C2176" s="2" t="str">
        <f>IFERROR(__xludf.DUMMYFUNCTION("""COMPUTED_VALUE"""),"lwilliamson4v@ebay.com")</f>
        <v>lwilliamson4v@ebay.com</v>
      </c>
      <c r="D2176" s="4">
        <f>IFERROR(__xludf.DUMMYFUNCTION("""COMPUTED_VALUE"""),33.0)</f>
        <v>33</v>
      </c>
      <c r="E2176" s="4">
        <f>IFERROR(__xludf.DUMMYFUNCTION("""COMPUTED_VALUE"""),96.0)</f>
        <v>96</v>
      </c>
      <c r="F2176" s="4">
        <f>IFERROR(__xludf.DUMMYFUNCTION("""COMPUTED_VALUE"""),1.0)</f>
        <v>1</v>
      </c>
      <c r="G2176" s="4">
        <f>IFERROR(__xludf.DUMMYFUNCTION("""COMPUTED_VALUE"""),87.0)</f>
        <v>87</v>
      </c>
      <c r="H2176" s="5">
        <f>IFERROR(__xludf.DUMMYFUNCTION("""COMPUTED_VALUE"""),3359.24)</f>
        <v>3359.24</v>
      </c>
      <c r="I2176" s="5">
        <f>IFERROR(__xludf.DUMMYFUNCTION("""COMPUTED_VALUE"""),3588.2)</f>
        <v>3588.2</v>
      </c>
      <c r="J2176" s="5">
        <f>IFERROR(__xludf.DUMMYFUNCTION("""COMPUTED_VALUE"""),8518.29)</f>
        <v>8518.29</v>
      </c>
      <c r="K2176" s="5">
        <f>IFERROR(__xludf.DUMMYFUNCTION("""COMPUTED_VALUE"""),3241.64)</f>
        <v>3241.64</v>
      </c>
      <c r="L2176" s="4">
        <f>IFERROR(__xludf.DUMMYFUNCTION("""COMPUTED_VALUE"""),17.0)</f>
        <v>17</v>
      </c>
      <c r="M2176" s="4">
        <f>IFERROR(__xludf.DUMMYFUNCTION("""COMPUTED_VALUE"""),41.0)</f>
        <v>41</v>
      </c>
      <c r="N2176" s="2" t="b">
        <f>IFERROR(__xludf.DUMMYFUNCTION("""COMPUTED_VALUE"""),TRUE)</f>
        <v>1</v>
      </c>
    </row>
    <row r="2177">
      <c r="A2177" s="2">
        <f>IFERROR(__xludf.DUMMYFUNCTION("""COMPUTED_VALUE"""),2176.0)</f>
        <v>2176</v>
      </c>
      <c r="B2177" s="2" t="str">
        <f>IFERROR(__xludf.DUMMYFUNCTION("""COMPUTED_VALUE"""),"Frans Leask")</f>
        <v>Frans Leask</v>
      </c>
      <c r="C2177" s="2"/>
      <c r="D2177" s="4">
        <f>IFERROR(__xludf.DUMMYFUNCTION("""COMPUTED_VALUE"""),79.0)</f>
        <v>79</v>
      </c>
      <c r="E2177" s="4">
        <f>IFERROR(__xludf.DUMMYFUNCTION("""COMPUTED_VALUE"""),58.0)</f>
        <v>58</v>
      </c>
      <c r="F2177" s="4">
        <f>IFERROR(__xludf.DUMMYFUNCTION("""COMPUTED_VALUE"""),4.0)</f>
        <v>4</v>
      </c>
      <c r="G2177" s="4">
        <f>IFERROR(__xludf.DUMMYFUNCTION("""COMPUTED_VALUE"""),1300.0)</f>
        <v>1300</v>
      </c>
      <c r="H2177" s="5">
        <f>IFERROR(__xludf.DUMMYFUNCTION("""COMPUTED_VALUE"""),2852.28)</f>
        <v>2852.28</v>
      </c>
      <c r="I2177" s="5">
        <f>IFERROR(__xludf.DUMMYFUNCTION("""COMPUTED_VALUE"""),9734.07)</f>
        <v>9734.07</v>
      </c>
      <c r="J2177" s="5">
        <f>IFERROR(__xludf.DUMMYFUNCTION("""COMPUTED_VALUE"""),4122.26)</f>
        <v>4122.26</v>
      </c>
      <c r="K2177" s="5">
        <f>IFERROR(__xludf.DUMMYFUNCTION("""COMPUTED_VALUE"""),7513.14)</f>
        <v>7513.14</v>
      </c>
      <c r="L2177" s="4">
        <f>IFERROR(__xludf.DUMMYFUNCTION("""COMPUTED_VALUE"""),5.0)</f>
        <v>5</v>
      </c>
      <c r="M2177" s="4">
        <f>IFERROR(__xludf.DUMMYFUNCTION("""COMPUTED_VALUE"""),58.0)</f>
        <v>58</v>
      </c>
      <c r="N2177" s="2" t="b">
        <f>IFERROR(__xludf.DUMMYFUNCTION("""COMPUTED_VALUE"""),TRUE)</f>
        <v>1</v>
      </c>
    </row>
    <row r="2178">
      <c r="A2178" s="2">
        <f>IFERROR(__xludf.DUMMYFUNCTION("""COMPUTED_VALUE"""),2177.0)</f>
        <v>2177</v>
      </c>
      <c r="B2178" s="2" t="str">
        <f>IFERROR(__xludf.DUMMYFUNCTION("""COMPUTED_VALUE"""),"Concettina Polsin")</f>
        <v>Concettina Polsin</v>
      </c>
      <c r="C2178" s="2"/>
      <c r="D2178" s="4">
        <f>IFERROR(__xludf.DUMMYFUNCTION("""COMPUTED_VALUE"""),48.0)</f>
        <v>48</v>
      </c>
      <c r="E2178" s="4">
        <f>IFERROR(__xludf.DUMMYFUNCTION("""COMPUTED_VALUE"""),87.0)</f>
        <v>87</v>
      </c>
      <c r="F2178" s="4">
        <f>IFERROR(__xludf.DUMMYFUNCTION("""COMPUTED_VALUE"""),8.0)</f>
        <v>8</v>
      </c>
      <c r="G2178" s="4">
        <f>IFERROR(__xludf.DUMMYFUNCTION("""COMPUTED_VALUE"""),353.0)</f>
        <v>353</v>
      </c>
      <c r="H2178" s="5">
        <f>IFERROR(__xludf.DUMMYFUNCTION("""COMPUTED_VALUE"""),7105.14)</f>
        <v>7105.14</v>
      </c>
      <c r="I2178" s="5">
        <f>IFERROR(__xludf.DUMMYFUNCTION("""COMPUTED_VALUE"""),7195.6)</f>
        <v>7195.6</v>
      </c>
      <c r="J2178" s="5">
        <f>IFERROR(__xludf.DUMMYFUNCTION("""COMPUTED_VALUE"""),5283.42)</f>
        <v>5283.42</v>
      </c>
      <c r="K2178" s="5">
        <f>IFERROR(__xludf.DUMMYFUNCTION("""COMPUTED_VALUE"""),5648.18)</f>
        <v>5648.18</v>
      </c>
      <c r="L2178" s="4">
        <f>IFERROR(__xludf.DUMMYFUNCTION("""COMPUTED_VALUE"""),15.0)</f>
        <v>15</v>
      </c>
      <c r="M2178" s="4">
        <f>IFERROR(__xludf.DUMMYFUNCTION("""COMPUTED_VALUE"""),66.0)</f>
        <v>66</v>
      </c>
      <c r="N2178" s="2" t="b">
        <f>IFERROR(__xludf.DUMMYFUNCTION("""COMPUTED_VALUE"""),TRUE)</f>
        <v>1</v>
      </c>
    </row>
    <row r="2179">
      <c r="A2179" s="2">
        <f>IFERROR(__xludf.DUMMYFUNCTION("""COMPUTED_VALUE"""),2178.0)</f>
        <v>2178</v>
      </c>
      <c r="B2179" s="2" t="str">
        <f>IFERROR(__xludf.DUMMYFUNCTION("""COMPUTED_VALUE"""),"Luca Grenshiels")</f>
        <v>Luca Grenshiels</v>
      </c>
      <c r="C2179" s="2" t="str">
        <f>IFERROR(__xludf.DUMMYFUNCTION("""COMPUTED_VALUE"""),"lgrenshiels4y@cbsnews.com")</f>
        <v>lgrenshiels4y@cbsnews.com</v>
      </c>
      <c r="D2179" s="4">
        <f>IFERROR(__xludf.DUMMYFUNCTION("""COMPUTED_VALUE"""),83.0)</f>
        <v>83</v>
      </c>
      <c r="E2179" s="4">
        <f>IFERROR(__xludf.DUMMYFUNCTION("""COMPUTED_VALUE"""),41.0)</f>
        <v>41</v>
      </c>
      <c r="F2179" s="4">
        <f>IFERROR(__xludf.DUMMYFUNCTION("""COMPUTED_VALUE"""),7.0)</f>
        <v>7</v>
      </c>
      <c r="G2179" s="4">
        <f>IFERROR(__xludf.DUMMYFUNCTION("""COMPUTED_VALUE"""),955.0)</f>
        <v>955</v>
      </c>
      <c r="H2179" s="5">
        <f>IFERROR(__xludf.DUMMYFUNCTION("""COMPUTED_VALUE"""),1672.66)</f>
        <v>1672.66</v>
      </c>
      <c r="I2179" s="5">
        <f>IFERROR(__xludf.DUMMYFUNCTION("""COMPUTED_VALUE"""),2164.41)</f>
        <v>2164.41</v>
      </c>
      <c r="J2179" s="5">
        <f>IFERROR(__xludf.DUMMYFUNCTION("""COMPUTED_VALUE"""),9538.32)</f>
        <v>9538.32</v>
      </c>
      <c r="K2179" s="5">
        <f>IFERROR(__xludf.DUMMYFUNCTION("""COMPUTED_VALUE"""),3635.12)</f>
        <v>3635.12</v>
      </c>
      <c r="L2179" s="4">
        <f>IFERROR(__xludf.DUMMYFUNCTION("""COMPUTED_VALUE"""),5.0)</f>
        <v>5</v>
      </c>
      <c r="M2179" s="4">
        <f>IFERROR(__xludf.DUMMYFUNCTION("""COMPUTED_VALUE"""),67.0)</f>
        <v>67</v>
      </c>
      <c r="N2179" s="2" t="b">
        <f>IFERROR(__xludf.DUMMYFUNCTION("""COMPUTED_VALUE"""),TRUE)</f>
        <v>1</v>
      </c>
    </row>
    <row r="2180">
      <c r="A2180" s="2">
        <f>IFERROR(__xludf.DUMMYFUNCTION("""COMPUTED_VALUE"""),2179.0)</f>
        <v>2179</v>
      </c>
      <c r="B2180" s="2" t="str">
        <f>IFERROR(__xludf.DUMMYFUNCTION("""COMPUTED_VALUE"""),"Danit Schoffel")</f>
        <v>Danit Schoffel</v>
      </c>
      <c r="C2180" s="2"/>
      <c r="D2180" s="4">
        <f>IFERROR(__xludf.DUMMYFUNCTION("""COMPUTED_VALUE"""),88.0)</f>
        <v>88</v>
      </c>
      <c r="E2180" s="4">
        <f>IFERROR(__xludf.DUMMYFUNCTION("""COMPUTED_VALUE"""),113.0)</f>
        <v>113</v>
      </c>
      <c r="F2180" s="4">
        <f>IFERROR(__xludf.DUMMYFUNCTION("""COMPUTED_VALUE"""),11.0)</f>
        <v>11</v>
      </c>
      <c r="G2180" s="4">
        <f>IFERROR(__xludf.DUMMYFUNCTION("""COMPUTED_VALUE"""),102.0)</f>
        <v>102</v>
      </c>
      <c r="H2180" s="5">
        <f>IFERROR(__xludf.DUMMYFUNCTION("""COMPUTED_VALUE"""),3516.67)</f>
        <v>3516.67</v>
      </c>
      <c r="I2180" s="5">
        <f>IFERROR(__xludf.DUMMYFUNCTION("""COMPUTED_VALUE"""),9112.08)</f>
        <v>9112.08</v>
      </c>
      <c r="J2180" s="5">
        <f>IFERROR(__xludf.DUMMYFUNCTION("""COMPUTED_VALUE"""),9555.17)</f>
        <v>9555.17</v>
      </c>
      <c r="K2180" s="5">
        <f>IFERROR(__xludf.DUMMYFUNCTION("""COMPUTED_VALUE"""),5507.32)</f>
        <v>5507.32</v>
      </c>
      <c r="L2180" s="4">
        <f>IFERROR(__xludf.DUMMYFUNCTION("""COMPUTED_VALUE"""),11.0)</f>
        <v>11</v>
      </c>
      <c r="M2180" s="4">
        <f>IFERROR(__xludf.DUMMYFUNCTION("""COMPUTED_VALUE"""),75.0)</f>
        <v>75</v>
      </c>
      <c r="N2180" s="2" t="b">
        <f>IFERROR(__xludf.DUMMYFUNCTION("""COMPUTED_VALUE"""),TRUE)</f>
        <v>1</v>
      </c>
    </row>
    <row r="2181">
      <c r="A2181" s="2">
        <f>IFERROR(__xludf.DUMMYFUNCTION("""COMPUTED_VALUE"""),2180.0)</f>
        <v>2180</v>
      </c>
      <c r="B2181" s="2" t="str">
        <f>IFERROR(__xludf.DUMMYFUNCTION("""COMPUTED_VALUE"""),"Elli Bocock")</f>
        <v>Elli Bocock</v>
      </c>
      <c r="C2181" s="2"/>
      <c r="D2181" s="4">
        <f>IFERROR(__xludf.DUMMYFUNCTION("""COMPUTED_VALUE"""),115.0)</f>
        <v>115</v>
      </c>
      <c r="E2181" s="4">
        <f>IFERROR(__xludf.DUMMYFUNCTION("""COMPUTED_VALUE"""),109.0)</f>
        <v>109</v>
      </c>
      <c r="F2181" s="4">
        <f>IFERROR(__xludf.DUMMYFUNCTION("""COMPUTED_VALUE"""),6.0)</f>
        <v>6</v>
      </c>
      <c r="G2181" s="4">
        <f>IFERROR(__xludf.DUMMYFUNCTION("""COMPUTED_VALUE"""),280.0)</f>
        <v>280</v>
      </c>
      <c r="H2181" s="5">
        <f>IFERROR(__xludf.DUMMYFUNCTION("""COMPUTED_VALUE"""),2617.61)</f>
        <v>2617.61</v>
      </c>
      <c r="I2181" s="5">
        <f>IFERROR(__xludf.DUMMYFUNCTION("""COMPUTED_VALUE"""),5792.71)</f>
        <v>5792.71</v>
      </c>
      <c r="J2181" s="5">
        <f>IFERROR(__xludf.DUMMYFUNCTION("""COMPUTED_VALUE"""),7818.61)</f>
        <v>7818.61</v>
      </c>
      <c r="K2181" s="5">
        <f>IFERROR(__xludf.DUMMYFUNCTION("""COMPUTED_VALUE"""),7634.92)</f>
        <v>7634.92</v>
      </c>
      <c r="L2181" s="4">
        <f>IFERROR(__xludf.DUMMYFUNCTION("""COMPUTED_VALUE"""),13.0)</f>
        <v>13</v>
      </c>
      <c r="M2181" s="4">
        <f>IFERROR(__xludf.DUMMYFUNCTION("""COMPUTED_VALUE"""),20.0)</f>
        <v>20</v>
      </c>
      <c r="N2181" s="2" t="b">
        <f>IFERROR(__xludf.DUMMYFUNCTION("""COMPUTED_VALUE"""),FALSE)</f>
        <v>0</v>
      </c>
    </row>
    <row r="2182">
      <c r="A2182" s="2">
        <f>IFERROR(__xludf.DUMMYFUNCTION("""COMPUTED_VALUE"""),2181.0)</f>
        <v>2181</v>
      </c>
      <c r="B2182" s="2" t="str">
        <f>IFERROR(__xludf.DUMMYFUNCTION("""COMPUTED_VALUE"""),"Read Timson")</f>
        <v>Read Timson</v>
      </c>
      <c r="C2182" s="2" t="str">
        <f>IFERROR(__xludf.DUMMYFUNCTION("""COMPUTED_VALUE"""),"rtimson51@cbslocal.com")</f>
        <v>rtimson51@cbslocal.com</v>
      </c>
      <c r="D2182" s="4">
        <f>IFERROR(__xludf.DUMMYFUNCTION("""COMPUTED_VALUE"""),96.0)</f>
        <v>96</v>
      </c>
      <c r="E2182" s="4">
        <f>IFERROR(__xludf.DUMMYFUNCTION("""COMPUTED_VALUE"""),10.0)</f>
        <v>10</v>
      </c>
      <c r="F2182" s="4">
        <f>IFERROR(__xludf.DUMMYFUNCTION("""COMPUTED_VALUE"""),10.0)</f>
        <v>10</v>
      </c>
      <c r="G2182" s="4">
        <f>IFERROR(__xludf.DUMMYFUNCTION("""COMPUTED_VALUE"""),1377.0)</f>
        <v>1377</v>
      </c>
      <c r="H2182" s="5">
        <f>IFERROR(__xludf.DUMMYFUNCTION("""COMPUTED_VALUE"""),2837.58)</f>
        <v>2837.58</v>
      </c>
      <c r="I2182" s="5">
        <f>IFERROR(__xludf.DUMMYFUNCTION("""COMPUTED_VALUE"""),1891.87)</f>
        <v>1891.87</v>
      </c>
      <c r="J2182" s="5">
        <f>IFERROR(__xludf.DUMMYFUNCTION("""COMPUTED_VALUE"""),6746.55)</f>
        <v>6746.55</v>
      </c>
      <c r="K2182" s="5">
        <f>IFERROR(__xludf.DUMMYFUNCTION("""COMPUTED_VALUE"""),158.4)</f>
        <v>158.4</v>
      </c>
      <c r="L2182" s="4">
        <f>IFERROR(__xludf.DUMMYFUNCTION("""COMPUTED_VALUE"""),5.0)</f>
        <v>5</v>
      </c>
      <c r="M2182" s="4">
        <f>IFERROR(__xludf.DUMMYFUNCTION("""COMPUTED_VALUE"""),9.0)</f>
        <v>9</v>
      </c>
      <c r="N2182" s="2" t="b">
        <f>IFERROR(__xludf.DUMMYFUNCTION("""COMPUTED_VALUE"""),TRUE)</f>
        <v>1</v>
      </c>
    </row>
    <row r="2183">
      <c r="A2183" s="2">
        <f>IFERROR(__xludf.DUMMYFUNCTION("""COMPUTED_VALUE"""),2182.0)</f>
        <v>2182</v>
      </c>
      <c r="B2183" s="2" t="str">
        <f>IFERROR(__xludf.DUMMYFUNCTION("""COMPUTED_VALUE"""),"Donnell Jeandin")</f>
        <v>Donnell Jeandin</v>
      </c>
      <c r="C2183" s="2"/>
      <c r="D2183" s="4">
        <f>IFERROR(__xludf.DUMMYFUNCTION("""COMPUTED_VALUE"""),29.0)</f>
        <v>29</v>
      </c>
      <c r="E2183" s="4">
        <f>IFERROR(__xludf.DUMMYFUNCTION("""COMPUTED_VALUE"""),120.0)</f>
        <v>120</v>
      </c>
      <c r="F2183" s="4">
        <f>IFERROR(__xludf.DUMMYFUNCTION("""COMPUTED_VALUE"""),7.0)</f>
        <v>7</v>
      </c>
      <c r="G2183" s="4">
        <f>IFERROR(__xludf.DUMMYFUNCTION("""COMPUTED_VALUE"""),192.0)</f>
        <v>192</v>
      </c>
      <c r="H2183" s="5">
        <f>IFERROR(__xludf.DUMMYFUNCTION("""COMPUTED_VALUE"""),3148.14)</f>
        <v>3148.14</v>
      </c>
      <c r="I2183" s="5">
        <f>IFERROR(__xludf.DUMMYFUNCTION("""COMPUTED_VALUE"""),3805.31)</f>
        <v>3805.31</v>
      </c>
      <c r="J2183" s="5">
        <f>IFERROR(__xludf.DUMMYFUNCTION("""COMPUTED_VALUE"""),4836.8)</f>
        <v>4836.8</v>
      </c>
      <c r="K2183" s="5">
        <f>IFERROR(__xludf.DUMMYFUNCTION("""COMPUTED_VALUE"""),9540.63)</f>
        <v>9540.63</v>
      </c>
      <c r="L2183" s="4">
        <f>IFERROR(__xludf.DUMMYFUNCTION("""COMPUTED_VALUE"""),19.0)</f>
        <v>19</v>
      </c>
      <c r="M2183" s="4">
        <f>IFERROR(__xludf.DUMMYFUNCTION("""COMPUTED_VALUE"""),21.0)</f>
        <v>21</v>
      </c>
      <c r="N2183" s="2" t="b">
        <f>IFERROR(__xludf.DUMMYFUNCTION("""COMPUTED_VALUE"""),FALSE)</f>
        <v>0</v>
      </c>
    </row>
    <row r="2184">
      <c r="A2184" s="2">
        <f>IFERROR(__xludf.DUMMYFUNCTION("""COMPUTED_VALUE"""),2183.0)</f>
        <v>2183</v>
      </c>
      <c r="B2184" s="2" t="str">
        <f>IFERROR(__xludf.DUMMYFUNCTION("""COMPUTED_VALUE"""),"Twila Ryder")</f>
        <v>Twila Ryder</v>
      </c>
      <c r="C2184" s="2" t="str">
        <f>IFERROR(__xludf.DUMMYFUNCTION("""COMPUTED_VALUE"""),"tryder53@t.co")</f>
        <v>tryder53@t.co</v>
      </c>
      <c r="D2184" s="4">
        <f>IFERROR(__xludf.DUMMYFUNCTION("""COMPUTED_VALUE"""),3.0)</f>
        <v>3</v>
      </c>
      <c r="E2184" s="4">
        <f>IFERROR(__xludf.DUMMYFUNCTION("""COMPUTED_VALUE"""),117.0)</f>
        <v>117</v>
      </c>
      <c r="F2184" s="4">
        <f>IFERROR(__xludf.DUMMYFUNCTION("""COMPUTED_VALUE"""),3.0)</f>
        <v>3</v>
      </c>
      <c r="G2184" s="4">
        <f>IFERROR(__xludf.DUMMYFUNCTION("""COMPUTED_VALUE"""),107.0)</f>
        <v>107</v>
      </c>
      <c r="H2184" s="5">
        <f>IFERROR(__xludf.DUMMYFUNCTION("""COMPUTED_VALUE"""),8035.33)</f>
        <v>8035.33</v>
      </c>
      <c r="I2184" s="5">
        <f>IFERROR(__xludf.DUMMYFUNCTION("""COMPUTED_VALUE"""),8852.95)</f>
        <v>8852.95</v>
      </c>
      <c r="J2184" s="5">
        <f>IFERROR(__xludf.DUMMYFUNCTION("""COMPUTED_VALUE"""),4081.21)</f>
        <v>4081.21</v>
      </c>
      <c r="K2184" s="5">
        <f>IFERROR(__xludf.DUMMYFUNCTION("""COMPUTED_VALUE"""),7951.32)</f>
        <v>7951.32</v>
      </c>
      <c r="L2184" s="4">
        <f>IFERROR(__xludf.DUMMYFUNCTION("""COMPUTED_VALUE"""),18.0)</f>
        <v>18</v>
      </c>
      <c r="M2184" s="4">
        <f>IFERROR(__xludf.DUMMYFUNCTION("""COMPUTED_VALUE"""),71.0)</f>
        <v>71</v>
      </c>
      <c r="N2184" s="2" t="b">
        <f>IFERROR(__xludf.DUMMYFUNCTION("""COMPUTED_VALUE"""),FALSE)</f>
        <v>0</v>
      </c>
    </row>
    <row r="2185">
      <c r="A2185" s="2">
        <f>IFERROR(__xludf.DUMMYFUNCTION("""COMPUTED_VALUE"""),2184.0)</f>
        <v>2184</v>
      </c>
      <c r="B2185" s="2" t="str">
        <f>IFERROR(__xludf.DUMMYFUNCTION("""COMPUTED_VALUE"""),"Atlanta Osgorby")</f>
        <v>Atlanta Osgorby</v>
      </c>
      <c r="C2185" s="2" t="str">
        <f>IFERROR(__xludf.DUMMYFUNCTION("""COMPUTED_VALUE"""),"aosgorby54@infoseek.co.jp")</f>
        <v>aosgorby54@infoseek.co.jp</v>
      </c>
      <c r="D2185" s="4">
        <f>IFERROR(__xludf.DUMMYFUNCTION("""COMPUTED_VALUE"""),113.0)</f>
        <v>113</v>
      </c>
      <c r="E2185" s="4">
        <f>IFERROR(__xludf.DUMMYFUNCTION("""COMPUTED_VALUE"""),41.0)</f>
        <v>41</v>
      </c>
      <c r="F2185" s="4">
        <f>IFERROR(__xludf.DUMMYFUNCTION("""COMPUTED_VALUE"""),11.0)</f>
        <v>11</v>
      </c>
      <c r="G2185" s="4">
        <f>IFERROR(__xludf.DUMMYFUNCTION("""COMPUTED_VALUE"""),683.0)</f>
        <v>683</v>
      </c>
      <c r="H2185" s="5">
        <f>IFERROR(__xludf.DUMMYFUNCTION("""COMPUTED_VALUE"""),2744.46)</f>
        <v>2744.46</v>
      </c>
      <c r="I2185" s="5">
        <f>IFERROR(__xludf.DUMMYFUNCTION("""COMPUTED_VALUE"""),4706.67)</f>
        <v>4706.67</v>
      </c>
      <c r="J2185" s="5">
        <f>IFERROR(__xludf.DUMMYFUNCTION("""COMPUTED_VALUE"""),6754.87)</f>
        <v>6754.87</v>
      </c>
      <c r="K2185" s="5">
        <f>IFERROR(__xludf.DUMMYFUNCTION("""COMPUTED_VALUE"""),2660.14)</f>
        <v>2660.14</v>
      </c>
      <c r="L2185" s="4">
        <f>IFERROR(__xludf.DUMMYFUNCTION("""COMPUTED_VALUE"""),18.0)</f>
        <v>18</v>
      </c>
      <c r="M2185" s="4">
        <f>IFERROR(__xludf.DUMMYFUNCTION("""COMPUTED_VALUE"""),35.0)</f>
        <v>35</v>
      </c>
      <c r="N2185" s="2" t="b">
        <f>IFERROR(__xludf.DUMMYFUNCTION("""COMPUTED_VALUE"""),TRUE)</f>
        <v>1</v>
      </c>
    </row>
    <row r="2186">
      <c r="A2186" s="2">
        <f>IFERROR(__xludf.DUMMYFUNCTION("""COMPUTED_VALUE"""),2185.0)</f>
        <v>2185</v>
      </c>
      <c r="B2186" s="2" t="str">
        <f>IFERROR(__xludf.DUMMYFUNCTION("""COMPUTED_VALUE"""),"Mal Liebmann")</f>
        <v>Mal Liebmann</v>
      </c>
      <c r="C2186" s="2" t="str">
        <f>IFERROR(__xludf.DUMMYFUNCTION("""COMPUTED_VALUE"""),"mliebmann55@census.gov")</f>
        <v>mliebmann55@census.gov</v>
      </c>
      <c r="D2186" s="4">
        <f>IFERROR(__xludf.DUMMYFUNCTION("""COMPUTED_VALUE"""),70.0)</f>
        <v>70</v>
      </c>
      <c r="E2186" s="4">
        <f>IFERROR(__xludf.DUMMYFUNCTION("""COMPUTED_VALUE"""),41.0)</f>
        <v>41</v>
      </c>
      <c r="F2186" s="4">
        <f>IFERROR(__xludf.DUMMYFUNCTION("""COMPUTED_VALUE"""),3.0)</f>
        <v>3</v>
      </c>
      <c r="G2186" s="4">
        <f>IFERROR(__xludf.DUMMYFUNCTION("""COMPUTED_VALUE"""),1012.0)</f>
        <v>1012</v>
      </c>
      <c r="H2186" s="5">
        <f>IFERROR(__xludf.DUMMYFUNCTION("""COMPUTED_VALUE"""),6359.74)</f>
        <v>6359.74</v>
      </c>
      <c r="I2186" s="5">
        <f>IFERROR(__xludf.DUMMYFUNCTION("""COMPUTED_VALUE"""),8885.63)</f>
        <v>8885.63</v>
      </c>
      <c r="J2186" s="5">
        <f>IFERROR(__xludf.DUMMYFUNCTION("""COMPUTED_VALUE"""),2846.15)</f>
        <v>2846.15</v>
      </c>
      <c r="K2186" s="5">
        <f>IFERROR(__xludf.DUMMYFUNCTION("""COMPUTED_VALUE"""),7930.3)</f>
        <v>7930.3</v>
      </c>
      <c r="L2186" s="4">
        <f>IFERROR(__xludf.DUMMYFUNCTION("""COMPUTED_VALUE"""),13.0)</f>
        <v>13</v>
      </c>
      <c r="M2186" s="4">
        <f>IFERROR(__xludf.DUMMYFUNCTION("""COMPUTED_VALUE"""),6.0)</f>
        <v>6</v>
      </c>
      <c r="N2186" s="2" t="b">
        <f>IFERROR(__xludf.DUMMYFUNCTION("""COMPUTED_VALUE"""),FALSE)</f>
        <v>0</v>
      </c>
    </row>
    <row r="2187">
      <c r="A2187" s="2">
        <f>IFERROR(__xludf.DUMMYFUNCTION("""COMPUTED_VALUE"""),2186.0)</f>
        <v>2186</v>
      </c>
      <c r="B2187" s="2" t="str">
        <f>IFERROR(__xludf.DUMMYFUNCTION("""COMPUTED_VALUE"""),"Gilly Baxill")</f>
        <v>Gilly Baxill</v>
      </c>
      <c r="C2187" s="2"/>
      <c r="D2187" s="4">
        <f>IFERROR(__xludf.DUMMYFUNCTION("""COMPUTED_VALUE"""),77.0)</f>
        <v>77</v>
      </c>
      <c r="E2187" s="4">
        <f>IFERROR(__xludf.DUMMYFUNCTION("""COMPUTED_VALUE"""),72.0)</f>
        <v>72</v>
      </c>
      <c r="F2187" s="4">
        <f>IFERROR(__xludf.DUMMYFUNCTION("""COMPUTED_VALUE"""),8.0)</f>
        <v>8</v>
      </c>
      <c r="G2187" s="4">
        <f>IFERROR(__xludf.DUMMYFUNCTION("""COMPUTED_VALUE"""),16.0)</f>
        <v>16</v>
      </c>
      <c r="H2187" s="5">
        <f>IFERROR(__xludf.DUMMYFUNCTION("""COMPUTED_VALUE"""),5553.06)</f>
        <v>5553.06</v>
      </c>
      <c r="I2187" s="5">
        <f>IFERROR(__xludf.DUMMYFUNCTION("""COMPUTED_VALUE"""),9938.03)</f>
        <v>9938.03</v>
      </c>
      <c r="J2187" s="5">
        <f>IFERROR(__xludf.DUMMYFUNCTION("""COMPUTED_VALUE"""),3432.65)</f>
        <v>3432.65</v>
      </c>
      <c r="K2187" s="5">
        <f>IFERROR(__xludf.DUMMYFUNCTION("""COMPUTED_VALUE"""),3408.26)</f>
        <v>3408.26</v>
      </c>
      <c r="L2187" s="4">
        <f>IFERROR(__xludf.DUMMYFUNCTION("""COMPUTED_VALUE"""),11.0)</f>
        <v>11</v>
      </c>
      <c r="M2187" s="4">
        <f>IFERROR(__xludf.DUMMYFUNCTION("""COMPUTED_VALUE"""),23.0)</f>
        <v>23</v>
      </c>
      <c r="N2187" s="2" t="b">
        <f>IFERROR(__xludf.DUMMYFUNCTION("""COMPUTED_VALUE"""),TRUE)</f>
        <v>1</v>
      </c>
    </row>
    <row r="2188">
      <c r="A2188" s="2">
        <f>IFERROR(__xludf.DUMMYFUNCTION("""COMPUTED_VALUE"""),2187.0)</f>
        <v>2187</v>
      </c>
      <c r="B2188" s="2" t="str">
        <f>IFERROR(__xludf.DUMMYFUNCTION("""COMPUTED_VALUE"""),"Mozelle Meindl")</f>
        <v>Mozelle Meindl</v>
      </c>
      <c r="C2188" s="2"/>
      <c r="D2188" s="4">
        <f>IFERROR(__xludf.DUMMYFUNCTION("""COMPUTED_VALUE"""),86.0)</f>
        <v>86</v>
      </c>
      <c r="E2188" s="4">
        <f>IFERROR(__xludf.DUMMYFUNCTION("""COMPUTED_VALUE"""),65.0)</f>
        <v>65</v>
      </c>
      <c r="F2188" s="4">
        <f>IFERROR(__xludf.DUMMYFUNCTION("""COMPUTED_VALUE"""),4.0)</f>
        <v>4</v>
      </c>
      <c r="G2188" s="4">
        <f>IFERROR(__xludf.DUMMYFUNCTION("""COMPUTED_VALUE"""),847.0)</f>
        <v>847</v>
      </c>
      <c r="H2188" s="5">
        <f>IFERROR(__xludf.DUMMYFUNCTION("""COMPUTED_VALUE"""),890.5)</f>
        <v>890.5</v>
      </c>
      <c r="I2188" s="5">
        <f>IFERROR(__xludf.DUMMYFUNCTION("""COMPUTED_VALUE"""),2726.88)</f>
        <v>2726.88</v>
      </c>
      <c r="J2188" s="5">
        <f>IFERROR(__xludf.DUMMYFUNCTION("""COMPUTED_VALUE"""),9302.54)</f>
        <v>9302.54</v>
      </c>
      <c r="K2188" s="5">
        <f>IFERROR(__xludf.DUMMYFUNCTION("""COMPUTED_VALUE"""),5540.96)</f>
        <v>5540.96</v>
      </c>
      <c r="L2188" s="4">
        <f>IFERROR(__xludf.DUMMYFUNCTION("""COMPUTED_VALUE"""),10.0)</f>
        <v>10</v>
      </c>
      <c r="M2188" s="4">
        <f>IFERROR(__xludf.DUMMYFUNCTION("""COMPUTED_VALUE"""),9.0)</f>
        <v>9</v>
      </c>
      <c r="N2188" s="2" t="b">
        <f>IFERROR(__xludf.DUMMYFUNCTION("""COMPUTED_VALUE"""),TRUE)</f>
        <v>1</v>
      </c>
    </row>
    <row r="2189">
      <c r="A2189" s="2">
        <f>IFERROR(__xludf.DUMMYFUNCTION("""COMPUTED_VALUE"""),2188.0)</f>
        <v>2188</v>
      </c>
      <c r="B2189" s="2" t="str">
        <f>IFERROR(__xludf.DUMMYFUNCTION("""COMPUTED_VALUE"""),"Gerti Aickin")</f>
        <v>Gerti Aickin</v>
      </c>
      <c r="C2189" s="2" t="str">
        <f>IFERROR(__xludf.DUMMYFUNCTION("""COMPUTED_VALUE"""),"gaickin58@uiuc.edu")</f>
        <v>gaickin58@uiuc.edu</v>
      </c>
      <c r="D2189" s="4">
        <f>IFERROR(__xludf.DUMMYFUNCTION("""COMPUTED_VALUE"""),65.0)</f>
        <v>65</v>
      </c>
      <c r="E2189" s="4">
        <f>IFERROR(__xludf.DUMMYFUNCTION("""COMPUTED_VALUE"""),47.0)</f>
        <v>47</v>
      </c>
      <c r="F2189" s="4">
        <f>IFERROR(__xludf.DUMMYFUNCTION("""COMPUTED_VALUE"""),1.0)</f>
        <v>1</v>
      </c>
      <c r="G2189" s="4">
        <f>IFERROR(__xludf.DUMMYFUNCTION("""COMPUTED_VALUE"""),697.0)</f>
        <v>697</v>
      </c>
      <c r="H2189" s="5">
        <f>IFERROR(__xludf.DUMMYFUNCTION("""COMPUTED_VALUE"""),5176.89)</f>
        <v>5176.89</v>
      </c>
      <c r="I2189" s="5">
        <f>IFERROR(__xludf.DUMMYFUNCTION("""COMPUTED_VALUE"""),2528.64)</f>
        <v>2528.64</v>
      </c>
      <c r="J2189" s="5">
        <f>IFERROR(__xludf.DUMMYFUNCTION("""COMPUTED_VALUE"""),7796.59)</f>
        <v>7796.59</v>
      </c>
      <c r="K2189" s="5">
        <f>IFERROR(__xludf.DUMMYFUNCTION("""COMPUTED_VALUE"""),7266.36)</f>
        <v>7266.36</v>
      </c>
      <c r="L2189" s="4">
        <f>IFERROR(__xludf.DUMMYFUNCTION("""COMPUTED_VALUE"""),17.0)</f>
        <v>17</v>
      </c>
      <c r="M2189" s="4">
        <f>IFERROR(__xludf.DUMMYFUNCTION("""COMPUTED_VALUE"""),65.0)</f>
        <v>65</v>
      </c>
      <c r="N2189" s="2" t="b">
        <f>IFERROR(__xludf.DUMMYFUNCTION("""COMPUTED_VALUE"""),TRUE)</f>
        <v>1</v>
      </c>
    </row>
    <row r="2190">
      <c r="A2190" s="2">
        <f>IFERROR(__xludf.DUMMYFUNCTION("""COMPUTED_VALUE"""),2189.0)</f>
        <v>2189</v>
      </c>
      <c r="B2190" s="2" t="str">
        <f>IFERROR(__xludf.DUMMYFUNCTION("""COMPUTED_VALUE"""),"Eugenia Sworder")</f>
        <v>Eugenia Sworder</v>
      </c>
      <c r="C2190" s="2"/>
      <c r="D2190" s="4">
        <f>IFERROR(__xludf.DUMMYFUNCTION("""COMPUTED_VALUE"""),109.0)</f>
        <v>109</v>
      </c>
      <c r="E2190" s="4">
        <f>IFERROR(__xludf.DUMMYFUNCTION("""COMPUTED_VALUE"""),66.0)</f>
        <v>66</v>
      </c>
      <c r="F2190" s="4">
        <f>IFERROR(__xludf.DUMMYFUNCTION("""COMPUTED_VALUE"""),7.0)</f>
        <v>7</v>
      </c>
      <c r="G2190" s="4">
        <f>IFERROR(__xludf.DUMMYFUNCTION("""COMPUTED_VALUE"""),498.0)</f>
        <v>498</v>
      </c>
      <c r="H2190" s="5">
        <f>IFERROR(__xludf.DUMMYFUNCTION("""COMPUTED_VALUE"""),5779.29)</f>
        <v>5779.29</v>
      </c>
      <c r="I2190" s="5">
        <f>IFERROR(__xludf.DUMMYFUNCTION("""COMPUTED_VALUE"""),7712.18)</f>
        <v>7712.18</v>
      </c>
      <c r="J2190" s="5">
        <f>IFERROR(__xludf.DUMMYFUNCTION("""COMPUTED_VALUE"""),6721.3)</f>
        <v>6721.3</v>
      </c>
      <c r="K2190" s="5">
        <f>IFERROR(__xludf.DUMMYFUNCTION("""COMPUTED_VALUE"""),131.37)</f>
        <v>131.37</v>
      </c>
      <c r="L2190" s="4">
        <f>IFERROR(__xludf.DUMMYFUNCTION("""COMPUTED_VALUE"""),14.0)</f>
        <v>14</v>
      </c>
      <c r="M2190" s="4">
        <f>IFERROR(__xludf.DUMMYFUNCTION("""COMPUTED_VALUE"""),44.0)</f>
        <v>44</v>
      </c>
      <c r="N2190" s="2" t="b">
        <f>IFERROR(__xludf.DUMMYFUNCTION("""COMPUTED_VALUE"""),FALSE)</f>
        <v>0</v>
      </c>
    </row>
    <row r="2191">
      <c r="A2191" s="2">
        <f>IFERROR(__xludf.DUMMYFUNCTION("""COMPUTED_VALUE"""),2190.0)</f>
        <v>2190</v>
      </c>
      <c r="B2191" s="2" t="str">
        <f>IFERROR(__xludf.DUMMYFUNCTION("""COMPUTED_VALUE"""),"Chelsey Scawen")</f>
        <v>Chelsey Scawen</v>
      </c>
      <c r="C2191" s="2" t="str">
        <f>IFERROR(__xludf.DUMMYFUNCTION("""COMPUTED_VALUE"""),"cscawen5a@bloglines.com")</f>
        <v>cscawen5a@bloglines.com</v>
      </c>
      <c r="D2191" s="4">
        <f>IFERROR(__xludf.DUMMYFUNCTION("""COMPUTED_VALUE"""),55.0)</f>
        <v>55</v>
      </c>
      <c r="E2191" s="4">
        <f>IFERROR(__xludf.DUMMYFUNCTION("""COMPUTED_VALUE"""),85.0)</f>
        <v>85</v>
      </c>
      <c r="F2191" s="4">
        <f>IFERROR(__xludf.DUMMYFUNCTION("""COMPUTED_VALUE"""),9.0)</f>
        <v>9</v>
      </c>
      <c r="G2191" s="4">
        <f>IFERROR(__xludf.DUMMYFUNCTION("""COMPUTED_VALUE"""),37.0)</f>
        <v>37</v>
      </c>
      <c r="H2191" s="5">
        <f>IFERROR(__xludf.DUMMYFUNCTION("""COMPUTED_VALUE"""),919.98)</f>
        <v>919.98</v>
      </c>
      <c r="I2191" s="5">
        <f>IFERROR(__xludf.DUMMYFUNCTION("""COMPUTED_VALUE"""),6098.99)</f>
        <v>6098.99</v>
      </c>
      <c r="J2191" s="5">
        <f>IFERROR(__xludf.DUMMYFUNCTION("""COMPUTED_VALUE"""),5323.15)</f>
        <v>5323.15</v>
      </c>
      <c r="K2191" s="5">
        <f>IFERROR(__xludf.DUMMYFUNCTION("""COMPUTED_VALUE"""),6745.96)</f>
        <v>6745.96</v>
      </c>
      <c r="L2191" s="4">
        <f>IFERROR(__xludf.DUMMYFUNCTION("""COMPUTED_VALUE"""),14.0)</f>
        <v>14</v>
      </c>
      <c r="M2191" s="4">
        <f>IFERROR(__xludf.DUMMYFUNCTION("""COMPUTED_VALUE"""),11.0)</f>
        <v>11</v>
      </c>
      <c r="N2191" s="2" t="b">
        <f>IFERROR(__xludf.DUMMYFUNCTION("""COMPUTED_VALUE"""),TRUE)</f>
        <v>1</v>
      </c>
    </row>
    <row r="2192">
      <c r="A2192" s="2">
        <f>IFERROR(__xludf.DUMMYFUNCTION("""COMPUTED_VALUE"""),2191.0)</f>
        <v>2191</v>
      </c>
      <c r="B2192" s="2" t="str">
        <f>IFERROR(__xludf.DUMMYFUNCTION("""COMPUTED_VALUE"""),"Petronille Redington")</f>
        <v>Petronille Redington</v>
      </c>
      <c r="C2192" s="2"/>
      <c r="D2192" s="4">
        <f>IFERROR(__xludf.DUMMYFUNCTION("""COMPUTED_VALUE"""),115.0)</f>
        <v>115</v>
      </c>
      <c r="E2192" s="4">
        <f>IFERROR(__xludf.DUMMYFUNCTION("""COMPUTED_VALUE"""),105.0)</f>
        <v>105</v>
      </c>
      <c r="F2192" s="4">
        <f>IFERROR(__xludf.DUMMYFUNCTION("""COMPUTED_VALUE"""),8.0)</f>
        <v>8</v>
      </c>
      <c r="G2192" s="4">
        <f>IFERROR(__xludf.DUMMYFUNCTION("""COMPUTED_VALUE"""),443.0)</f>
        <v>443</v>
      </c>
      <c r="H2192" s="5">
        <f>IFERROR(__xludf.DUMMYFUNCTION("""COMPUTED_VALUE"""),154.37)</f>
        <v>154.37</v>
      </c>
      <c r="I2192" s="5">
        <f>IFERROR(__xludf.DUMMYFUNCTION("""COMPUTED_VALUE"""),3617.22)</f>
        <v>3617.22</v>
      </c>
      <c r="J2192" s="5">
        <f>IFERROR(__xludf.DUMMYFUNCTION("""COMPUTED_VALUE"""),4928.82)</f>
        <v>4928.82</v>
      </c>
      <c r="K2192" s="5">
        <f>IFERROR(__xludf.DUMMYFUNCTION("""COMPUTED_VALUE"""),2713.42)</f>
        <v>2713.42</v>
      </c>
      <c r="L2192" s="4">
        <f>IFERROR(__xludf.DUMMYFUNCTION("""COMPUTED_VALUE"""),8.0)</f>
        <v>8</v>
      </c>
      <c r="M2192" s="4">
        <f>IFERROR(__xludf.DUMMYFUNCTION("""COMPUTED_VALUE"""),95.0)</f>
        <v>95</v>
      </c>
      <c r="N2192" s="2" t="b">
        <f>IFERROR(__xludf.DUMMYFUNCTION("""COMPUTED_VALUE"""),FALSE)</f>
        <v>0</v>
      </c>
    </row>
    <row r="2193">
      <c r="A2193" s="2">
        <f>IFERROR(__xludf.DUMMYFUNCTION("""COMPUTED_VALUE"""),2192.0)</f>
        <v>2192</v>
      </c>
      <c r="B2193" s="2" t="str">
        <f>IFERROR(__xludf.DUMMYFUNCTION("""COMPUTED_VALUE"""),"Vonni Bouchier")</f>
        <v>Vonni Bouchier</v>
      </c>
      <c r="C2193" s="2" t="str">
        <f>IFERROR(__xludf.DUMMYFUNCTION("""COMPUTED_VALUE"""),"vbouchier5c@craigslist.org")</f>
        <v>vbouchier5c@craigslist.org</v>
      </c>
      <c r="D2193" s="4">
        <f>IFERROR(__xludf.DUMMYFUNCTION("""COMPUTED_VALUE"""),36.0)</f>
        <v>36</v>
      </c>
      <c r="E2193" s="4">
        <f>IFERROR(__xludf.DUMMYFUNCTION("""COMPUTED_VALUE"""),90.0)</f>
        <v>90</v>
      </c>
      <c r="F2193" s="4">
        <f>IFERROR(__xludf.DUMMYFUNCTION("""COMPUTED_VALUE"""),6.0)</f>
        <v>6</v>
      </c>
      <c r="G2193" s="4">
        <f>IFERROR(__xludf.DUMMYFUNCTION("""COMPUTED_VALUE"""),482.0)</f>
        <v>482</v>
      </c>
      <c r="H2193" s="5">
        <f>IFERROR(__xludf.DUMMYFUNCTION("""COMPUTED_VALUE"""),2130.26)</f>
        <v>2130.26</v>
      </c>
      <c r="I2193" s="5">
        <f>IFERROR(__xludf.DUMMYFUNCTION("""COMPUTED_VALUE"""),3179.58)</f>
        <v>3179.58</v>
      </c>
      <c r="J2193" s="5">
        <f>IFERROR(__xludf.DUMMYFUNCTION("""COMPUTED_VALUE"""),6597.88)</f>
        <v>6597.88</v>
      </c>
      <c r="K2193" s="5">
        <f>IFERROR(__xludf.DUMMYFUNCTION("""COMPUTED_VALUE"""),5869.02)</f>
        <v>5869.02</v>
      </c>
      <c r="L2193" s="4">
        <f>IFERROR(__xludf.DUMMYFUNCTION("""COMPUTED_VALUE"""),1.0)</f>
        <v>1</v>
      </c>
      <c r="M2193" s="4">
        <f>IFERROR(__xludf.DUMMYFUNCTION("""COMPUTED_VALUE"""),71.0)</f>
        <v>71</v>
      </c>
      <c r="N2193" s="2" t="b">
        <f>IFERROR(__xludf.DUMMYFUNCTION("""COMPUTED_VALUE"""),FALSE)</f>
        <v>0</v>
      </c>
    </row>
    <row r="2194">
      <c r="A2194" s="2">
        <f>IFERROR(__xludf.DUMMYFUNCTION("""COMPUTED_VALUE"""),2193.0)</f>
        <v>2193</v>
      </c>
      <c r="B2194" s="2" t="str">
        <f>IFERROR(__xludf.DUMMYFUNCTION("""COMPUTED_VALUE"""),"Sella Dagg")</f>
        <v>Sella Dagg</v>
      </c>
      <c r="C2194" s="2"/>
      <c r="D2194" s="4">
        <f>IFERROR(__xludf.DUMMYFUNCTION("""COMPUTED_VALUE"""),17.0)</f>
        <v>17</v>
      </c>
      <c r="E2194" s="4">
        <f>IFERROR(__xludf.DUMMYFUNCTION("""COMPUTED_VALUE"""),104.0)</f>
        <v>104</v>
      </c>
      <c r="F2194" s="4">
        <f>IFERROR(__xludf.DUMMYFUNCTION("""COMPUTED_VALUE"""),8.0)</f>
        <v>8</v>
      </c>
      <c r="G2194" s="4">
        <f>IFERROR(__xludf.DUMMYFUNCTION("""COMPUTED_VALUE"""),1243.0)</f>
        <v>1243</v>
      </c>
      <c r="H2194" s="5">
        <f>IFERROR(__xludf.DUMMYFUNCTION("""COMPUTED_VALUE"""),5671.12)</f>
        <v>5671.12</v>
      </c>
      <c r="I2194" s="5">
        <f>IFERROR(__xludf.DUMMYFUNCTION("""COMPUTED_VALUE"""),860.03)</f>
        <v>860.03</v>
      </c>
      <c r="J2194" s="5">
        <f>IFERROR(__xludf.DUMMYFUNCTION("""COMPUTED_VALUE"""),6901.48)</f>
        <v>6901.48</v>
      </c>
      <c r="K2194" s="5">
        <f>IFERROR(__xludf.DUMMYFUNCTION("""COMPUTED_VALUE"""),6802.85)</f>
        <v>6802.85</v>
      </c>
      <c r="L2194" s="4">
        <f>IFERROR(__xludf.DUMMYFUNCTION("""COMPUTED_VALUE"""),11.0)</f>
        <v>11</v>
      </c>
      <c r="M2194" s="4">
        <f>IFERROR(__xludf.DUMMYFUNCTION("""COMPUTED_VALUE"""),97.0)</f>
        <v>97</v>
      </c>
      <c r="N2194" s="2" t="b">
        <f>IFERROR(__xludf.DUMMYFUNCTION("""COMPUTED_VALUE"""),TRUE)</f>
        <v>1</v>
      </c>
    </row>
    <row r="2195">
      <c r="A2195" s="2">
        <f>IFERROR(__xludf.DUMMYFUNCTION("""COMPUTED_VALUE"""),2194.0)</f>
        <v>2194</v>
      </c>
      <c r="B2195" s="2" t="str">
        <f>IFERROR(__xludf.DUMMYFUNCTION("""COMPUTED_VALUE"""),"Shaun Broddle")</f>
        <v>Shaun Broddle</v>
      </c>
      <c r="C2195" s="2"/>
      <c r="D2195" s="4">
        <f>IFERROR(__xludf.DUMMYFUNCTION("""COMPUTED_VALUE"""),153.0)</f>
        <v>153</v>
      </c>
      <c r="E2195" s="4">
        <f>IFERROR(__xludf.DUMMYFUNCTION("""COMPUTED_VALUE"""),106.0)</f>
        <v>106</v>
      </c>
      <c r="F2195" s="4">
        <f>IFERROR(__xludf.DUMMYFUNCTION("""COMPUTED_VALUE"""),1.0)</f>
        <v>1</v>
      </c>
      <c r="G2195" s="4">
        <f>IFERROR(__xludf.DUMMYFUNCTION("""COMPUTED_VALUE"""),608.0)</f>
        <v>608</v>
      </c>
      <c r="H2195" s="5">
        <f>IFERROR(__xludf.DUMMYFUNCTION("""COMPUTED_VALUE"""),7801.23)</f>
        <v>7801.23</v>
      </c>
      <c r="I2195" s="5">
        <f>IFERROR(__xludf.DUMMYFUNCTION("""COMPUTED_VALUE"""),2270.47)</f>
        <v>2270.47</v>
      </c>
      <c r="J2195" s="5">
        <f>IFERROR(__xludf.DUMMYFUNCTION("""COMPUTED_VALUE"""),4451.34)</f>
        <v>4451.34</v>
      </c>
      <c r="K2195" s="5">
        <f>IFERROR(__xludf.DUMMYFUNCTION("""COMPUTED_VALUE"""),3125.9)</f>
        <v>3125.9</v>
      </c>
      <c r="L2195" s="4">
        <f>IFERROR(__xludf.DUMMYFUNCTION("""COMPUTED_VALUE"""),16.0)</f>
        <v>16</v>
      </c>
      <c r="M2195" s="4">
        <f>IFERROR(__xludf.DUMMYFUNCTION("""COMPUTED_VALUE"""),35.0)</f>
        <v>35</v>
      </c>
      <c r="N2195" s="2" t="b">
        <f>IFERROR(__xludf.DUMMYFUNCTION("""COMPUTED_VALUE"""),FALSE)</f>
        <v>0</v>
      </c>
    </row>
    <row r="2196">
      <c r="A2196" s="2">
        <f>IFERROR(__xludf.DUMMYFUNCTION("""COMPUTED_VALUE"""),2195.0)</f>
        <v>2195</v>
      </c>
      <c r="B2196" s="2" t="str">
        <f>IFERROR(__xludf.DUMMYFUNCTION("""COMPUTED_VALUE"""),"Rhody Yorkston")</f>
        <v>Rhody Yorkston</v>
      </c>
      <c r="C2196" s="2"/>
      <c r="D2196" s="4">
        <f>IFERROR(__xludf.DUMMYFUNCTION("""COMPUTED_VALUE"""),123.0)</f>
        <v>123</v>
      </c>
      <c r="E2196" s="4">
        <f>IFERROR(__xludf.DUMMYFUNCTION("""COMPUTED_VALUE"""),69.0)</f>
        <v>69</v>
      </c>
      <c r="F2196" s="4">
        <f>IFERROR(__xludf.DUMMYFUNCTION("""COMPUTED_VALUE"""),9.0)</f>
        <v>9</v>
      </c>
      <c r="G2196" s="4">
        <f>IFERROR(__xludf.DUMMYFUNCTION("""COMPUTED_VALUE"""),1030.0)</f>
        <v>1030</v>
      </c>
      <c r="H2196" s="5">
        <f>IFERROR(__xludf.DUMMYFUNCTION("""COMPUTED_VALUE"""),4649.17)</f>
        <v>4649.17</v>
      </c>
      <c r="I2196" s="5">
        <f>IFERROR(__xludf.DUMMYFUNCTION("""COMPUTED_VALUE"""),7325.34)</f>
        <v>7325.34</v>
      </c>
      <c r="J2196" s="5">
        <f>IFERROR(__xludf.DUMMYFUNCTION("""COMPUTED_VALUE"""),4972.62)</f>
        <v>4972.62</v>
      </c>
      <c r="K2196" s="5">
        <f>IFERROR(__xludf.DUMMYFUNCTION("""COMPUTED_VALUE"""),8031.1)</f>
        <v>8031.1</v>
      </c>
      <c r="L2196" s="4">
        <f>IFERROR(__xludf.DUMMYFUNCTION("""COMPUTED_VALUE"""),5.0)</f>
        <v>5</v>
      </c>
      <c r="M2196" s="4">
        <f>IFERROR(__xludf.DUMMYFUNCTION("""COMPUTED_VALUE"""),88.0)</f>
        <v>88</v>
      </c>
      <c r="N2196" s="2" t="b">
        <f>IFERROR(__xludf.DUMMYFUNCTION("""COMPUTED_VALUE"""),TRUE)</f>
        <v>1</v>
      </c>
    </row>
    <row r="2197">
      <c r="A2197" s="2">
        <f>IFERROR(__xludf.DUMMYFUNCTION("""COMPUTED_VALUE"""),2196.0)</f>
        <v>2196</v>
      </c>
      <c r="B2197" s="2" t="str">
        <f>IFERROR(__xludf.DUMMYFUNCTION("""COMPUTED_VALUE"""),"Ab Dies")</f>
        <v>Ab Dies</v>
      </c>
      <c r="C2197" s="2" t="str">
        <f>IFERROR(__xludf.DUMMYFUNCTION("""COMPUTED_VALUE"""),"adies5g@cpanel.net")</f>
        <v>adies5g@cpanel.net</v>
      </c>
      <c r="D2197" s="4">
        <f>IFERROR(__xludf.DUMMYFUNCTION("""COMPUTED_VALUE"""),14.0)</f>
        <v>14</v>
      </c>
      <c r="E2197" s="4">
        <f>IFERROR(__xludf.DUMMYFUNCTION("""COMPUTED_VALUE"""),39.0)</f>
        <v>39</v>
      </c>
      <c r="F2197" s="4">
        <f>IFERROR(__xludf.DUMMYFUNCTION("""COMPUTED_VALUE"""),8.0)</f>
        <v>8</v>
      </c>
      <c r="G2197" s="4">
        <f>IFERROR(__xludf.DUMMYFUNCTION("""COMPUTED_VALUE"""),581.0)</f>
        <v>581</v>
      </c>
      <c r="H2197" s="5">
        <f>IFERROR(__xludf.DUMMYFUNCTION("""COMPUTED_VALUE"""),8287.45)</f>
        <v>8287.45</v>
      </c>
      <c r="I2197" s="5">
        <f>IFERROR(__xludf.DUMMYFUNCTION("""COMPUTED_VALUE"""),1868.25)</f>
        <v>1868.25</v>
      </c>
      <c r="J2197" s="5">
        <f>IFERROR(__xludf.DUMMYFUNCTION("""COMPUTED_VALUE"""),9653.69)</f>
        <v>9653.69</v>
      </c>
      <c r="K2197" s="5">
        <f>IFERROR(__xludf.DUMMYFUNCTION("""COMPUTED_VALUE"""),4282.56)</f>
        <v>4282.56</v>
      </c>
      <c r="L2197" s="4">
        <f>IFERROR(__xludf.DUMMYFUNCTION("""COMPUTED_VALUE"""),15.0)</f>
        <v>15</v>
      </c>
      <c r="M2197" s="4">
        <f>IFERROR(__xludf.DUMMYFUNCTION("""COMPUTED_VALUE"""),97.0)</f>
        <v>97</v>
      </c>
      <c r="N2197" s="2" t="b">
        <f>IFERROR(__xludf.DUMMYFUNCTION("""COMPUTED_VALUE"""),FALSE)</f>
        <v>0</v>
      </c>
    </row>
    <row r="2198">
      <c r="A2198" s="2">
        <f>IFERROR(__xludf.DUMMYFUNCTION("""COMPUTED_VALUE"""),2197.0)</f>
        <v>2197</v>
      </c>
      <c r="B2198" s="2" t="str">
        <f>IFERROR(__xludf.DUMMYFUNCTION("""COMPUTED_VALUE"""),"Bard Worman")</f>
        <v>Bard Worman</v>
      </c>
      <c r="C2198" s="2" t="str">
        <f>IFERROR(__xludf.DUMMYFUNCTION("""COMPUTED_VALUE"""),"bworman5h@phoca.cz")</f>
        <v>bworman5h@phoca.cz</v>
      </c>
      <c r="D2198" s="4">
        <f>IFERROR(__xludf.DUMMYFUNCTION("""COMPUTED_VALUE"""),123.0)</f>
        <v>123</v>
      </c>
      <c r="E2198" s="4">
        <f>IFERROR(__xludf.DUMMYFUNCTION("""COMPUTED_VALUE"""),125.0)</f>
        <v>125</v>
      </c>
      <c r="F2198" s="4">
        <f>IFERROR(__xludf.DUMMYFUNCTION("""COMPUTED_VALUE"""),3.0)</f>
        <v>3</v>
      </c>
      <c r="G2198" s="4">
        <f>IFERROR(__xludf.DUMMYFUNCTION("""COMPUTED_VALUE"""),1082.0)</f>
        <v>1082</v>
      </c>
      <c r="H2198" s="5">
        <f>IFERROR(__xludf.DUMMYFUNCTION("""COMPUTED_VALUE"""),154.86)</f>
        <v>154.86</v>
      </c>
      <c r="I2198" s="5">
        <f>IFERROR(__xludf.DUMMYFUNCTION("""COMPUTED_VALUE"""),205.31)</f>
        <v>205.31</v>
      </c>
      <c r="J2198" s="5">
        <f>IFERROR(__xludf.DUMMYFUNCTION("""COMPUTED_VALUE"""),5890.9)</f>
        <v>5890.9</v>
      </c>
      <c r="K2198" s="5">
        <f>IFERROR(__xludf.DUMMYFUNCTION("""COMPUTED_VALUE"""),8391.76)</f>
        <v>8391.76</v>
      </c>
      <c r="L2198" s="4">
        <f>IFERROR(__xludf.DUMMYFUNCTION("""COMPUTED_VALUE"""),3.0)</f>
        <v>3</v>
      </c>
      <c r="M2198" s="4">
        <f>IFERROR(__xludf.DUMMYFUNCTION("""COMPUTED_VALUE"""),45.0)</f>
        <v>45</v>
      </c>
      <c r="N2198" s="2" t="b">
        <f>IFERROR(__xludf.DUMMYFUNCTION("""COMPUTED_VALUE"""),TRUE)</f>
        <v>1</v>
      </c>
    </row>
    <row r="2199">
      <c r="A2199" s="2">
        <f>IFERROR(__xludf.DUMMYFUNCTION("""COMPUTED_VALUE"""),2198.0)</f>
        <v>2198</v>
      </c>
      <c r="B2199" s="2" t="str">
        <f>IFERROR(__xludf.DUMMYFUNCTION("""COMPUTED_VALUE"""),"Minnie Lutzmann")</f>
        <v>Minnie Lutzmann</v>
      </c>
      <c r="C2199" s="2"/>
      <c r="D2199" s="4">
        <f>IFERROR(__xludf.DUMMYFUNCTION("""COMPUTED_VALUE"""),132.0)</f>
        <v>132</v>
      </c>
      <c r="E2199" s="4">
        <f>IFERROR(__xludf.DUMMYFUNCTION("""COMPUTED_VALUE"""),112.0)</f>
        <v>112</v>
      </c>
      <c r="F2199" s="4">
        <f>IFERROR(__xludf.DUMMYFUNCTION("""COMPUTED_VALUE"""),4.0)</f>
        <v>4</v>
      </c>
      <c r="G2199" s="4">
        <f>IFERROR(__xludf.DUMMYFUNCTION("""COMPUTED_VALUE"""),1327.0)</f>
        <v>1327</v>
      </c>
      <c r="H2199" s="5">
        <f>IFERROR(__xludf.DUMMYFUNCTION("""COMPUTED_VALUE"""),1008.99)</f>
        <v>1008.99</v>
      </c>
      <c r="I2199" s="5">
        <f>IFERROR(__xludf.DUMMYFUNCTION("""COMPUTED_VALUE"""),161.1)</f>
        <v>161.1</v>
      </c>
      <c r="J2199" s="5">
        <f>IFERROR(__xludf.DUMMYFUNCTION("""COMPUTED_VALUE"""),3718.7)</f>
        <v>3718.7</v>
      </c>
      <c r="K2199" s="5">
        <f>IFERROR(__xludf.DUMMYFUNCTION("""COMPUTED_VALUE"""),4176.49)</f>
        <v>4176.49</v>
      </c>
      <c r="L2199" s="4">
        <f>IFERROR(__xludf.DUMMYFUNCTION("""COMPUTED_VALUE"""),4.0)</f>
        <v>4</v>
      </c>
      <c r="M2199" s="4">
        <f>IFERROR(__xludf.DUMMYFUNCTION("""COMPUTED_VALUE"""),89.0)</f>
        <v>89</v>
      </c>
      <c r="N2199" s="2" t="b">
        <f>IFERROR(__xludf.DUMMYFUNCTION("""COMPUTED_VALUE"""),FALSE)</f>
        <v>0</v>
      </c>
    </row>
    <row r="2200">
      <c r="A2200" s="2">
        <f>IFERROR(__xludf.DUMMYFUNCTION("""COMPUTED_VALUE"""),2199.0)</f>
        <v>2199</v>
      </c>
      <c r="B2200" s="2" t="str">
        <f>IFERROR(__xludf.DUMMYFUNCTION("""COMPUTED_VALUE"""),"Benjamin Hughlock")</f>
        <v>Benjamin Hughlock</v>
      </c>
      <c r="C2200" s="2"/>
      <c r="D2200" s="4">
        <f>IFERROR(__xludf.DUMMYFUNCTION("""COMPUTED_VALUE"""),40.0)</f>
        <v>40</v>
      </c>
      <c r="E2200" s="4">
        <f>IFERROR(__xludf.DUMMYFUNCTION("""COMPUTED_VALUE"""),13.0)</f>
        <v>13</v>
      </c>
      <c r="F2200" s="4">
        <f>IFERROR(__xludf.DUMMYFUNCTION("""COMPUTED_VALUE"""),3.0)</f>
        <v>3</v>
      </c>
      <c r="G2200" s="4">
        <f>IFERROR(__xludf.DUMMYFUNCTION("""COMPUTED_VALUE"""),223.0)</f>
        <v>223</v>
      </c>
      <c r="H2200" s="5">
        <f>IFERROR(__xludf.DUMMYFUNCTION("""COMPUTED_VALUE"""),3060.06)</f>
        <v>3060.06</v>
      </c>
      <c r="I2200" s="5">
        <f>IFERROR(__xludf.DUMMYFUNCTION("""COMPUTED_VALUE"""),3405.92)</f>
        <v>3405.92</v>
      </c>
      <c r="J2200" s="5">
        <f>IFERROR(__xludf.DUMMYFUNCTION("""COMPUTED_VALUE"""),6272.62)</f>
        <v>6272.62</v>
      </c>
      <c r="K2200" s="5">
        <f>IFERROR(__xludf.DUMMYFUNCTION("""COMPUTED_VALUE"""),8783.23)</f>
        <v>8783.23</v>
      </c>
      <c r="L2200" s="4">
        <f>IFERROR(__xludf.DUMMYFUNCTION("""COMPUTED_VALUE"""),18.0)</f>
        <v>18</v>
      </c>
      <c r="M2200" s="4">
        <f>IFERROR(__xludf.DUMMYFUNCTION("""COMPUTED_VALUE"""),8.0)</f>
        <v>8</v>
      </c>
      <c r="N2200" s="2" t="b">
        <f>IFERROR(__xludf.DUMMYFUNCTION("""COMPUTED_VALUE"""),TRUE)</f>
        <v>1</v>
      </c>
    </row>
    <row r="2201">
      <c r="A2201" s="2">
        <f>IFERROR(__xludf.DUMMYFUNCTION("""COMPUTED_VALUE"""),2200.0)</f>
        <v>2200</v>
      </c>
      <c r="B2201" s="2" t="str">
        <f>IFERROR(__xludf.DUMMYFUNCTION("""COMPUTED_VALUE"""),"Waldo D'Onise")</f>
        <v>Waldo D'Onise</v>
      </c>
      <c r="C2201" s="2" t="str">
        <f>IFERROR(__xludf.DUMMYFUNCTION("""COMPUTED_VALUE"""),"wdonise5k@fastcompany.com")</f>
        <v>wdonise5k@fastcompany.com</v>
      </c>
      <c r="D2201" s="4">
        <f>IFERROR(__xludf.DUMMYFUNCTION("""COMPUTED_VALUE"""),2.0)</f>
        <v>2</v>
      </c>
      <c r="E2201" s="4">
        <f>IFERROR(__xludf.DUMMYFUNCTION("""COMPUTED_VALUE"""),70.0)</f>
        <v>70</v>
      </c>
      <c r="F2201" s="4">
        <f>IFERROR(__xludf.DUMMYFUNCTION("""COMPUTED_VALUE"""),9.0)</f>
        <v>9</v>
      </c>
      <c r="G2201" s="4">
        <f>IFERROR(__xludf.DUMMYFUNCTION("""COMPUTED_VALUE"""),1189.0)</f>
        <v>1189</v>
      </c>
      <c r="H2201" s="5">
        <f>IFERROR(__xludf.DUMMYFUNCTION("""COMPUTED_VALUE"""),2980.85)</f>
        <v>2980.85</v>
      </c>
      <c r="I2201" s="5">
        <f>IFERROR(__xludf.DUMMYFUNCTION("""COMPUTED_VALUE"""),6782.52)</f>
        <v>6782.52</v>
      </c>
      <c r="J2201" s="5">
        <f>IFERROR(__xludf.DUMMYFUNCTION("""COMPUTED_VALUE"""),2932.14)</f>
        <v>2932.14</v>
      </c>
      <c r="K2201" s="5">
        <f>IFERROR(__xludf.DUMMYFUNCTION("""COMPUTED_VALUE"""),1814.06)</f>
        <v>1814.06</v>
      </c>
      <c r="L2201" s="4">
        <f>IFERROR(__xludf.DUMMYFUNCTION("""COMPUTED_VALUE"""),16.0)</f>
        <v>16</v>
      </c>
      <c r="M2201" s="4">
        <f>IFERROR(__xludf.DUMMYFUNCTION("""COMPUTED_VALUE"""),2.0)</f>
        <v>2</v>
      </c>
      <c r="N2201" s="2" t="b">
        <f>IFERROR(__xludf.DUMMYFUNCTION("""COMPUTED_VALUE"""),FALSE)</f>
        <v>0</v>
      </c>
    </row>
    <row r="2202">
      <c r="A2202" s="2">
        <f>IFERROR(__xludf.DUMMYFUNCTION("""COMPUTED_VALUE"""),2201.0)</f>
        <v>2201</v>
      </c>
      <c r="B2202" s="2" t="str">
        <f>IFERROR(__xludf.DUMMYFUNCTION("""COMPUTED_VALUE"""),"Christos Glaze")</f>
        <v>Christos Glaze</v>
      </c>
      <c r="C2202" s="2"/>
      <c r="D2202" s="4">
        <f>IFERROR(__xludf.DUMMYFUNCTION("""COMPUTED_VALUE"""),156.0)</f>
        <v>156</v>
      </c>
      <c r="E2202" s="4">
        <f>IFERROR(__xludf.DUMMYFUNCTION("""COMPUTED_VALUE"""),123.0)</f>
        <v>123</v>
      </c>
      <c r="F2202" s="4">
        <f>IFERROR(__xludf.DUMMYFUNCTION("""COMPUTED_VALUE"""),5.0)</f>
        <v>5</v>
      </c>
      <c r="G2202" s="4">
        <f>IFERROR(__xludf.DUMMYFUNCTION("""COMPUTED_VALUE"""),257.0)</f>
        <v>257</v>
      </c>
      <c r="H2202" s="5">
        <f>IFERROR(__xludf.DUMMYFUNCTION("""COMPUTED_VALUE"""),1020.9)</f>
        <v>1020.9</v>
      </c>
      <c r="I2202" s="5">
        <f>IFERROR(__xludf.DUMMYFUNCTION("""COMPUTED_VALUE"""),6963.06)</f>
        <v>6963.06</v>
      </c>
      <c r="J2202" s="5">
        <f>IFERROR(__xludf.DUMMYFUNCTION("""COMPUTED_VALUE"""),9790.22)</f>
        <v>9790.22</v>
      </c>
      <c r="K2202" s="5">
        <f>IFERROR(__xludf.DUMMYFUNCTION("""COMPUTED_VALUE"""),7490.69)</f>
        <v>7490.69</v>
      </c>
      <c r="L2202" s="4">
        <f>IFERROR(__xludf.DUMMYFUNCTION("""COMPUTED_VALUE"""),10.0)</f>
        <v>10</v>
      </c>
      <c r="M2202" s="4">
        <f>IFERROR(__xludf.DUMMYFUNCTION("""COMPUTED_VALUE"""),57.0)</f>
        <v>57</v>
      </c>
      <c r="N2202" s="2" t="b">
        <f>IFERROR(__xludf.DUMMYFUNCTION("""COMPUTED_VALUE"""),TRUE)</f>
        <v>1</v>
      </c>
    </row>
    <row r="2203">
      <c r="A2203" s="2">
        <f>IFERROR(__xludf.DUMMYFUNCTION("""COMPUTED_VALUE"""),2202.0)</f>
        <v>2202</v>
      </c>
      <c r="B2203" s="2" t="str">
        <f>IFERROR(__xludf.DUMMYFUNCTION("""COMPUTED_VALUE"""),"Drusie Scamerden")</f>
        <v>Drusie Scamerden</v>
      </c>
      <c r="C2203" s="2" t="str">
        <f>IFERROR(__xludf.DUMMYFUNCTION("""COMPUTED_VALUE"""),"dscamerden5m@exblog.jp")</f>
        <v>dscamerden5m@exblog.jp</v>
      </c>
      <c r="D2203" s="4">
        <f>IFERROR(__xludf.DUMMYFUNCTION("""COMPUTED_VALUE"""),49.0)</f>
        <v>49</v>
      </c>
      <c r="E2203" s="4">
        <f>IFERROR(__xludf.DUMMYFUNCTION("""COMPUTED_VALUE"""),67.0)</f>
        <v>67</v>
      </c>
      <c r="F2203" s="4">
        <f>IFERROR(__xludf.DUMMYFUNCTION("""COMPUTED_VALUE"""),2.0)</f>
        <v>2</v>
      </c>
      <c r="G2203" s="4">
        <f>IFERROR(__xludf.DUMMYFUNCTION("""COMPUTED_VALUE"""),1023.0)</f>
        <v>1023</v>
      </c>
      <c r="H2203" s="5">
        <f>IFERROR(__xludf.DUMMYFUNCTION("""COMPUTED_VALUE"""),9288.43)</f>
        <v>9288.43</v>
      </c>
      <c r="I2203" s="5">
        <f>IFERROR(__xludf.DUMMYFUNCTION("""COMPUTED_VALUE"""),3542.94)</f>
        <v>3542.94</v>
      </c>
      <c r="J2203" s="5">
        <f>IFERROR(__xludf.DUMMYFUNCTION("""COMPUTED_VALUE"""),7614.76)</f>
        <v>7614.76</v>
      </c>
      <c r="K2203" s="5">
        <f>IFERROR(__xludf.DUMMYFUNCTION("""COMPUTED_VALUE"""),6617.79)</f>
        <v>6617.79</v>
      </c>
      <c r="L2203" s="4">
        <f>IFERROR(__xludf.DUMMYFUNCTION("""COMPUTED_VALUE"""),9.0)</f>
        <v>9</v>
      </c>
      <c r="M2203" s="4">
        <f>IFERROR(__xludf.DUMMYFUNCTION("""COMPUTED_VALUE"""),3.0)</f>
        <v>3</v>
      </c>
      <c r="N2203" s="2" t="b">
        <f>IFERROR(__xludf.DUMMYFUNCTION("""COMPUTED_VALUE"""),FALSE)</f>
        <v>0</v>
      </c>
    </row>
    <row r="2204">
      <c r="A2204" s="2">
        <f>IFERROR(__xludf.DUMMYFUNCTION("""COMPUTED_VALUE"""),2203.0)</f>
        <v>2203</v>
      </c>
      <c r="B2204" s="2" t="str">
        <f>IFERROR(__xludf.DUMMYFUNCTION("""COMPUTED_VALUE"""),"Ursola Van Arsdalen")</f>
        <v>Ursola Van Arsdalen</v>
      </c>
      <c r="C2204" s="2"/>
      <c r="D2204" s="4">
        <f>IFERROR(__xludf.DUMMYFUNCTION("""COMPUTED_VALUE"""),68.0)</f>
        <v>68</v>
      </c>
      <c r="E2204" s="4">
        <f>IFERROR(__xludf.DUMMYFUNCTION("""COMPUTED_VALUE"""),10.0)</f>
        <v>10</v>
      </c>
      <c r="F2204" s="4">
        <f>IFERROR(__xludf.DUMMYFUNCTION("""COMPUTED_VALUE"""),12.0)</f>
        <v>12</v>
      </c>
      <c r="G2204" s="4">
        <f>IFERROR(__xludf.DUMMYFUNCTION("""COMPUTED_VALUE"""),549.0)</f>
        <v>549</v>
      </c>
      <c r="H2204" s="5">
        <f>IFERROR(__xludf.DUMMYFUNCTION("""COMPUTED_VALUE"""),6107.0)</f>
        <v>6107</v>
      </c>
      <c r="I2204" s="5">
        <f>IFERROR(__xludf.DUMMYFUNCTION("""COMPUTED_VALUE"""),9498.27)</f>
        <v>9498.27</v>
      </c>
      <c r="J2204" s="5">
        <f>IFERROR(__xludf.DUMMYFUNCTION("""COMPUTED_VALUE"""),1245.15)</f>
        <v>1245.15</v>
      </c>
      <c r="K2204" s="5">
        <f>IFERROR(__xludf.DUMMYFUNCTION("""COMPUTED_VALUE"""),6982.67)</f>
        <v>6982.67</v>
      </c>
      <c r="L2204" s="4">
        <f>IFERROR(__xludf.DUMMYFUNCTION("""COMPUTED_VALUE"""),2.0)</f>
        <v>2</v>
      </c>
      <c r="M2204" s="4">
        <f>IFERROR(__xludf.DUMMYFUNCTION("""COMPUTED_VALUE"""),34.0)</f>
        <v>34</v>
      </c>
      <c r="N2204" s="2" t="b">
        <f>IFERROR(__xludf.DUMMYFUNCTION("""COMPUTED_VALUE"""),FALSE)</f>
        <v>0</v>
      </c>
    </row>
    <row r="2205">
      <c r="A2205" s="2">
        <f>IFERROR(__xludf.DUMMYFUNCTION("""COMPUTED_VALUE"""),2204.0)</f>
        <v>2204</v>
      </c>
      <c r="B2205" s="2" t="str">
        <f>IFERROR(__xludf.DUMMYFUNCTION("""COMPUTED_VALUE"""),"Ravi Cottrill")</f>
        <v>Ravi Cottrill</v>
      </c>
      <c r="C2205" s="2" t="str">
        <f>IFERROR(__xludf.DUMMYFUNCTION("""COMPUTED_VALUE"""),"rcottrill5o@scribd.com")</f>
        <v>rcottrill5o@scribd.com</v>
      </c>
      <c r="D2205" s="4">
        <f>IFERROR(__xludf.DUMMYFUNCTION("""COMPUTED_VALUE"""),6.0)</f>
        <v>6</v>
      </c>
      <c r="E2205" s="4">
        <f>IFERROR(__xludf.DUMMYFUNCTION("""COMPUTED_VALUE"""),83.0)</f>
        <v>83</v>
      </c>
      <c r="F2205" s="4">
        <f>IFERROR(__xludf.DUMMYFUNCTION("""COMPUTED_VALUE"""),3.0)</f>
        <v>3</v>
      </c>
      <c r="G2205" s="4">
        <f>IFERROR(__xludf.DUMMYFUNCTION("""COMPUTED_VALUE"""),303.0)</f>
        <v>303</v>
      </c>
      <c r="H2205" s="5">
        <f>IFERROR(__xludf.DUMMYFUNCTION("""COMPUTED_VALUE"""),2295.0)</f>
        <v>2295</v>
      </c>
      <c r="I2205" s="5">
        <f>IFERROR(__xludf.DUMMYFUNCTION("""COMPUTED_VALUE"""),2658.13)</f>
        <v>2658.13</v>
      </c>
      <c r="J2205" s="5">
        <f>IFERROR(__xludf.DUMMYFUNCTION("""COMPUTED_VALUE"""),9742.74)</f>
        <v>9742.74</v>
      </c>
      <c r="K2205" s="5">
        <f>IFERROR(__xludf.DUMMYFUNCTION("""COMPUTED_VALUE"""),6435.27)</f>
        <v>6435.27</v>
      </c>
      <c r="L2205" s="4">
        <f>IFERROR(__xludf.DUMMYFUNCTION("""COMPUTED_VALUE"""),12.0)</f>
        <v>12</v>
      </c>
      <c r="M2205" s="4">
        <f>IFERROR(__xludf.DUMMYFUNCTION("""COMPUTED_VALUE"""),96.0)</f>
        <v>96</v>
      </c>
      <c r="N2205" s="2" t="b">
        <f>IFERROR(__xludf.DUMMYFUNCTION("""COMPUTED_VALUE"""),FALSE)</f>
        <v>0</v>
      </c>
    </row>
    <row r="2206">
      <c r="A2206" s="2">
        <f>IFERROR(__xludf.DUMMYFUNCTION("""COMPUTED_VALUE"""),2205.0)</f>
        <v>2205</v>
      </c>
      <c r="B2206" s="2" t="str">
        <f>IFERROR(__xludf.DUMMYFUNCTION("""COMPUTED_VALUE"""),"Flossy O'Ruane")</f>
        <v>Flossy O'Ruane</v>
      </c>
      <c r="C2206" s="2" t="str">
        <f>IFERROR(__xludf.DUMMYFUNCTION("""COMPUTED_VALUE"""),"foruane5p@pcworld.com")</f>
        <v>foruane5p@pcworld.com</v>
      </c>
      <c r="D2206" s="4">
        <f>IFERROR(__xludf.DUMMYFUNCTION("""COMPUTED_VALUE"""),19.0)</f>
        <v>19</v>
      </c>
      <c r="E2206" s="4">
        <f>IFERROR(__xludf.DUMMYFUNCTION("""COMPUTED_VALUE"""),30.0)</f>
        <v>30</v>
      </c>
      <c r="F2206" s="4">
        <f>IFERROR(__xludf.DUMMYFUNCTION("""COMPUTED_VALUE"""),12.0)</f>
        <v>12</v>
      </c>
      <c r="G2206" s="4">
        <f>IFERROR(__xludf.DUMMYFUNCTION("""COMPUTED_VALUE"""),444.0)</f>
        <v>444</v>
      </c>
      <c r="H2206" s="5">
        <f>IFERROR(__xludf.DUMMYFUNCTION("""COMPUTED_VALUE"""),2462.03)</f>
        <v>2462.03</v>
      </c>
      <c r="I2206" s="5">
        <f>IFERROR(__xludf.DUMMYFUNCTION("""COMPUTED_VALUE"""),7598.13)</f>
        <v>7598.13</v>
      </c>
      <c r="J2206" s="5">
        <f>IFERROR(__xludf.DUMMYFUNCTION("""COMPUTED_VALUE"""),646.64)</f>
        <v>646.64</v>
      </c>
      <c r="K2206" s="5">
        <f>IFERROR(__xludf.DUMMYFUNCTION("""COMPUTED_VALUE"""),8830.69)</f>
        <v>8830.69</v>
      </c>
      <c r="L2206" s="4">
        <f>IFERROR(__xludf.DUMMYFUNCTION("""COMPUTED_VALUE"""),14.0)</f>
        <v>14</v>
      </c>
      <c r="M2206" s="4">
        <f>IFERROR(__xludf.DUMMYFUNCTION("""COMPUTED_VALUE"""),70.0)</f>
        <v>70</v>
      </c>
      <c r="N2206" s="2" t="b">
        <f>IFERROR(__xludf.DUMMYFUNCTION("""COMPUTED_VALUE"""),FALSE)</f>
        <v>0</v>
      </c>
    </row>
    <row r="2207">
      <c r="A2207" s="2">
        <f>IFERROR(__xludf.DUMMYFUNCTION("""COMPUTED_VALUE"""),2206.0)</f>
        <v>2206</v>
      </c>
      <c r="B2207" s="2" t="str">
        <f>IFERROR(__xludf.DUMMYFUNCTION("""COMPUTED_VALUE"""),"Silvano Taffs")</f>
        <v>Silvano Taffs</v>
      </c>
      <c r="C2207" s="2" t="str">
        <f>IFERROR(__xludf.DUMMYFUNCTION("""COMPUTED_VALUE"""),"staffs5q@wix.com")</f>
        <v>staffs5q@wix.com</v>
      </c>
      <c r="D2207" s="4">
        <f>IFERROR(__xludf.DUMMYFUNCTION("""COMPUTED_VALUE"""),37.0)</f>
        <v>37</v>
      </c>
      <c r="E2207" s="4">
        <f>IFERROR(__xludf.DUMMYFUNCTION("""COMPUTED_VALUE"""),41.0)</f>
        <v>41</v>
      </c>
      <c r="F2207" s="4">
        <f>IFERROR(__xludf.DUMMYFUNCTION("""COMPUTED_VALUE"""),1.0)</f>
        <v>1</v>
      </c>
      <c r="G2207" s="4">
        <f>IFERROR(__xludf.DUMMYFUNCTION("""COMPUTED_VALUE"""),1077.0)</f>
        <v>1077</v>
      </c>
      <c r="H2207" s="5">
        <f>IFERROR(__xludf.DUMMYFUNCTION("""COMPUTED_VALUE"""),4604.49)</f>
        <v>4604.49</v>
      </c>
      <c r="I2207" s="5">
        <f>IFERROR(__xludf.DUMMYFUNCTION("""COMPUTED_VALUE"""),603.18)</f>
        <v>603.18</v>
      </c>
      <c r="J2207" s="5">
        <f>IFERROR(__xludf.DUMMYFUNCTION("""COMPUTED_VALUE"""),7316.08)</f>
        <v>7316.08</v>
      </c>
      <c r="K2207" s="5">
        <f>IFERROR(__xludf.DUMMYFUNCTION("""COMPUTED_VALUE"""),3469.99)</f>
        <v>3469.99</v>
      </c>
      <c r="L2207" s="4">
        <f>IFERROR(__xludf.DUMMYFUNCTION("""COMPUTED_VALUE"""),17.0)</f>
        <v>17</v>
      </c>
      <c r="M2207" s="4">
        <f>IFERROR(__xludf.DUMMYFUNCTION("""COMPUTED_VALUE"""),41.0)</f>
        <v>41</v>
      </c>
      <c r="N2207" s="2" t="b">
        <f>IFERROR(__xludf.DUMMYFUNCTION("""COMPUTED_VALUE"""),FALSE)</f>
        <v>0</v>
      </c>
    </row>
    <row r="2208">
      <c r="A2208" s="2">
        <f>IFERROR(__xludf.DUMMYFUNCTION("""COMPUTED_VALUE"""),2207.0)</f>
        <v>2207</v>
      </c>
      <c r="B2208" s="2" t="str">
        <f>IFERROR(__xludf.DUMMYFUNCTION("""COMPUTED_VALUE"""),"Nanice Flemyng")</f>
        <v>Nanice Flemyng</v>
      </c>
      <c r="C2208" s="2" t="str">
        <f>IFERROR(__xludf.DUMMYFUNCTION("""COMPUTED_VALUE"""),"nflemyng5r@themeforest.net")</f>
        <v>nflemyng5r@themeforest.net</v>
      </c>
      <c r="D2208" s="4">
        <f>IFERROR(__xludf.DUMMYFUNCTION("""COMPUTED_VALUE"""),54.0)</f>
        <v>54</v>
      </c>
      <c r="E2208" s="4">
        <f>IFERROR(__xludf.DUMMYFUNCTION("""COMPUTED_VALUE"""),52.0)</f>
        <v>52</v>
      </c>
      <c r="F2208" s="4">
        <f>IFERROR(__xludf.DUMMYFUNCTION("""COMPUTED_VALUE"""),3.0)</f>
        <v>3</v>
      </c>
      <c r="G2208" s="4">
        <f>IFERROR(__xludf.DUMMYFUNCTION("""COMPUTED_VALUE"""),676.0)</f>
        <v>676</v>
      </c>
      <c r="H2208" s="5">
        <f>IFERROR(__xludf.DUMMYFUNCTION("""COMPUTED_VALUE"""),9292.8)</f>
        <v>9292.8</v>
      </c>
      <c r="I2208" s="5">
        <f>IFERROR(__xludf.DUMMYFUNCTION("""COMPUTED_VALUE"""),3013.27)</f>
        <v>3013.27</v>
      </c>
      <c r="J2208" s="5">
        <f>IFERROR(__xludf.DUMMYFUNCTION("""COMPUTED_VALUE"""),5803.43)</f>
        <v>5803.43</v>
      </c>
      <c r="K2208" s="5">
        <f>IFERROR(__xludf.DUMMYFUNCTION("""COMPUTED_VALUE"""),4755.21)</f>
        <v>4755.21</v>
      </c>
      <c r="L2208" s="4">
        <f>IFERROR(__xludf.DUMMYFUNCTION("""COMPUTED_VALUE"""),19.0)</f>
        <v>19</v>
      </c>
      <c r="M2208" s="4">
        <f>IFERROR(__xludf.DUMMYFUNCTION("""COMPUTED_VALUE"""),12.0)</f>
        <v>12</v>
      </c>
      <c r="N2208" s="2" t="b">
        <f>IFERROR(__xludf.DUMMYFUNCTION("""COMPUTED_VALUE"""),TRUE)</f>
        <v>1</v>
      </c>
    </row>
    <row r="2209">
      <c r="A2209" s="2">
        <f>IFERROR(__xludf.DUMMYFUNCTION("""COMPUTED_VALUE"""),2208.0)</f>
        <v>2208</v>
      </c>
      <c r="B2209" s="2" t="str">
        <f>IFERROR(__xludf.DUMMYFUNCTION("""COMPUTED_VALUE"""),"Ulberto Ainsby")</f>
        <v>Ulberto Ainsby</v>
      </c>
      <c r="C2209" s="2" t="str">
        <f>IFERROR(__xludf.DUMMYFUNCTION("""COMPUTED_VALUE"""),"uainsby5s@bing.com")</f>
        <v>uainsby5s@bing.com</v>
      </c>
      <c r="D2209" s="4">
        <f>IFERROR(__xludf.DUMMYFUNCTION("""COMPUTED_VALUE"""),83.0)</f>
        <v>83</v>
      </c>
      <c r="E2209" s="4">
        <f>IFERROR(__xludf.DUMMYFUNCTION("""COMPUTED_VALUE"""),112.0)</f>
        <v>112</v>
      </c>
      <c r="F2209" s="4">
        <f>IFERROR(__xludf.DUMMYFUNCTION("""COMPUTED_VALUE"""),9.0)</f>
        <v>9</v>
      </c>
      <c r="G2209" s="4">
        <f>IFERROR(__xludf.DUMMYFUNCTION("""COMPUTED_VALUE"""),414.0)</f>
        <v>414</v>
      </c>
      <c r="H2209" s="5">
        <f>IFERROR(__xludf.DUMMYFUNCTION("""COMPUTED_VALUE"""),9588.46)</f>
        <v>9588.46</v>
      </c>
      <c r="I2209" s="5">
        <f>IFERROR(__xludf.DUMMYFUNCTION("""COMPUTED_VALUE"""),8151.44)</f>
        <v>8151.44</v>
      </c>
      <c r="J2209" s="5">
        <f>IFERROR(__xludf.DUMMYFUNCTION("""COMPUTED_VALUE"""),604.26)</f>
        <v>604.26</v>
      </c>
      <c r="K2209" s="5">
        <f>IFERROR(__xludf.DUMMYFUNCTION("""COMPUTED_VALUE"""),5115.64)</f>
        <v>5115.64</v>
      </c>
      <c r="L2209" s="4">
        <f>IFERROR(__xludf.DUMMYFUNCTION("""COMPUTED_VALUE"""),2.0)</f>
        <v>2</v>
      </c>
      <c r="M2209" s="4">
        <f>IFERROR(__xludf.DUMMYFUNCTION("""COMPUTED_VALUE"""),44.0)</f>
        <v>44</v>
      </c>
      <c r="N2209" s="2" t="b">
        <f>IFERROR(__xludf.DUMMYFUNCTION("""COMPUTED_VALUE"""),FALSE)</f>
        <v>0</v>
      </c>
    </row>
    <row r="2210">
      <c r="A2210" s="2">
        <f>IFERROR(__xludf.DUMMYFUNCTION("""COMPUTED_VALUE"""),2209.0)</f>
        <v>2209</v>
      </c>
      <c r="B2210" s="2" t="str">
        <f>IFERROR(__xludf.DUMMYFUNCTION("""COMPUTED_VALUE"""),"Gerianne Conkling")</f>
        <v>Gerianne Conkling</v>
      </c>
      <c r="C2210" s="2"/>
      <c r="D2210" s="4">
        <f>IFERROR(__xludf.DUMMYFUNCTION("""COMPUTED_VALUE"""),137.0)</f>
        <v>137</v>
      </c>
      <c r="E2210" s="4">
        <f>IFERROR(__xludf.DUMMYFUNCTION("""COMPUTED_VALUE"""),32.0)</f>
        <v>32</v>
      </c>
      <c r="F2210" s="4">
        <f>IFERROR(__xludf.DUMMYFUNCTION("""COMPUTED_VALUE"""),9.0)</f>
        <v>9</v>
      </c>
      <c r="G2210" s="4">
        <f>IFERROR(__xludf.DUMMYFUNCTION("""COMPUTED_VALUE"""),17.0)</f>
        <v>17</v>
      </c>
      <c r="H2210" s="5">
        <f>IFERROR(__xludf.DUMMYFUNCTION("""COMPUTED_VALUE"""),3812.19)</f>
        <v>3812.19</v>
      </c>
      <c r="I2210" s="5">
        <f>IFERROR(__xludf.DUMMYFUNCTION("""COMPUTED_VALUE"""),3345.37)</f>
        <v>3345.37</v>
      </c>
      <c r="J2210" s="5">
        <f>IFERROR(__xludf.DUMMYFUNCTION("""COMPUTED_VALUE"""),4175.86)</f>
        <v>4175.86</v>
      </c>
      <c r="K2210" s="5">
        <f>IFERROR(__xludf.DUMMYFUNCTION("""COMPUTED_VALUE"""),1391.14)</f>
        <v>1391.14</v>
      </c>
      <c r="L2210" s="4">
        <f>IFERROR(__xludf.DUMMYFUNCTION("""COMPUTED_VALUE"""),9.0)</f>
        <v>9</v>
      </c>
      <c r="M2210" s="4">
        <f>IFERROR(__xludf.DUMMYFUNCTION("""COMPUTED_VALUE"""),32.0)</f>
        <v>32</v>
      </c>
      <c r="N2210" s="2" t="b">
        <f>IFERROR(__xludf.DUMMYFUNCTION("""COMPUTED_VALUE"""),TRUE)</f>
        <v>1</v>
      </c>
    </row>
    <row r="2211">
      <c r="A2211" s="2">
        <f>IFERROR(__xludf.DUMMYFUNCTION("""COMPUTED_VALUE"""),2210.0)</f>
        <v>2210</v>
      </c>
      <c r="B2211" s="2" t="str">
        <f>IFERROR(__xludf.DUMMYFUNCTION("""COMPUTED_VALUE"""),"Barri Stradling")</f>
        <v>Barri Stradling</v>
      </c>
      <c r="C2211" s="2" t="str">
        <f>IFERROR(__xludf.DUMMYFUNCTION("""COMPUTED_VALUE"""),"bstradling5u@newyorker.com")</f>
        <v>bstradling5u@newyorker.com</v>
      </c>
      <c r="D2211" s="4">
        <f>IFERROR(__xludf.DUMMYFUNCTION("""COMPUTED_VALUE"""),60.0)</f>
        <v>60</v>
      </c>
      <c r="E2211" s="4">
        <f>IFERROR(__xludf.DUMMYFUNCTION("""COMPUTED_VALUE"""),95.0)</f>
        <v>95</v>
      </c>
      <c r="F2211" s="4">
        <f>IFERROR(__xludf.DUMMYFUNCTION("""COMPUTED_VALUE"""),10.0)</f>
        <v>10</v>
      </c>
      <c r="G2211" s="4">
        <f>IFERROR(__xludf.DUMMYFUNCTION("""COMPUTED_VALUE"""),358.0)</f>
        <v>358</v>
      </c>
      <c r="H2211" s="5">
        <f>IFERROR(__xludf.DUMMYFUNCTION("""COMPUTED_VALUE"""),5880.41)</f>
        <v>5880.41</v>
      </c>
      <c r="I2211" s="5">
        <f>IFERROR(__xludf.DUMMYFUNCTION("""COMPUTED_VALUE"""),9182.54)</f>
        <v>9182.54</v>
      </c>
      <c r="J2211" s="5">
        <f>IFERROR(__xludf.DUMMYFUNCTION("""COMPUTED_VALUE"""),4759.64)</f>
        <v>4759.64</v>
      </c>
      <c r="K2211" s="5">
        <f>IFERROR(__xludf.DUMMYFUNCTION("""COMPUTED_VALUE"""),4493.08)</f>
        <v>4493.08</v>
      </c>
      <c r="L2211" s="4">
        <f>IFERROR(__xludf.DUMMYFUNCTION("""COMPUTED_VALUE"""),2.0)</f>
        <v>2</v>
      </c>
      <c r="M2211" s="4">
        <f>IFERROR(__xludf.DUMMYFUNCTION("""COMPUTED_VALUE"""),86.0)</f>
        <v>86</v>
      </c>
      <c r="N2211" s="2" t="b">
        <f>IFERROR(__xludf.DUMMYFUNCTION("""COMPUTED_VALUE"""),FALSE)</f>
        <v>0</v>
      </c>
    </row>
    <row r="2212">
      <c r="A2212" s="2">
        <f>IFERROR(__xludf.DUMMYFUNCTION("""COMPUTED_VALUE"""),2211.0)</f>
        <v>2211</v>
      </c>
      <c r="B2212" s="2" t="str">
        <f>IFERROR(__xludf.DUMMYFUNCTION("""COMPUTED_VALUE"""),"Melonie Penfold")</f>
        <v>Melonie Penfold</v>
      </c>
      <c r="C2212" s="2" t="str">
        <f>IFERROR(__xludf.DUMMYFUNCTION("""COMPUTED_VALUE"""),"mpenfold5v@whitehouse.gov")</f>
        <v>mpenfold5v@whitehouse.gov</v>
      </c>
      <c r="D2212" s="4">
        <f>IFERROR(__xludf.DUMMYFUNCTION("""COMPUTED_VALUE"""),54.0)</f>
        <v>54</v>
      </c>
      <c r="E2212" s="4">
        <f>IFERROR(__xludf.DUMMYFUNCTION("""COMPUTED_VALUE"""),56.0)</f>
        <v>56</v>
      </c>
      <c r="F2212" s="4">
        <f>IFERROR(__xludf.DUMMYFUNCTION("""COMPUTED_VALUE"""),3.0)</f>
        <v>3</v>
      </c>
      <c r="G2212" s="4">
        <f>IFERROR(__xludf.DUMMYFUNCTION("""COMPUTED_VALUE"""),514.0)</f>
        <v>514</v>
      </c>
      <c r="H2212" s="5">
        <f>IFERROR(__xludf.DUMMYFUNCTION("""COMPUTED_VALUE"""),3689.57)</f>
        <v>3689.57</v>
      </c>
      <c r="I2212" s="5">
        <f>IFERROR(__xludf.DUMMYFUNCTION("""COMPUTED_VALUE"""),1762.86)</f>
        <v>1762.86</v>
      </c>
      <c r="J2212" s="5">
        <f>IFERROR(__xludf.DUMMYFUNCTION("""COMPUTED_VALUE"""),5332.2)</f>
        <v>5332.2</v>
      </c>
      <c r="K2212" s="5">
        <f>IFERROR(__xludf.DUMMYFUNCTION("""COMPUTED_VALUE"""),5478.03)</f>
        <v>5478.03</v>
      </c>
      <c r="L2212" s="4">
        <f>IFERROR(__xludf.DUMMYFUNCTION("""COMPUTED_VALUE"""),12.0)</f>
        <v>12</v>
      </c>
      <c r="M2212" s="4">
        <f>IFERROR(__xludf.DUMMYFUNCTION("""COMPUTED_VALUE"""),27.0)</f>
        <v>27</v>
      </c>
      <c r="N2212" s="2" t="b">
        <f>IFERROR(__xludf.DUMMYFUNCTION("""COMPUTED_VALUE"""),TRUE)</f>
        <v>1</v>
      </c>
    </row>
    <row r="2213">
      <c r="A2213" s="2">
        <f>IFERROR(__xludf.DUMMYFUNCTION("""COMPUTED_VALUE"""),2212.0)</f>
        <v>2212</v>
      </c>
      <c r="B2213" s="2" t="str">
        <f>IFERROR(__xludf.DUMMYFUNCTION("""COMPUTED_VALUE"""),"Evered Blitzer")</f>
        <v>Evered Blitzer</v>
      </c>
      <c r="C2213" s="2"/>
      <c r="D2213" s="4">
        <f>IFERROR(__xludf.DUMMYFUNCTION("""COMPUTED_VALUE"""),110.0)</f>
        <v>110</v>
      </c>
      <c r="E2213" s="4">
        <f>IFERROR(__xludf.DUMMYFUNCTION("""COMPUTED_VALUE"""),56.0)</f>
        <v>56</v>
      </c>
      <c r="F2213" s="4">
        <f>IFERROR(__xludf.DUMMYFUNCTION("""COMPUTED_VALUE"""),8.0)</f>
        <v>8</v>
      </c>
      <c r="G2213" s="4">
        <f>IFERROR(__xludf.DUMMYFUNCTION("""COMPUTED_VALUE"""),1465.0)</f>
        <v>1465</v>
      </c>
      <c r="H2213" s="5">
        <f>IFERROR(__xludf.DUMMYFUNCTION("""COMPUTED_VALUE"""),2729.73)</f>
        <v>2729.73</v>
      </c>
      <c r="I2213" s="5">
        <f>IFERROR(__xludf.DUMMYFUNCTION("""COMPUTED_VALUE"""),7788.52)</f>
        <v>7788.52</v>
      </c>
      <c r="J2213" s="5">
        <f>IFERROR(__xludf.DUMMYFUNCTION("""COMPUTED_VALUE"""),3772.73)</f>
        <v>3772.73</v>
      </c>
      <c r="K2213" s="5">
        <f>IFERROR(__xludf.DUMMYFUNCTION("""COMPUTED_VALUE"""),5853.03)</f>
        <v>5853.03</v>
      </c>
      <c r="L2213" s="4">
        <f>IFERROR(__xludf.DUMMYFUNCTION("""COMPUTED_VALUE"""),13.0)</f>
        <v>13</v>
      </c>
      <c r="M2213" s="4">
        <f>IFERROR(__xludf.DUMMYFUNCTION("""COMPUTED_VALUE"""),72.0)</f>
        <v>72</v>
      </c>
      <c r="N2213" s="2" t="b">
        <f>IFERROR(__xludf.DUMMYFUNCTION("""COMPUTED_VALUE"""),FALSE)</f>
        <v>0</v>
      </c>
    </row>
    <row r="2214">
      <c r="A2214" s="2">
        <f>IFERROR(__xludf.DUMMYFUNCTION("""COMPUTED_VALUE"""),2213.0)</f>
        <v>2213</v>
      </c>
      <c r="B2214" s="2" t="str">
        <f>IFERROR(__xludf.DUMMYFUNCTION("""COMPUTED_VALUE"""),"Leta Conerding")</f>
        <v>Leta Conerding</v>
      </c>
      <c r="C2214" s="2"/>
      <c r="D2214" s="4">
        <f>IFERROR(__xludf.DUMMYFUNCTION("""COMPUTED_VALUE"""),37.0)</f>
        <v>37</v>
      </c>
      <c r="E2214" s="4">
        <f>IFERROR(__xludf.DUMMYFUNCTION("""COMPUTED_VALUE"""),113.0)</f>
        <v>113</v>
      </c>
      <c r="F2214" s="4">
        <f>IFERROR(__xludf.DUMMYFUNCTION("""COMPUTED_VALUE"""),1.0)</f>
        <v>1</v>
      </c>
      <c r="G2214" s="4">
        <f>IFERROR(__xludf.DUMMYFUNCTION("""COMPUTED_VALUE"""),718.0)</f>
        <v>718</v>
      </c>
      <c r="H2214" s="5">
        <f>IFERROR(__xludf.DUMMYFUNCTION("""COMPUTED_VALUE"""),921.31)</f>
        <v>921.31</v>
      </c>
      <c r="I2214" s="5">
        <f>IFERROR(__xludf.DUMMYFUNCTION("""COMPUTED_VALUE"""),8369.95)</f>
        <v>8369.95</v>
      </c>
      <c r="J2214" s="5">
        <f>IFERROR(__xludf.DUMMYFUNCTION("""COMPUTED_VALUE"""),9608.24)</f>
        <v>9608.24</v>
      </c>
      <c r="K2214" s="5">
        <f>IFERROR(__xludf.DUMMYFUNCTION("""COMPUTED_VALUE"""),6291.44)</f>
        <v>6291.44</v>
      </c>
      <c r="L2214" s="4">
        <f>IFERROR(__xludf.DUMMYFUNCTION("""COMPUTED_VALUE"""),2.0)</f>
        <v>2</v>
      </c>
      <c r="M2214" s="4">
        <f>IFERROR(__xludf.DUMMYFUNCTION("""COMPUTED_VALUE"""),62.0)</f>
        <v>62</v>
      </c>
      <c r="N2214" s="2" t="b">
        <f>IFERROR(__xludf.DUMMYFUNCTION("""COMPUTED_VALUE"""),TRUE)</f>
        <v>1</v>
      </c>
    </row>
    <row r="2215">
      <c r="A2215" s="2">
        <f>IFERROR(__xludf.DUMMYFUNCTION("""COMPUTED_VALUE"""),2214.0)</f>
        <v>2214</v>
      </c>
      <c r="B2215" s="2" t="str">
        <f>IFERROR(__xludf.DUMMYFUNCTION("""COMPUTED_VALUE"""),"Phyllida Behan")</f>
        <v>Phyllida Behan</v>
      </c>
      <c r="C2215" s="2"/>
      <c r="D2215" s="4">
        <f>IFERROR(__xludf.DUMMYFUNCTION("""COMPUTED_VALUE"""),129.0)</f>
        <v>129</v>
      </c>
      <c r="E2215" s="4">
        <f>IFERROR(__xludf.DUMMYFUNCTION("""COMPUTED_VALUE"""),113.0)</f>
        <v>113</v>
      </c>
      <c r="F2215" s="4">
        <f>IFERROR(__xludf.DUMMYFUNCTION("""COMPUTED_VALUE"""),1.0)</f>
        <v>1</v>
      </c>
      <c r="G2215" s="4">
        <f>IFERROR(__xludf.DUMMYFUNCTION("""COMPUTED_VALUE"""),621.0)</f>
        <v>621</v>
      </c>
      <c r="H2215" s="5">
        <f>IFERROR(__xludf.DUMMYFUNCTION("""COMPUTED_VALUE"""),699.85)</f>
        <v>699.85</v>
      </c>
      <c r="I2215" s="5">
        <f>IFERROR(__xludf.DUMMYFUNCTION("""COMPUTED_VALUE"""),212.3)</f>
        <v>212.3</v>
      </c>
      <c r="J2215" s="5">
        <f>IFERROR(__xludf.DUMMYFUNCTION("""COMPUTED_VALUE"""),3329.11)</f>
        <v>3329.11</v>
      </c>
      <c r="K2215" s="5">
        <f>IFERROR(__xludf.DUMMYFUNCTION("""COMPUTED_VALUE"""),7245.08)</f>
        <v>7245.08</v>
      </c>
      <c r="L2215" s="4">
        <f>IFERROR(__xludf.DUMMYFUNCTION("""COMPUTED_VALUE"""),1.0)</f>
        <v>1</v>
      </c>
      <c r="M2215" s="4">
        <f>IFERROR(__xludf.DUMMYFUNCTION("""COMPUTED_VALUE"""),82.0)</f>
        <v>82</v>
      </c>
      <c r="N2215" s="2" t="b">
        <f>IFERROR(__xludf.DUMMYFUNCTION("""COMPUTED_VALUE"""),TRUE)</f>
        <v>1</v>
      </c>
    </row>
    <row r="2216">
      <c r="A2216" s="2">
        <f>IFERROR(__xludf.DUMMYFUNCTION("""COMPUTED_VALUE"""),2215.0)</f>
        <v>2215</v>
      </c>
      <c r="B2216" s="2" t="str">
        <f>IFERROR(__xludf.DUMMYFUNCTION("""COMPUTED_VALUE"""),"Valentijn Ambrosi")</f>
        <v>Valentijn Ambrosi</v>
      </c>
      <c r="C2216" s="2"/>
      <c r="D2216" s="4">
        <f>IFERROR(__xludf.DUMMYFUNCTION("""COMPUTED_VALUE"""),151.0)</f>
        <v>151</v>
      </c>
      <c r="E2216" s="4">
        <f>IFERROR(__xludf.DUMMYFUNCTION("""COMPUTED_VALUE"""),96.0)</f>
        <v>96</v>
      </c>
      <c r="F2216" s="4">
        <f>IFERROR(__xludf.DUMMYFUNCTION("""COMPUTED_VALUE"""),4.0)</f>
        <v>4</v>
      </c>
      <c r="G2216" s="4">
        <f>IFERROR(__xludf.DUMMYFUNCTION("""COMPUTED_VALUE"""),1417.0)</f>
        <v>1417</v>
      </c>
      <c r="H2216" s="5">
        <f>IFERROR(__xludf.DUMMYFUNCTION("""COMPUTED_VALUE"""),3720.56)</f>
        <v>3720.56</v>
      </c>
      <c r="I2216" s="5">
        <f>IFERROR(__xludf.DUMMYFUNCTION("""COMPUTED_VALUE"""),2301.15)</f>
        <v>2301.15</v>
      </c>
      <c r="J2216" s="5">
        <f>IFERROR(__xludf.DUMMYFUNCTION("""COMPUTED_VALUE"""),9338.15)</f>
        <v>9338.15</v>
      </c>
      <c r="K2216" s="5">
        <f>IFERROR(__xludf.DUMMYFUNCTION("""COMPUTED_VALUE"""),9710.5)</f>
        <v>9710.5</v>
      </c>
      <c r="L2216" s="4">
        <f>IFERROR(__xludf.DUMMYFUNCTION("""COMPUTED_VALUE"""),18.0)</f>
        <v>18</v>
      </c>
      <c r="M2216" s="4">
        <f>IFERROR(__xludf.DUMMYFUNCTION("""COMPUTED_VALUE"""),78.0)</f>
        <v>78</v>
      </c>
      <c r="N2216" s="2" t="b">
        <f>IFERROR(__xludf.DUMMYFUNCTION("""COMPUTED_VALUE"""),FALSE)</f>
        <v>0</v>
      </c>
    </row>
    <row r="2217">
      <c r="A2217" s="2">
        <f>IFERROR(__xludf.DUMMYFUNCTION("""COMPUTED_VALUE"""),2216.0)</f>
        <v>2216</v>
      </c>
      <c r="B2217" s="2" t="str">
        <f>IFERROR(__xludf.DUMMYFUNCTION("""COMPUTED_VALUE"""),"Torin Artz")</f>
        <v>Torin Artz</v>
      </c>
      <c r="C2217" s="2"/>
      <c r="D2217" s="4">
        <f>IFERROR(__xludf.DUMMYFUNCTION("""COMPUTED_VALUE"""),33.0)</f>
        <v>33</v>
      </c>
      <c r="E2217" s="4">
        <f>IFERROR(__xludf.DUMMYFUNCTION("""COMPUTED_VALUE"""),106.0)</f>
        <v>106</v>
      </c>
      <c r="F2217" s="4">
        <f>IFERROR(__xludf.DUMMYFUNCTION("""COMPUTED_VALUE"""),12.0)</f>
        <v>12</v>
      </c>
      <c r="G2217" s="4">
        <f>IFERROR(__xludf.DUMMYFUNCTION("""COMPUTED_VALUE"""),536.0)</f>
        <v>536</v>
      </c>
      <c r="H2217" s="5">
        <f>IFERROR(__xludf.DUMMYFUNCTION("""COMPUTED_VALUE"""),2588.32)</f>
        <v>2588.32</v>
      </c>
      <c r="I2217" s="5">
        <f>IFERROR(__xludf.DUMMYFUNCTION("""COMPUTED_VALUE"""),9177.6)</f>
        <v>9177.6</v>
      </c>
      <c r="J2217" s="5">
        <f>IFERROR(__xludf.DUMMYFUNCTION("""COMPUTED_VALUE"""),2313.23)</f>
        <v>2313.23</v>
      </c>
      <c r="K2217" s="5">
        <f>IFERROR(__xludf.DUMMYFUNCTION("""COMPUTED_VALUE"""),7364.47)</f>
        <v>7364.47</v>
      </c>
      <c r="L2217" s="4">
        <f>IFERROR(__xludf.DUMMYFUNCTION("""COMPUTED_VALUE"""),20.0)</f>
        <v>20</v>
      </c>
      <c r="M2217" s="4">
        <f>IFERROR(__xludf.DUMMYFUNCTION("""COMPUTED_VALUE"""),99.0)</f>
        <v>99</v>
      </c>
      <c r="N2217" s="2" t="b">
        <f>IFERROR(__xludf.DUMMYFUNCTION("""COMPUTED_VALUE"""),FALSE)</f>
        <v>0</v>
      </c>
    </row>
    <row r="2218">
      <c r="A2218" s="2">
        <f>IFERROR(__xludf.DUMMYFUNCTION("""COMPUTED_VALUE"""),2217.0)</f>
        <v>2217</v>
      </c>
      <c r="B2218" s="2" t="str">
        <f>IFERROR(__xludf.DUMMYFUNCTION("""COMPUTED_VALUE"""),"Jim Leads")</f>
        <v>Jim Leads</v>
      </c>
      <c r="C2218" s="2" t="str">
        <f>IFERROR(__xludf.DUMMYFUNCTION("""COMPUTED_VALUE"""),"jleads61@apache.org")</f>
        <v>jleads61@apache.org</v>
      </c>
      <c r="D2218" s="4">
        <f>IFERROR(__xludf.DUMMYFUNCTION("""COMPUTED_VALUE"""),45.0)</f>
        <v>45</v>
      </c>
      <c r="E2218" s="4">
        <f>IFERROR(__xludf.DUMMYFUNCTION("""COMPUTED_VALUE"""),110.0)</f>
        <v>110</v>
      </c>
      <c r="F2218" s="4">
        <f>IFERROR(__xludf.DUMMYFUNCTION("""COMPUTED_VALUE"""),6.0)</f>
        <v>6</v>
      </c>
      <c r="G2218" s="4">
        <f>IFERROR(__xludf.DUMMYFUNCTION("""COMPUTED_VALUE"""),516.0)</f>
        <v>516</v>
      </c>
      <c r="H2218" s="5">
        <f>IFERROR(__xludf.DUMMYFUNCTION("""COMPUTED_VALUE"""),5254.17)</f>
        <v>5254.17</v>
      </c>
      <c r="I2218" s="5">
        <f>IFERROR(__xludf.DUMMYFUNCTION("""COMPUTED_VALUE"""),8710.48)</f>
        <v>8710.48</v>
      </c>
      <c r="J2218" s="5">
        <f>IFERROR(__xludf.DUMMYFUNCTION("""COMPUTED_VALUE"""),5273.2)</f>
        <v>5273.2</v>
      </c>
      <c r="K2218" s="5">
        <f>IFERROR(__xludf.DUMMYFUNCTION("""COMPUTED_VALUE"""),3681.65)</f>
        <v>3681.65</v>
      </c>
      <c r="L2218" s="4">
        <f>IFERROR(__xludf.DUMMYFUNCTION("""COMPUTED_VALUE"""),2.0)</f>
        <v>2</v>
      </c>
      <c r="M2218" s="4">
        <f>IFERROR(__xludf.DUMMYFUNCTION("""COMPUTED_VALUE"""),77.0)</f>
        <v>77</v>
      </c>
      <c r="N2218" s="2" t="b">
        <f>IFERROR(__xludf.DUMMYFUNCTION("""COMPUTED_VALUE"""),FALSE)</f>
        <v>0</v>
      </c>
    </row>
    <row r="2219">
      <c r="A2219" s="2">
        <f>IFERROR(__xludf.DUMMYFUNCTION("""COMPUTED_VALUE"""),2218.0)</f>
        <v>2218</v>
      </c>
      <c r="B2219" s="2" t="str">
        <f>IFERROR(__xludf.DUMMYFUNCTION("""COMPUTED_VALUE"""),"Nadya Vanyakin")</f>
        <v>Nadya Vanyakin</v>
      </c>
      <c r="C2219" s="2"/>
      <c r="D2219" s="4">
        <f>IFERROR(__xludf.DUMMYFUNCTION("""COMPUTED_VALUE"""),42.0)</f>
        <v>42</v>
      </c>
      <c r="E2219" s="4">
        <f>IFERROR(__xludf.DUMMYFUNCTION("""COMPUTED_VALUE"""),102.0)</f>
        <v>102</v>
      </c>
      <c r="F2219" s="4">
        <f>IFERROR(__xludf.DUMMYFUNCTION("""COMPUTED_VALUE"""),13.0)</f>
        <v>13</v>
      </c>
      <c r="G2219" s="4">
        <f>IFERROR(__xludf.DUMMYFUNCTION("""COMPUTED_VALUE"""),782.0)</f>
        <v>782</v>
      </c>
      <c r="H2219" s="5">
        <f>IFERROR(__xludf.DUMMYFUNCTION("""COMPUTED_VALUE"""),8086.54)</f>
        <v>8086.54</v>
      </c>
      <c r="I2219" s="5">
        <f>IFERROR(__xludf.DUMMYFUNCTION("""COMPUTED_VALUE"""),2466.86)</f>
        <v>2466.86</v>
      </c>
      <c r="J2219" s="5">
        <f>IFERROR(__xludf.DUMMYFUNCTION("""COMPUTED_VALUE"""),8265.61)</f>
        <v>8265.61</v>
      </c>
      <c r="K2219" s="5">
        <f>IFERROR(__xludf.DUMMYFUNCTION("""COMPUTED_VALUE"""),5009.82)</f>
        <v>5009.82</v>
      </c>
      <c r="L2219" s="4">
        <f>IFERROR(__xludf.DUMMYFUNCTION("""COMPUTED_VALUE"""),7.0)</f>
        <v>7</v>
      </c>
      <c r="M2219" s="4">
        <f>IFERROR(__xludf.DUMMYFUNCTION("""COMPUTED_VALUE"""),30.0)</f>
        <v>30</v>
      </c>
      <c r="N2219" s="2" t="b">
        <f>IFERROR(__xludf.DUMMYFUNCTION("""COMPUTED_VALUE"""),FALSE)</f>
        <v>0</v>
      </c>
    </row>
    <row r="2220">
      <c r="A2220" s="2">
        <f>IFERROR(__xludf.DUMMYFUNCTION("""COMPUTED_VALUE"""),2219.0)</f>
        <v>2219</v>
      </c>
      <c r="B2220" s="2" t="str">
        <f>IFERROR(__xludf.DUMMYFUNCTION("""COMPUTED_VALUE"""),"Issi Gatlin")</f>
        <v>Issi Gatlin</v>
      </c>
      <c r="C2220" s="2"/>
      <c r="D2220" s="4">
        <f>IFERROR(__xludf.DUMMYFUNCTION("""COMPUTED_VALUE"""),1.0)</f>
        <v>1</v>
      </c>
      <c r="E2220" s="4">
        <f>IFERROR(__xludf.DUMMYFUNCTION("""COMPUTED_VALUE"""),86.0)</f>
        <v>86</v>
      </c>
      <c r="F2220" s="4">
        <f>IFERROR(__xludf.DUMMYFUNCTION("""COMPUTED_VALUE"""),13.0)</f>
        <v>13</v>
      </c>
      <c r="G2220" s="4">
        <f>IFERROR(__xludf.DUMMYFUNCTION("""COMPUTED_VALUE"""),754.0)</f>
        <v>754</v>
      </c>
      <c r="H2220" s="5">
        <f>IFERROR(__xludf.DUMMYFUNCTION("""COMPUTED_VALUE"""),7276.41)</f>
        <v>7276.41</v>
      </c>
      <c r="I2220" s="5">
        <f>IFERROR(__xludf.DUMMYFUNCTION("""COMPUTED_VALUE"""),8547.18)</f>
        <v>8547.18</v>
      </c>
      <c r="J2220" s="5">
        <f>IFERROR(__xludf.DUMMYFUNCTION("""COMPUTED_VALUE"""),4863.08)</f>
        <v>4863.08</v>
      </c>
      <c r="K2220" s="5">
        <f>IFERROR(__xludf.DUMMYFUNCTION("""COMPUTED_VALUE"""),1601.87)</f>
        <v>1601.87</v>
      </c>
      <c r="L2220" s="4">
        <f>IFERROR(__xludf.DUMMYFUNCTION("""COMPUTED_VALUE"""),3.0)</f>
        <v>3</v>
      </c>
      <c r="M2220" s="4">
        <f>IFERROR(__xludf.DUMMYFUNCTION("""COMPUTED_VALUE"""),55.0)</f>
        <v>55</v>
      </c>
      <c r="N2220" s="2" t="b">
        <f>IFERROR(__xludf.DUMMYFUNCTION("""COMPUTED_VALUE"""),TRUE)</f>
        <v>1</v>
      </c>
    </row>
    <row r="2221">
      <c r="A2221" s="2">
        <f>IFERROR(__xludf.DUMMYFUNCTION("""COMPUTED_VALUE"""),2220.0)</f>
        <v>2220</v>
      </c>
      <c r="B2221" s="2" t="str">
        <f>IFERROR(__xludf.DUMMYFUNCTION("""COMPUTED_VALUE"""),"Darrell Kosel")</f>
        <v>Darrell Kosel</v>
      </c>
      <c r="C2221" s="2" t="str">
        <f>IFERROR(__xludf.DUMMYFUNCTION("""COMPUTED_VALUE"""),"dkosel64@lulu.com")</f>
        <v>dkosel64@lulu.com</v>
      </c>
      <c r="D2221" s="4">
        <f>IFERROR(__xludf.DUMMYFUNCTION("""COMPUTED_VALUE"""),7.0)</f>
        <v>7</v>
      </c>
      <c r="E2221" s="4">
        <f>IFERROR(__xludf.DUMMYFUNCTION("""COMPUTED_VALUE"""),8.0)</f>
        <v>8</v>
      </c>
      <c r="F2221" s="4">
        <f>IFERROR(__xludf.DUMMYFUNCTION("""COMPUTED_VALUE"""),6.0)</f>
        <v>6</v>
      </c>
      <c r="G2221" s="4">
        <f>IFERROR(__xludf.DUMMYFUNCTION("""COMPUTED_VALUE"""),413.0)</f>
        <v>413</v>
      </c>
      <c r="H2221" s="5">
        <f>IFERROR(__xludf.DUMMYFUNCTION("""COMPUTED_VALUE"""),7083.05)</f>
        <v>7083.05</v>
      </c>
      <c r="I2221" s="5">
        <f>IFERROR(__xludf.DUMMYFUNCTION("""COMPUTED_VALUE"""),2766.91)</f>
        <v>2766.91</v>
      </c>
      <c r="J2221" s="5">
        <f>IFERROR(__xludf.DUMMYFUNCTION("""COMPUTED_VALUE"""),5821.06)</f>
        <v>5821.06</v>
      </c>
      <c r="K2221" s="5">
        <f>IFERROR(__xludf.DUMMYFUNCTION("""COMPUTED_VALUE"""),7683.98)</f>
        <v>7683.98</v>
      </c>
      <c r="L2221" s="4">
        <f>IFERROR(__xludf.DUMMYFUNCTION("""COMPUTED_VALUE"""),3.0)</f>
        <v>3</v>
      </c>
      <c r="M2221" s="4">
        <f>IFERROR(__xludf.DUMMYFUNCTION("""COMPUTED_VALUE"""),45.0)</f>
        <v>45</v>
      </c>
      <c r="N2221" s="2" t="b">
        <f>IFERROR(__xludf.DUMMYFUNCTION("""COMPUTED_VALUE"""),FALSE)</f>
        <v>0</v>
      </c>
    </row>
    <row r="2222">
      <c r="A2222" s="2">
        <f>IFERROR(__xludf.DUMMYFUNCTION("""COMPUTED_VALUE"""),2221.0)</f>
        <v>2221</v>
      </c>
      <c r="B2222" s="2" t="str">
        <f>IFERROR(__xludf.DUMMYFUNCTION("""COMPUTED_VALUE"""),"Daffy Sichardt")</f>
        <v>Daffy Sichardt</v>
      </c>
      <c r="C2222" s="2"/>
      <c r="D2222" s="4">
        <f>IFERROR(__xludf.DUMMYFUNCTION("""COMPUTED_VALUE"""),15.0)</f>
        <v>15</v>
      </c>
      <c r="E2222" s="4">
        <f>IFERROR(__xludf.DUMMYFUNCTION("""COMPUTED_VALUE"""),20.0)</f>
        <v>20</v>
      </c>
      <c r="F2222" s="4">
        <f>IFERROR(__xludf.DUMMYFUNCTION("""COMPUTED_VALUE"""),5.0)</f>
        <v>5</v>
      </c>
      <c r="G2222" s="4">
        <f>IFERROR(__xludf.DUMMYFUNCTION("""COMPUTED_VALUE"""),1113.0)</f>
        <v>1113</v>
      </c>
      <c r="H2222" s="5">
        <f>IFERROR(__xludf.DUMMYFUNCTION("""COMPUTED_VALUE"""),7551.36)</f>
        <v>7551.36</v>
      </c>
      <c r="I2222" s="5">
        <f>IFERROR(__xludf.DUMMYFUNCTION("""COMPUTED_VALUE"""),3557.78)</f>
        <v>3557.78</v>
      </c>
      <c r="J2222" s="5">
        <f>IFERROR(__xludf.DUMMYFUNCTION("""COMPUTED_VALUE"""),2510.91)</f>
        <v>2510.91</v>
      </c>
      <c r="K2222" s="5">
        <f>IFERROR(__xludf.DUMMYFUNCTION("""COMPUTED_VALUE"""),9060.32)</f>
        <v>9060.32</v>
      </c>
      <c r="L2222" s="4">
        <f>IFERROR(__xludf.DUMMYFUNCTION("""COMPUTED_VALUE"""),16.0)</f>
        <v>16</v>
      </c>
      <c r="M2222" s="4">
        <f>IFERROR(__xludf.DUMMYFUNCTION("""COMPUTED_VALUE"""),49.0)</f>
        <v>49</v>
      </c>
      <c r="N2222" s="2" t="b">
        <f>IFERROR(__xludf.DUMMYFUNCTION("""COMPUTED_VALUE"""),TRUE)</f>
        <v>1</v>
      </c>
    </row>
    <row r="2223">
      <c r="A2223" s="2">
        <f>IFERROR(__xludf.DUMMYFUNCTION("""COMPUTED_VALUE"""),2222.0)</f>
        <v>2222</v>
      </c>
      <c r="B2223" s="2" t="str">
        <f>IFERROR(__xludf.DUMMYFUNCTION("""COMPUTED_VALUE"""),"Nico Luca")</f>
        <v>Nico Luca</v>
      </c>
      <c r="C2223" s="2" t="str">
        <f>IFERROR(__xludf.DUMMYFUNCTION("""COMPUTED_VALUE"""),"nluca66@wordpress.com")</f>
        <v>nluca66@wordpress.com</v>
      </c>
      <c r="D2223" s="4">
        <f>IFERROR(__xludf.DUMMYFUNCTION("""COMPUTED_VALUE"""),150.0)</f>
        <v>150</v>
      </c>
      <c r="E2223" s="4">
        <f>IFERROR(__xludf.DUMMYFUNCTION("""COMPUTED_VALUE"""),76.0)</f>
        <v>76</v>
      </c>
      <c r="F2223" s="4">
        <f>IFERROR(__xludf.DUMMYFUNCTION("""COMPUTED_VALUE"""),8.0)</f>
        <v>8</v>
      </c>
      <c r="G2223" s="4">
        <f>IFERROR(__xludf.DUMMYFUNCTION("""COMPUTED_VALUE"""),862.0)</f>
        <v>862</v>
      </c>
      <c r="H2223" s="5">
        <f>IFERROR(__xludf.DUMMYFUNCTION("""COMPUTED_VALUE"""),2265.3)</f>
        <v>2265.3</v>
      </c>
      <c r="I2223" s="5">
        <f>IFERROR(__xludf.DUMMYFUNCTION("""COMPUTED_VALUE"""),6107.51)</f>
        <v>6107.51</v>
      </c>
      <c r="J2223" s="5">
        <f>IFERROR(__xludf.DUMMYFUNCTION("""COMPUTED_VALUE"""),3185.95)</f>
        <v>3185.95</v>
      </c>
      <c r="K2223" s="5">
        <f>IFERROR(__xludf.DUMMYFUNCTION("""COMPUTED_VALUE"""),2003.23)</f>
        <v>2003.23</v>
      </c>
      <c r="L2223" s="4">
        <f>IFERROR(__xludf.DUMMYFUNCTION("""COMPUTED_VALUE"""),20.0)</f>
        <v>20</v>
      </c>
      <c r="M2223" s="4">
        <f>IFERROR(__xludf.DUMMYFUNCTION("""COMPUTED_VALUE"""),87.0)</f>
        <v>87</v>
      </c>
      <c r="N2223" s="2" t="b">
        <f>IFERROR(__xludf.DUMMYFUNCTION("""COMPUTED_VALUE"""),FALSE)</f>
        <v>0</v>
      </c>
    </row>
    <row r="2224">
      <c r="A2224" s="2">
        <f>IFERROR(__xludf.DUMMYFUNCTION("""COMPUTED_VALUE"""),2223.0)</f>
        <v>2223</v>
      </c>
      <c r="B2224" s="2" t="str">
        <f>IFERROR(__xludf.DUMMYFUNCTION("""COMPUTED_VALUE"""),"Saxe Sibbons")</f>
        <v>Saxe Sibbons</v>
      </c>
      <c r="C2224" s="2" t="str">
        <f>IFERROR(__xludf.DUMMYFUNCTION("""COMPUTED_VALUE"""),"ssibbons67@wix.com")</f>
        <v>ssibbons67@wix.com</v>
      </c>
      <c r="D2224" s="4">
        <f>IFERROR(__xludf.DUMMYFUNCTION("""COMPUTED_VALUE"""),53.0)</f>
        <v>53</v>
      </c>
      <c r="E2224" s="4">
        <f>IFERROR(__xludf.DUMMYFUNCTION("""COMPUTED_VALUE"""),33.0)</f>
        <v>33</v>
      </c>
      <c r="F2224" s="4">
        <f>IFERROR(__xludf.DUMMYFUNCTION("""COMPUTED_VALUE"""),3.0)</f>
        <v>3</v>
      </c>
      <c r="G2224" s="4">
        <f>IFERROR(__xludf.DUMMYFUNCTION("""COMPUTED_VALUE"""),1389.0)</f>
        <v>1389</v>
      </c>
      <c r="H2224" s="5">
        <f>IFERROR(__xludf.DUMMYFUNCTION("""COMPUTED_VALUE"""),9540.16)</f>
        <v>9540.16</v>
      </c>
      <c r="I2224" s="5">
        <f>IFERROR(__xludf.DUMMYFUNCTION("""COMPUTED_VALUE"""),543.06)</f>
        <v>543.06</v>
      </c>
      <c r="J2224" s="5">
        <f>IFERROR(__xludf.DUMMYFUNCTION("""COMPUTED_VALUE"""),9228.09)</f>
        <v>9228.09</v>
      </c>
      <c r="K2224" s="5">
        <f>IFERROR(__xludf.DUMMYFUNCTION("""COMPUTED_VALUE"""),5252.65)</f>
        <v>5252.65</v>
      </c>
      <c r="L2224" s="4">
        <f>IFERROR(__xludf.DUMMYFUNCTION("""COMPUTED_VALUE"""),13.0)</f>
        <v>13</v>
      </c>
      <c r="M2224" s="4">
        <f>IFERROR(__xludf.DUMMYFUNCTION("""COMPUTED_VALUE"""),16.0)</f>
        <v>16</v>
      </c>
      <c r="N2224" s="2" t="b">
        <f>IFERROR(__xludf.DUMMYFUNCTION("""COMPUTED_VALUE"""),FALSE)</f>
        <v>0</v>
      </c>
    </row>
    <row r="2225">
      <c r="A2225" s="2">
        <f>IFERROR(__xludf.DUMMYFUNCTION("""COMPUTED_VALUE"""),2224.0)</f>
        <v>2224</v>
      </c>
      <c r="B2225" s="2" t="str">
        <f>IFERROR(__xludf.DUMMYFUNCTION("""COMPUTED_VALUE"""),"Jimmy Tanton")</f>
        <v>Jimmy Tanton</v>
      </c>
      <c r="C2225" s="2"/>
      <c r="D2225" s="4">
        <f>IFERROR(__xludf.DUMMYFUNCTION("""COMPUTED_VALUE"""),129.0)</f>
        <v>129</v>
      </c>
      <c r="E2225" s="4">
        <f>IFERROR(__xludf.DUMMYFUNCTION("""COMPUTED_VALUE"""),57.0)</f>
        <v>57</v>
      </c>
      <c r="F2225" s="4">
        <f>IFERROR(__xludf.DUMMYFUNCTION("""COMPUTED_VALUE"""),12.0)</f>
        <v>12</v>
      </c>
      <c r="G2225" s="4">
        <f>IFERROR(__xludf.DUMMYFUNCTION("""COMPUTED_VALUE"""),643.0)</f>
        <v>643</v>
      </c>
      <c r="H2225" s="5">
        <f>IFERROR(__xludf.DUMMYFUNCTION("""COMPUTED_VALUE"""),2357.77)</f>
        <v>2357.77</v>
      </c>
      <c r="I2225" s="5">
        <f>IFERROR(__xludf.DUMMYFUNCTION("""COMPUTED_VALUE"""),5853.54)</f>
        <v>5853.54</v>
      </c>
      <c r="J2225" s="5">
        <f>IFERROR(__xludf.DUMMYFUNCTION("""COMPUTED_VALUE"""),3047.64)</f>
        <v>3047.64</v>
      </c>
      <c r="K2225" s="5">
        <f>IFERROR(__xludf.DUMMYFUNCTION("""COMPUTED_VALUE"""),8324.09)</f>
        <v>8324.09</v>
      </c>
      <c r="L2225" s="4">
        <f>IFERROR(__xludf.DUMMYFUNCTION("""COMPUTED_VALUE"""),11.0)</f>
        <v>11</v>
      </c>
      <c r="M2225" s="4">
        <f>IFERROR(__xludf.DUMMYFUNCTION("""COMPUTED_VALUE"""),78.0)</f>
        <v>78</v>
      </c>
      <c r="N2225" s="2" t="b">
        <f>IFERROR(__xludf.DUMMYFUNCTION("""COMPUTED_VALUE"""),FALSE)</f>
        <v>0</v>
      </c>
    </row>
    <row r="2226">
      <c r="A2226" s="2">
        <f>IFERROR(__xludf.DUMMYFUNCTION("""COMPUTED_VALUE"""),2225.0)</f>
        <v>2225</v>
      </c>
      <c r="B2226" s="2" t="str">
        <f>IFERROR(__xludf.DUMMYFUNCTION("""COMPUTED_VALUE"""),"Wolfie Pull")</f>
        <v>Wolfie Pull</v>
      </c>
      <c r="C2226" s="2" t="str">
        <f>IFERROR(__xludf.DUMMYFUNCTION("""COMPUTED_VALUE"""),"wpull69@opensource.org")</f>
        <v>wpull69@opensource.org</v>
      </c>
      <c r="D2226" s="4">
        <f>IFERROR(__xludf.DUMMYFUNCTION("""COMPUTED_VALUE"""),128.0)</f>
        <v>128</v>
      </c>
      <c r="E2226" s="4">
        <f>IFERROR(__xludf.DUMMYFUNCTION("""COMPUTED_VALUE"""),105.0)</f>
        <v>105</v>
      </c>
      <c r="F2226" s="4">
        <f>IFERROR(__xludf.DUMMYFUNCTION("""COMPUTED_VALUE"""),3.0)</f>
        <v>3</v>
      </c>
      <c r="G2226" s="4">
        <f>IFERROR(__xludf.DUMMYFUNCTION("""COMPUTED_VALUE"""),1303.0)</f>
        <v>1303</v>
      </c>
      <c r="H2226" s="5">
        <f>IFERROR(__xludf.DUMMYFUNCTION("""COMPUTED_VALUE"""),9945.95)</f>
        <v>9945.95</v>
      </c>
      <c r="I2226" s="5">
        <f>IFERROR(__xludf.DUMMYFUNCTION("""COMPUTED_VALUE"""),2769.51)</f>
        <v>2769.51</v>
      </c>
      <c r="J2226" s="5">
        <f>IFERROR(__xludf.DUMMYFUNCTION("""COMPUTED_VALUE"""),4966.77)</f>
        <v>4966.77</v>
      </c>
      <c r="K2226" s="5">
        <f>IFERROR(__xludf.DUMMYFUNCTION("""COMPUTED_VALUE"""),3950.38)</f>
        <v>3950.38</v>
      </c>
      <c r="L2226" s="4">
        <f>IFERROR(__xludf.DUMMYFUNCTION("""COMPUTED_VALUE"""),10.0)</f>
        <v>10</v>
      </c>
      <c r="M2226" s="4">
        <f>IFERROR(__xludf.DUMMYFUNCTION("""COMPUTED_VALUE"""),23.0)</f>
        <v>23</v>
      </c>
      <c r="N2226" s="2" t="b">
        <f>IFERROR(__xludf.DUMMYFUNCTION("""COMPUTED_VALUE"""),TRUE)</f>
        <v>1</v>
      </c>
    </row>
    <row r="2227">
      <c r="A2227" s="2">
        <f>IFERROR(__xludf.DUMMYFUNCTION("""COMPUTED_VALUE"""),2226.0)</f>
        <v>2226</v>
      </c>
      <c r="B2227" s="2" t="str">
        <f>IFERROR(__xludf.DUMMYFUNCTION("""COMPUTED_VALUE"""),"Marty Vlasov")</f>
        <v>Marty Vlasov</v>
      </c>
      <c r="C2227" s="2" t="str">
        <f>IFERROR(__xludf.DUMMYFUNCTION("""COMPUTED_VALUE"""),"mvlasov6a@blogs.com")</f>
        <v>mvlasov6a@blogs.com</v>
      </c>
      <c r="D2227" s="4">
        <f>IFERROR(__xludf.DUMMYFUNCTION("""COMPUTED_VALUE"""),96.0)</f>
        <v>96</v>
      </c>
      <c r="E2227" s="4">
        <f>IFERROR(__xludf.DUMMYFUNCTION("""COMPUTED_VALUE"""),75.0)</f>
        <v>75</v>
      </c>
      <c r="F2227" s="4">
        <f>IFERROR(__xludf.DUMMYFUNCTION("""COMPUTED_VALUE"""),3.0)</f>
        <v>3</v>
      </c>
      <c r="G2227" s="4">
        <f>IFERROR(__xludf.DUMMYFUNCTION("""COMPUTED_VALUE"""),1510.0)</f>
        <v>1510</v>
      </c>
      <c r="H2227" s="5">
        <f>IFERROR(__xludf.DUMMYFUNCTION("""COMPUTED_VALUE"""),8052.66)</f>
        <v>8052.66</v>
      </c>
      <c r="I2227" s="5">
        <f>IFERROR(__xludf.DUMMYFUNCTION("""COMPUTED_VALUE"""),2877.44)</f>
        <v>2877.44</v>
      </c>
      <c r="J2227" s="5">
        <f>IFERROR(__xludf.DUMMYFUNCTION("""COMPUTED_VALUE"""),8640.64)</f>
        <v>8640.64</v>
      </c>
      <c r="K2227" s="5">
        <f>IFERROR(__xludf.DUMMYFUNCTION("""COMPUTED_VALUE"""),1539.51)</f>
        <v>1539.51</v>
      </c>
      <c r="L2227" s="4">
        <f>IFERROR(__xludf.DUMMYFUNCTION("""COMPUTED_VALUE"""),9.0)</f>
        <v>9</v>
      </c>
      <c r="M2227" s="4">
        <f>IFERROR(__xludf.DUMMYFUNCTION("""COMPUTED_VALUE"""),39.0)</f>
        <v>39</v>
      </c>
      <c r="N2227" s="2" t="b">
        <f>IFERROR(__xludf.DUMMYFUNCTION("""COMPUTED_VALUE"""),TRUE)</f>
        <v>1</v>
      </c>
    </row>
    <row r="2228">
      <c r="A2228" s="2">
        <f>IFERROR(__xludf.DUMMYFUNCTION("""COMPUTED_VALUE"""),2227.0)</f>
        <v>2227</v>
      </c>
      <c r="B2228" s="2" t="str">
        <f>IFERROR(__xludf.DUMMYFUNCTION("""COMPUTED_VALUE"""),"Babara Vala")</f>
        <v>Babara Vala</v>
      </c>
      <c r="C2228" s="2"/>
      <c r="D2228" s="4">
        <f>IFERROR(__xludf.DUMMYFUNCTION("""COMPUTED_VALUE"""),155.0)</f>
        <v>155</v>
      </c>
      <c r="E2228" s="4">
        <f>IFERROR(__xludf.DUMMYFUNCTION("""COMPUTED_VALUE"""),74.0)</f>
        <v>74</v>
      </c>
      <c r="F2228" s="4">
        <f>IFERROR(__xludf.DUMMYFUNCTION("""COMPUTED_VALUE"""),4.0)</f>
        <v>4</v>
      </c>
      <c r="G2228" s="4">
        <f>IFERROR(__xludf.DUMMYFUNCTION("""COMPUTED_VALUE"""),1022.0)</f>
        <v>1022</v>
      </c>
      <c r="H2228" s="5">
        <f>IFERROR(__xludf.DUMMYFUNCTION("""COMPUTED_VALUE"""),5800.17)</f>
        <v>5800.17</v>
      </c>
      <c r="I2228" s="5">
        <f>IFERROR(__xludf.DUMMYFUNCTION("""COMPUTED_VALUE"""),7047.83)</f>
        <v>7047.83</v>
      </c>
      <c r="J2228" s="5">
        <f>IFERROR(__xludf.DUMMYFUNCTION("""COMPUTED_VALUE"""),578.84)</f>
        <v>578.84</v>
      </c>
      <c r="K2228" s="5">
        <f>IFERROR(__xludf.DUMMYFUNCTION("""COMPUTED_VALUE"""),377.34)</f>
        <v>377.34</v>
      </c>
      <c r="L2228" s="4">
        <f>IFERROR(__xludf.DUMMYFUNCTION("""COMPUTED_VALUE"""),5.0)</f>
        <v>5</v>
      </c>
      <c r="M2228" s="4">
        <f>IFERROR(__xludf.DUMMYFUNCTION("""COMPUTED_VALUE"""),34.0)</f>
        <v>34</v>
      </c>
      <c r="N2228" s="2" t="b">
        <f>IFERROR(__xludf.DUMMYFUNCTION("""COMPUTED_VALUE"""),TRUE)</f>
        <v>1</v>
      </c>
    </row>
    <row r="2229">
      <c r="A2229" s="2">
        <f>IFERROR(__xludf.DUMMYFUNCTION("""COMPUTED_VALUE"""),2228.0)</f>
        <v>2228</v>
      </c>
      <c r="B2229" s="2" t="str">
        <f>IFERROR(__xludf.DUMMYFUNCTION("""COMPUTED_VALUE"""),"Marlowe Phear")</f>
        <v>Marlowe Phear</v>
      </c>
      <c r="C2229" s="2" t="str">
        <f>IFERROR(__xludf.DUMMYFUNCTION("""COMPUTED_VALUE"""),"mphear6c@noaa.gov")</f>
        <v>mphear6c@noaa.gov</v>
      </c>
      <c r="D2229" s="4">
        <f>IFERROR(__xludf.DUMMYFUNCTION("""COMPUTED_VALUE"""),144.0)</f>
        <v>144</v>
      </c>
      <c r="E2229" s="4">
        <f>IFERROR(__xludf.DUMMYFUNCTION("""COMPUTED_VALUE"""),49.0)</f>
        <v>49</v>
      </c>
      <c r="F2229" s="4">
        <f>IFERROR(__xludf.DUMMYFUNCTION("""COMPUTED_VALUE"""),13.0)</f>
        <v>13</v>
      </c>
      <c r="G2229" s="4">
        <f>IFERROR(__xludf.DUMMYFUNCTION("""COMPUTED_VALUE"""),1564.0)</f>
        <v>1564</v>
      </c>
      <c r="H2229" s="5">
        <f>IFERROR(__xludf.DUMMYFUNCTION("""COMPUTED_VALUE"""),7160.5)</f>
        <v>7160.5</v>
      </c>
      <c r="I2229" s="5">
        <f>IFERROR(__xludf.DUMMYFUNCTION("""COMPUTED_VALUE"""),6888.98)</f>
        <v>6888.98</v>
      </c>
      <c r="J2229" s="5">
        <f>IFERROR(__xludf.DUMMYFUNCTION("""COMPUTED_VALUE"""),1202.53)</f>
        <v>1202.53</v>
      </c>
      <c r="K2229" s="5">
        <f>IFERROR(__xludf.DUMMYFUNCTION("""COMPUTED_VALUE"""),3119.48)</f>
        <v>3119.48</v>
      </c>
      <c r="L2229" s="4">
        <f>IFERROR(__xludf.DUMMYFUNCTION("""COMPUTED_VALUE"""),2.0)</f>
        <v>2</v>
      </c>
      <c r="M2229" s="4">
        <f>IFERROR(__xludf.DUMMYFUNCTION("""COMPUTED_VALUE"""),20.0)</f>
        <v>20</v>
      </c>
      <c r="N2229" s="2" t="b">
        <f>IFERROR(__xludf.DUMMYFUNCTION("""COMPUTED_VALUE"""),TRUE)</f>
        <v>1</v>
      </c>
    </row>
    <row r="2230">
      <c r="A2230" s="2">
        <f>IFERROR(__xludf.DUMMYFUNCTION("""COMPUTED_VALUE"""),2229.0)</f>
        <v>2229</v>
      </c>
      <c r="B2230" s="2" t="str">
        <f>IFERROR(__xludf.DUMMYFUNCTION("""COMPUTED_VALUE"""),"Wylie Cutriss")</f>
        <v>Wylie Cutriss</v>
      </c>
      <c r="C2230" s="2" t="str">
        <f>IFERROR(__xludf.DUMMYFUNCTION("""COMPUTED_VALUE"""),"wcutriss6d@paypal.com")</f>
        <v>wcutriss6d@paypal.com</v>
      </c>
      <c r="D2230" s="4">
        <f>IFERROR(__xludf.DUMMYFUNCTION("""COMPUTED_VALUE"""),117.0)</f>
        <v>117</v>
      </c>
      <c r="E2230" s="4">
        <f>IFERROR(__xludf.DUMMYFUNCTION("""COMPUTED_VALUE"""),91.0)</f>
        <v>91</v>
      </c>
      <c r="F2230" s="4">
        <f>IFERROR(__xludf.DUMMYFUNCTION("""COMPUTED_VALUE"""),7.0)</f>
        <v>7</v>
      </c>
      <c r="G2230" s="4">
        <f>IFERROR(__xludf.DUMMYFUNCTION("""COMPUTED_VALUE"""),134.0)</f>
        <v>134</v>
      </c>
      <c r="H2230" s="5">
        <f>IFERROR(__xludf.DUMMYFUNCTION("""COMPUTED_VALUE"""),8559.12)</f>
        <v>8559.12</v>
      </c>
      <c r="I2230" s="5">
        <f>IFERROR(__xludf.DUMMYFUNCTION("""COMPUTED_VALUE"""),9033.93)</f>
        <v>9033.93</v>
      </c>
      <c r="J2230" s="5">
        <f>IFERROR(__xludf.DUMMYFUNCTION("""COMPUTED_VALUE"""),3143.99)</f>
        <v>3143.99</v>
      </c>
      <c r="K2230" s="5">
        <f>IFERROR(__xludf.DUMMYFUNCTION("""COMPUTED_VALUE"""),8525.82)</f>
        <v>8525.82</v>
      </c>
      <c r="L2230" s="4">
        <f>IFERROR(__xludf.DUMMYFUNCTION("""COMPUTED_VALUE"""),20.0)</f>
        <v>20</v>
      </c>
      <c r="M2230" s="4">
        <f>IFERROR(__xludf.DUMMYFUNCTION("""COMPUTED_VALUE"""),48.0)</f>
        <v>48</v>
      </c>
      <c r="N2230" s="2" t="b">
        <f>IFERROR(__xludf.DUMMYFUNCTION("""COMPUTED_VALUE"""),TRUE)</f>
        <v>1</v>
      </c>
    </row>
    <row r="2231">
      <c r="A2231" s="2">
        <f>IFERROR(__xludf.DUMMYFUNCTION("""COMPUTED_VALUE"""),2230.0)</f>
        <v>2230</v>
      </c>
      <c r="B2231" s="2" t="str">
        <f>IFERROR(__xludf.DUMMYFUNCTION("""COMPUTED_VALUE"""),"Melanie Melliard")</f>
        <v>Melanie Melliard</v>
      </c>
      <c r="C2231" s="2" t="str">
        <f>IFERROR(__xludf.DUMMYFUNCTION("""COMPUTED_VALUE"""),"mmelliard6e@constantcontact.com")</f>
        <v>mmelliard6e@constantcontact.com</v>
      </c>
      <c r="D2231" s="4">
        <f>IFERROR(__xludf.DUMMYFUNCTION("""COMPUTED_VALUE"""),20.0)</f>
        <v>20</v>
      </c>
      <c r="E2231" s="4">
        <f>IFERROR(__xludf.DUMMYFUNCTION("""COMPUTED_VALUE"""),36.0)</f>
        <v>36</v>
      </c>
      <c r="F2231" s="4">
        <f>IFERROR(__xludf.DUMMYFUNCTION("""COMPUTED_VALUE"""),3.0)</f>
        <v>3</v>
      </c>
      <c r="G2231" s="4">
        <f>IFERROR(__xludf.DUMMYFUNCTION("""COMPUTED_VALUE"""),602.0)</f>
        <v>602</v>
      </c>
      <c r="H2231" s="5">
        <f>IFERROR(__xludf.DUMMYFUNCTION("""COMPUTED_VALUE"""),319.57)</f>
        <v>319.57</v>
      </c>
      <c r="I2231" s="5">
        <f>IFERROR(__xludf.DUMMYFUNCTION("""COMPUTED_VALUE"""),5953.85)</f>
        <v>5953.85</v>
      </c>
      <c r="J2231" s="5">
        <f>IFERROR(__xludf.DUMMYFUNCTION("""COMPUTED_VALUE"""),291.85)</f>
        <v>291.85</v>
      </c>
      <c r="K2231" s="5">
        <f>IFERROR(__xludf.DUMMYFUNCTION("""COMPUTED_VALUE"""),6498.44)</f>
        <v>6498.44</v>
      </c>
      <c r="L2231" s="4">
        <f>IFERROR(__xludf.DUMMYFUNCTION("""COMPUTED_VALUE"""),13.0)</f>
        <v>13</v>
      </c>
      <c r="M2231" s="4">
        <f>IFERROR(__xludf.DUMMYFUNCTION("""COMPUTED_VALUE"""),23.0)</f>
        <v>23</v>
      </c>
      <c r="N2231" s="2" t="b">
        <f>IFERROR(__xludf.DUMMYFUNCTION("""COMPUTED_VALUE"""),TRUE)</f>
        <v>1</v>
      </c>
    </row>
    <row r="2232">
      <c r="A2232" s="2">
        <f>IFERROR(__xludf.DUMMYFUNCTION("""COMPUTED_VALUE"""),2231.0)</f>
        <v>2231</v>
      </c>
      <c r="B2232" s="2" t="str">
        <f>IFERROR(__xludf.DUMMYFUNCTION("""COMPUTED_VALUE"""),"Callida Orgen")</f>
        <v>Callida Orgen</v>
      </c>
      <c r="C2232" s="2" t="str">
        <f>IFERROR(__xludf.DUMMYFUNCTION("""COMPUTED_VALUE"""),"corgen6f@dot.gov")</f>
        <v>corgen6f@dot.gov</v>
      </c>
      <c r="D2232" s="4">
        <f>IFERROR(__xludf.DUMMYFUNCTION("""COMPUTED_VALUE"""),46.0)</f>
        <v>46</v>
      </c>
      <c r="E2232" s="4">
        <f>IFERROR(__xludf.DUMMYFUNCTION("""COMPUTED_VALUE"""),74.0)</f>
        <v>74</v>
      </c>
      <c r="F2232" s="4">
        <f>IFERROR(__xludf.DUMMYFUNCTION("""COMPUTED_VALUE"""),6.0)</f>
        <v>6</v>
      </c>
      <c r="G2232" s="4">
        <f>IFERROR(__xludf.DUMMYFUNCTION("""COMPUTED_VALUE"""),387.0)</f>
        <v>387</v>
      </c>
      <c r="H2232" s="5">
        <f>IFERROR(__xludf.DUMMYFUNCTION("""COMPUTED_VALUE"""),5355.15)</f>
        <v>5355.15</v>
      </c>
      <c r="I2232" s="5">
        <f>IFERROR(__xludf.DUMMYFUNCTION("""COMPUTED_VALUE"""),6455.69)</f>
        <v>6455.69</v>
      </c>
      <c r="J2232" s="5">
        <f>IFERROR(__xludf.DUMMYFUNCTION("""COMPUTED_VALUE"""),9375.33)</f>
        <v>9375.33</v>
      </c>
      <c r="K2232" s="5">
        <f>IFERROR(__xludf.DUMMYFUNCTION("""COMPUTED_VALUE"""),386.95)</f>
        <v>386.95</v>
      </c>
      <c r="L2232" s="4">
        <f>IFERROR(__xludf.DUMMYFUNCTION("""COMPUTED_VALUE"""),1.0)</f>
        <v>1</v>
      </c>
      <c r="M2232" s="4">
        <f>IFERROR(__xludf.DUMMYFUNCTION("""COMPUTED_VALUE"""),78.0)</f>
        <v>78</v>
      </c>
      <c r="N2232" s="2" t="b">
        <f>IFERROR(__xludf.DUMMYFUNCTION("""COMPUTED_VALUE"""),FALSE)</f>
        <v>0</v>
      </c>
    </row>
    <row r="2233">
      <c r="A2233" s="2">
        <f>IFERROR(__xludf.DUMMYFUNCTION("""COMPUTED_VALUE"""),2232.0)</f>
        <v>2232</v>
      </c>
      <c r="B2233" s="2" t="str">
        <f>IFERROR(__xludf.DUMMYFUNCTION("""COMPUTED_VALUE"""),"Earle Golightly")</f>
        <v>Earle Golightly</v>
      </c>
      <c r="C2233" s="2" t="str">
        <f>IFERROR(__xludf.DUMMYFUNCTION("""COMPUTED_VALUE"""),"egolightly6g@boston.com")</f>
        <v>egolightly6g@boston.com</v>
      </c>
      <c r="D2233" s="4">
        <f>IFERROR(__xludf.DUMMYFUNCTION("""COMPUTED_VALUE"""),96.0)</f>
        <v>96</v>
      </c>
      <c r="E2233" s="4">
        <f>IFERROR(__xludf.DUMMYFUNCTION("""COMPUTED_VALUE"""),8.0)</f>
        <v>8</v>
      </c>
      <c r="F2233" s="4">
        <f>IFERROR(__xludf.DUMMYFUNCTION("""COMPUTED_VALUE"""),12.0)</f>
        <v>12</v>
      </c>
      <c r="G2233" s="4">
        <f>IFERROR(__xludf.DUMMYFUNCTION("""COMPUTED_VALUE"""),1508.0)</f>
        <v>1508</v>
      </c>
      <c r="H2233" s="5">
        <f>IFERROR(__xludf.DUMMYFUNCTION("""COMPUTED_VALUE"""),9128.39)</f>
        <v>9128.39</v>
      </c>
      <c r="I2233" s="5">
        <f>IFERROR(__xludf.DUMMYFUNCTION("""COMPUTED_VALUE"""),9684.04)</f>
        <v>9684.04</v>
      </c>
      <c r="J2233" s="5">
        <f>IFERROR(__xludf.DUMMYFUNCTION("""COMPUTED_VALUE"""),1898.5)</f>
        <v>1898.5</v>
      </c>
      <c r="K2233" s="5">
        <f>IFERROR(__xludf.DUMMYFUNCTION("""COMPUTED_VALUE"""),8253.87)</f>
        <v>8253.87</v>
      </c>
      <c r="L2233" s="4">
        <f>IFERROR(__xludf.DUMMYFUNCTION("""COMPUTED_VALUE"""),5.0)</f>
        <v>5</v>
      </c>
      <c r="M2233" s="4">
        <f>IFERROR(__xludf.DUMMYFUNCTION("""COMPUTED_VALUE"""),47.0)</f>
        <v>47</v>
      </c>
      <c r="N2233" s="2" t="b">
        <f>IFERROR(__xludf.DUMMYFUNCTION("""COMPUTED_VALUE"""),TRUE)</f>
        <v>1</v>
      </c>
    </row>
    <row r="2234">
      <c r="A2234" s="2">
        <f>IFERROR(__xludf.DUMMYFUNCTION("""COMPUTED_VALUE"""),2233.0)</f>
        <v>2233</v>
      </c>
      <c r="B2234" s="2" t="str">
        <f>IFERROR(__xludf.DUMMYFUNCTION("""COMPUTED_VALUE"""),"Esmaria Hazeldine")</f>
        <v>Esmaria Hazeldine</v>
      </c>
      <c r="C2234" s="2" t="str">
        <f>IFERROR(__xludf.DUMMYFUNCTION("""COMPUTED_VALUE"""),"ehazeldine6h@zimbio.com")</f>
        <v>ehazeldine6h@zimbio.com</v>
      </c>
      <c r="D2234" s="4">
        <f>IFERROR(__xludf.DUMMYFUNCTION("""COMPUTED_VALUE"""),12.0)</f>
        <v>12</v>
      </c>
      <c r="E2234" s="4">
        <f>IFERROR(__xludf.DUMMYFUNCTION("""COMPUTED_VALUE"""),116.0)</f>
        <v>116</v>
      </c>
      <c r="F2234" s="4">
        <f>IFERROR(__xludf.DUMMYFUNCTION("""COMPUTED_VALUE"""),11.0)</f>
        <v>11</v>
      </c>
      <c r="G2234" s="4">
        <f>IFERROR(__xludf.DUMMYFUNCTION("""COMPUTED_VALUE"""),572.0)</f>
        <v>572</v>
      </c>
      <c r="H2234" s="5">
        <f>IFERROR(__xludf.DUMMYFUNCTION("""COMPUTED_VALUE"""),4931.11)</f>
        <v>4931.11</v>
      </c>
      <c r="I2234" s="5">
        <f>IFERROR(__xludf.DUMMYFUNCTION("""COMPUTED_VALUE"""),2181.68)</f>
        <v>2181.68</v>
      </c>
      <c r="J2234" s="5">
        <f>IFERROR(__xludf.DUMMYFUNCTION("""COMPUTED_VALUE"""),9599.95)</f>
        <v>9599.95</v>
      </c>
      <c r="K2234" s="5">
        <f>IFERROR(__xludf.DUMMYFUNCTION("""COMPUTED_VALUE"""),3436.14)</f>
        <v>3436.14</v>
      </c>
      <c r="L2234" s="4">
        <f>IFERROR(__xludf.DUMMYFUNCTION("""COMPUTED_VALUE"""),18.0)</f>
        <v>18</v>
      </c>
      <c r="M2234" s="4">
        <f>IFERROR(__xludf.DUMMYFUNCTION("""COMPUTED_VALUE"""),28.0)</f>
        <v>28</v>
      </c>
      <c r="N2234" s="2" t="b">
        <f>IFERROR(__xludf.DUMMYFUNCTION("""COMPUTED_VALUE"""),FALSE)</f>
        <v>0</v>
      </c>
    </row>
    <row r="2235">
      <c r="A2235" s="2">
        <f>IFERROR(__xludf.DUMMYFUNCTION("""COMPUTED_VALUE"""),2234.0)</f>
        <v>2234</v>
      </c>
      <c r="B2235" s="2" t="str">
        <f>IFERROR(__xludf.DUMMYFUNCTION("""COMPUTED_VALUE"""),"Shaun Crannell")</f>
        <v>Shaun Crannell</v>
      </c>
      <c r="C2235" s="2"/>
      <c r="D2235" s="4">
        <f>IFERROR(__xludf.DUMMYFUNCTION("""COMPUTED_VALUE"""),117.0)</f>
        <v>117</v>
      </c>
      <c r="E2235" s="4">
        <f>IFERROR(__xludf.DUMMYFUNCTION("""COMPUTED_VALUE"""),69.0)</f>
        <v>69</v>
      </c>
      <c r="F2235" s="4">
        <f>IFERROR(__xludf.DUMMYFUNCTION("""COMPUTED_VALUE"""),8.0)</f>
        <v>8</v>
      </c>
      <c r="G2235" s="4">
        <f>IFERROR(__xludf.DUMMYFUNCTION("""COMPUTED_VALUE"""),19.0)</f>
        <v>19</v>
      </c>
      <c r="H2235" s="5">
        <f>IFERROR(__xludf.DUMMYFUNCTION("""COMPUTED_VALUE"""),3578.98)</f>
        <v>3578.98</v>
      </c>
      <c r="I2235" s="5">
        <f>IFERROR(__xludf.DUMMYFUNCTION("""COMPUTED_VALUE"""),9411.65)</f>
        <v>9411.65</v>
      </c>
      <c r="J2235" s="5">
        <f>IFERROR(__xludf.DUMMYFUNCTION("""COMPUTED_VALUE"""),7380.38)</f>
        <v>7380.38</v>
      </c>
      <c r="K2235" s="5">
        <f>IFERROR(__xludf.DUMMYFUNCTION("""COMPUTED_VALUE"""),4849.43)</f>
        <v>4849.43</v>
      </c>
      <c r="L2235" s="4">
        <f>IFERROR(__xludf.DUMMYFUNCTION("""COMPUTED_VALUE"""),20.0)</f>
        <v>20</v>
      </c>
      <c r="M2235" s="4">
        <f>IFERROR(__xludf.DUMMYFUNCTION("""COMPUTED_VALUE"""),38.0)</f>
        <v>38</v>
      </c>
      <c r="N2235" s="2" t="b">
        <f>IFERROR(__xludf.DUMMYFUNCTION("""COMPUTED_VALUE"""),TRUE)</f>
        <v>1</v>
      </c>
    </row>
    <row r="2236">
      <c r="A2236" s="2">
        <f>IFERROR(__xludf.DUMMYFUNCTION("""COMPUTED_VALUE"""),2235.0)</f>
        <v>2235</v>
      </c>
      <c r="B2236" s="2" t="str">
        <f>IFERROR(__xludf.DUMMYFUNCTION("""COMPUTED_VALUE"""),"Edi Hampshire")</f>
        <v>Edi Hampshire</v>
      </c>
      <c r="C2236" s="2"/>
      <c r="D2236" s="4">
        <f>IFERROR(__xludf.DUMMYFUNCTION("""COMPUTED_VALUE"""),79.0)</f>
        <v>79</v>
      </c>
      <c r="E2236" s="4">
        <f>IFERROR(__xludf.DUMMYFUNCTION("""COMPUTED_VALUE"""),53.0)</f>
        <v>53</v>
      </c>
      <c r="F2236" s="4">
        <f>IFERROR(__xludf.DUMMYFUNCTION("""COMPUTED_VALUE"""),9.0)</f>
        <v>9</v>
      </c>
      <c r="G2236" s="4">
        <f>IFERROR(__xludf.DUMMYFUNCTION("""COMPUTED_VALUE"""),451.0)</f>
        <v>451</v>
      </c>
      <c r="H2236" s="5">
        <f>IFERROR(__xludf.DUMMYFUNCTION("""COMPUTED_VALUE"""),8339.62)</f>
        <v>8339.62</v>
      </c>
      <c r="I2236" s="5">
        <f>IFERROR(__xludf.DUMMYFUNCTION("""COMPUTED_VALUE"""),6860.22)</f>
        <v>6860.22</v>
      </c>
      <c r="J2236" s="5">
        <f>IFERROR(__xludf.DUMMYFUNCTION("""COMPUTED_VALUE"""),4588.2)</f>
        <v>4588.2</v>
      </c>
      <c r="K2236" s="5">
        <f>IFERROR(__xludf.DUMMYFUNCTION("""COMPUTED_VALUE"""),6455.11)</f>
        <v>6455.11</v>
      </c>
      <c r="L2236" s="4">
        <f>IFERROR(__xludf.DUMMYFUNCTION("""COMPUTED_VALUE"""),3.0)</f>
        <v>3</v>
      </c>
      <c r="M2236" s="4">
        <f>IFERROR(__xludf.DUMMYFUNCTION("""COMPUTED_VALUE"""),24.0)</f>
        <v>24</v>
      </c>
      <c r="N2236" s="2" t="b">
        <f>IFERROR(__xludf.DUMMYFUNCTION("""COMPUTED_VALUE"""),FALSE)</f>
        <v>0</v>
      </c>
    </row>
    <row r="2237">
      <c r="A2237" s="2">
        <f>IFERROR(__xludf.DUMMYFUNCTION("""COMPUTED_VALUE"""),2236.0)</f>
        <v>2236</v>
      </c>
      <c r="B2237" s="2" t="str">
        <f>IFERROR(__xludf.DUMMYFUNCTION("""COMPUTED_VALUE"""),"Harv Jaques")</f>
        <v>Harv Jaques</v>
      </c>
      <c r="C2237" s="2" t="str">
        <f>IFERROR(__xludf.DUMMYFUNCTION("""COMPUTED_VALUE"""),"hjaques6k@reference.com")</f>
        <v>hjaques6k@reference.com</v>
      </c>
      <c r="D2237" s="4">
        <f>IFERROR(__xludf.DUMMYFUNCTION("""COMPUTED_VALUE"""),51.0)</f>
        <v>51</v>
      </c>
      <c r="E2237" s="4">
        <f>IFERROR(__xludf.DUMMYFUNCTION("""COMPUTED_VALUE"""),115.0)</f>
        <v>115</v>
      </c>
      <c r="F2237" s="4">
        <f>IFERROR(__xludf.DUMMYFUNCTION("""COMPUTED_VALUE"""),10.0)</f>
        <v>10</v>
      </c>
      <c r="G2237" s="4">
        <f>IFERROR(__xludf.DUMMYFUNCTION("""COMPUTED_VALUE"""),103.0)</f>
        <v>103</v>
      </c>
      <c r="H2237" s="5">
        <f>IFERROR(__xludf.DUMMYFUNCTION("""COMPUTED_VALUE"""),6793.82)</f>
        <v>6793.82</v>
      </c>
      <c r="I2237" s="5">
        <f>IFERROR(__xludf.DUMMYFUNCTION("""COMPUTED_VALUE"""),829.77)</f>
        <v>829.77</v>
      </c>
      <c r="J2237" s="5">
        <f>IFERROR(__xludf.DUMMYFUNCTION("""COMPUTED_VALUE"""),5923.21)</f>
        <v>5923.21</v>
      </c>
      <c r="K2237" s="5">
        <f>IFERROR(__xludf.DUMMYFUNCTION("""COMPUTED_VALUE"""),3502.27)</f>
        <v>3502.27</v>
      </c>
      <c r="L2237" s="4">
        <f>IFERROR(__xludf.DUMMYFUNCTION("""COMPUTED_VALUE"""),17.0)</f>
        <v>17</v>
      </c>
      <c r="M2237" s="4">
        <f>IFERROR(__xludf.DUMMYFUNCTION("""COMPUTED_VALUE"""),67.0)</f>
        <v>67</v>
      </c>
      <c r="N2237" s="2" t="b">
        <f>IFERROR(__xludf.DUMMYFUNCTION("""COMPUTED_VALUE"""),TRUE)</f>
        <v>1</v>
      </c>
    </row>
    <row r="2238">
      <c r="A2238" s="2">
        <f>IFERROR(__xludf.DUMMYFUNCTION("""COMPUTED_VALUE"""),2237.0)</f>
        <v>2237</v>
      </c>
      <c r="B2238" s="2" t="str">
        <f>IFERROR(__xludf.DUMMYFUNCTION("""COMPUTED_VALUE"""),"Hurlee Swetmore")</f>
        <v>Hurlee Swetmore</v>
      </c>
      <c r="C2238" s="2"/>
      <c r="D2238" s="4">
        <f>IFERROR(__xludf.DUMMYFUNCTION("""COMPUTED_VALUE"""),102.0)</f>
        <v>102</v>
      </c>
      <c r="E2238" s="4">
        <f>IFERROR(__xludf.DUMMYFUNCTION("""COMPUTED_VALUE"""),23.0)</f>
        <v>23</v>
      </c>
      <c r="F2238" s="4">
        <f>IFERROR(__xludf.DUMMYFUNCTION("""COMPUTED_VALUE"""),6.0)</f>
        <v>6</v>
      </c>
      <c r="G2238" s="4">
        <f>IFERROR(__xludf.DUMMYFUNCTION("""COMPUTED_VALUE"""),69.0)</f>
        <v>69</v>
      </c>
      <c r="H2238" s="5">
        <f>IFERROR(__xludf.DUMMYFUNCTION("""COMPUTED_VALUE"""),8772.75)</f>
        <v>8772.75</v>
      </c>
      <c r="I2238" s="5">
        <f>IFERROR(__xludf.DUMMYFUNCTION("""COMPUTED_VALUE"""),8004.42)</f>
        <v>8004.42</v>
      </c>
      <c r="J2238" s="5">
        <f>IFERROR(__xludf.DUMMYFUNCTION("""COMPUTED_VALUE"""),2595.79)</f>
        <v>2595.79</v>
      </c>
      <c r="K2238" s="5">
        <f>IFERROR(__xludf.DUMMYFUNCTION("""COMPUTED_VALUE"""),6843.76)</f>
        <v>6843.76</v>
      </c>
      <c r="L2238" s="4">
        <f>IFERROR(__xludf.DUMMYFUNCTION("""COMPUTED_VALUE"""),15.0)</f>
        <v>15</v>
      </c>
      <c r="M2238" s="4">
        <f>IFERROR(__xludf.DUMMYFUNCTION("""COMPUTED_VALUE"""),80.0)</f>
        <v>80</v>
      </c>
      <c r="N2238" s="2" t="b">
        <f>IFERROR(__xludf.DUMMYFUNCTION("""COMPUTED_VALUE"""),TRUE)</f>
        <v>1</v>
      </c>
    </row>
    <row r="2239">
      <c r="A2239" s="2">
        <f>IFERROR(__xludf.DUMMYFUNCTION("""COMPUTED_VALUE"""),2238.0)</f>
        <v>2238</v>
      </c>
      <c r="B2239" s="2" t="str">
        <f>IFERROR(__xludf.DUMMYFUNCTION("""COMPUTED_VALUE"""),"Dianemarie Wybron")</f>
        <v>Dianemarie Wybron</v>
      </c>
      <c r="C2239" s="2"/>
      <c r="D2239" s="4">
        <f>IFERROR(__xludf.DUMMYFUNCTION("""COMPUTED_VALUE"""),153.0)</f>
        <v>153</v>
      </c>
      <c r="E2239" s="4">
        <f>IFERROR(__xludf.DUMMYFUNCTION("""COMPUTED_VALUE"""),110.0)</f>
        <v>110</v>
      </c>
      <c r="F2239" s="4">
        <f>IFERROR(__xludf.DUMMYFUNCTION("""COMPUTED_VALUE"""),13.0)</f>
        <v>13</v>
      </c>
      <c r="G2239" s="4">
        <f>IFERROR(__xludf.DUMMYFUNCTION("""COMPUTED_VALUE"""),197.0)</f>
        <v>197</v>
      </c>
      <c r="H2239" s="5">
        <f>IFERROR(__xludf.DUMMYFUNCTION("""COMPUTED_VALUE"""),4027.97)</f>
        <v>4027.97</v>
      </c>
      <c r="I2239" s="5">
        <f>IFERROR(__xludf.DUMMYFUNCTION("""COMPUTED_VALUE"""),241.48)</f>
        <v>241.48</v>
      </c>
      <c r="J2239" s="5">
        <f>IFERROR(__xludf.DUMMYFUNCTION("""COMPUTED_VALUE"""),2895.68)</f>
        <v>2895.68</v>
      </c>
      <c r="K2239" s="5">
        <f>IFERROR(__xludf.DUMMYFUNCTION("""COMPUTED_VALUE"""),4385.3)</f>
        <v>4385.3</v>
      </c>
      <c r="L2239" s="4">
        <f>IFERROR(__xludf.DUMMYFUNCTION("""COMPUTED_VALUE"""),5.0)</f>
        <v>5</v>
      </c>
      <c r="M2239" s="4">
        <f>IFERROR(__xludf.DUMMYFUNCTION("""COMPUTED_VALUE"""),40.0)</f>
        <v>40</v>
      </c>
      <c r="N2239" s="2" t="b">
        <f>IFERROR(__xludf.DUMMYFUNCTION("""COMPUTED_VALUE"""),FALSE)</f>
        <v>0</v>
      </c>
    </row>
    <row r="2240">
      <c r="A2240" s="2">
        <f>IFERROR(__xludf.DUMMYFUNCTION("""COMPUTED_VALUE"""),2239.0)</f>
        <v>2239</v>
      </c>
      <c r="B2240" s="2" t="str">
        <f>IFERROR(__xludf.DUMMYFUNCTION("""COMPUTED_VALUE"""),"Moshe Roden")</f>
        <v>Moshe Roden</v>
      </c>
      <c r="C2240" s="2"/>
      <c r="D2240" s="4">
        <f>IFERROR(__xludf.DUMMYFUNCTION("""COMPUTED_VALUE"""),40.0)</f>
        <v>40</v>
      </c>
      <c r="E2240" s="4">
        <f>IFERROR(__xludf.DUMMYFUNCTION("""COMPUTED_VALUE"""),7.0)</f>
        <v>7</v>
      </c>
      <c r="F2240" s="4">
        <f>IFERROR(__xludf.DUMMYFUNCTION("""COMPUTED_VALUE"""),4.0)</f>
        <v>4</v>
      </c>
      <c r="G2240" s="4">
        <f>IFERROR(__xludf.DUMMYFUNCTION("""COMPUTED_VALUE"""),399.0)</f>
        <v>399</v>
      </c>
      <c r="H2240" s="5">
        <f>IFERROR(__xludf.DUMMYFUNCTION("""COMPUTED_VALUE"""),8738.33)</f>
        <v>8738.33</v>
      </c>
      <c r="I2240" s="5">
        <f>IFERROR(__xludf.DUMMYFUNCTION("""COMPUTED_VALUE"""),3309.18)</f>
        <v>3309.18</v>
      </c>
      <c r="J2240" s="5">
        <f>IFERROR(__xludf.DUMMYFUNCTION("""COMPUTED_VALUE"""),7456.41)</f>
        <v>7456.41</v>
      </c>
      <c r="K2240" s="5">
        <f>IFERROR(__xludf.DUMMYFUNCTION("""COMPUTED_VALUE"""),127.07)</f>
        <v>127.07</v>
      </c>
      <c r="L2240" s="4">
        <f>IFERROR(__xludf.DUMMYFUNCTION("""COMPUTED_VALUE"""),11.0)</f>
        <v>11</v>
      </c>
      <c r="M2240" s="4">
        <f>IFERROR(__xludf.DUMMYFUNCTION("""COMPUTED_VALUE"""),35.0)</f>
        <v>35</v>
      </c>
      <c r="N2240" s="2" t="b">
        <f>IFERROR(__xludf.DUMMYFUNCTION("""COMPUTED_VALUE"""),TRUE)</f>
        <v>1</v>
      </c>
    </row>
    <row r="2241">
      <c r="A2241" s="2">
        <f>IFERROR(__xludf.DUMMYFUNCTION("""COMPUTED_VALUE"""),2240.0)</f>
        <v>2240</v>
      </c>
      <c r="B2241" s="2" t="str">
        <f>IFERROR(__xludf.DUMMYFUNCTION("""COMPUTED_VALUE"""),"Benedicto Raleston")</f>
        <v>Benedicto Raleston</v>
      </c>
      <c r="C2241" s="2" t="str">
        <f>IFERROR(__xludf.DUMMYFUNCTION("""COMPUTED_VALUE"""),"braleston6o@rambler.ru")</f>
        <v>braleston6o@rambler.ru</v>
      </c>
      <c r="D2241" s="4">
        <f>IFERROR(__xludf.DUMMYFUNCTION("""COMPUTED_VALUE"""),86.0)</f>
        <v>86</v>
      </c>
      <c r="E2241" s="4">
        <f>IFERROR(__xludf.DUMMYFUNCTION("""COMPUTED_VALUE"""),46.0)</f>
        <v>46</v>
      </c>
      <c r="F2241" s="4">
        <f>IFERROR(__xludf.DUMMYFUNCTION("""COMPUTED_VALUE"""),13.0)</f>
        <v>13</v>
      </c>
      <c r="G2241" s="4">
        <f>IFERROR(__xludf.DUMMYFUNCTION("""COMPUTED_VALUE"""),1459.0)</f>
        <v>1459</v>
      </c>
      <c r="H2241" s="5">
        <f>IFERROR(__xludf.DUMMYFUNCTION("""COMPUTED_VALUE"""),9634.32)</f>
        <v>9634.32</v>
      </c>
      <c r="I2241" s="5">
        <f>IFERROR(__xludf.DUMMYFUNCTION("""COMPUTED_VALUE"""),6105.72)</f>
        <v>6105.72</v>
      </c>
      <c r="J2241" s="5">
        <f>IFERROR(__xludf.DUMMYFUNCTION("""COMPUTED_VALUE"""),685.2)</f>
        <v>685.2</v>
      </c>
      <c r="K2241" s="5">
        <f>IFERROR(__xludf.DUMMYFUNCTION("""COMPUTED_VALUE"""),6654.22)</f>
        <v>6654.22</v>
      </c>
      <c r="L2241" s="4">
        <f>IFERROR(__xludf.DUMMYFUNCTION("""COMPUTED_VALUE"""),8.0)</f>
        <v>8</v>
      </c>
      <c r="M2241" s="4">
        <f>IFERROR(__xludf.DUMMYFUNCTION("""COMPUTED_VALUE"""),74.0)</f>
        <v>74</v>
      </c>
      <c r="N2241" s="2" t="b">
        <f>IFERROR(__xludf.DUMMYFUNCTION("""COMPUTED_VALUE"""),TRUE)</f>
        <v>1</v>
      </c>
    </row>
    <row r="2242">
      <c r="A2242" s="2">
        <f>IFERROR(__xludf.DUMMYFUNCTION("""COMPUTED_VALUE"""),2241.0)</f>
        <v>2241</v>
      </c>
      <c r="B2242" s="2" t="str">
        <f>IFERROR(__xludf.DUMMYFUNCTION("""COMPUTED_VALUE"""),"Maddi Asken")</f>
        <v>Maddi Asken</v>
      </c>
      <c r="C2242" s="2"/>
      <c r="D2242" s="4">
        <f>IFERROR(__xludf.DUMMYFUNCTION("""COMPUTED_VALUE"""),85.0)</f>
        <v>85</v>
      </c>
      <c r="E2242" s="4">
        <f>IFERROR(__xludf.DUMMYFUNCTION("""COMPUTED_VALUE"""),96.0)</f>
        <v>96</v>
      </c>
      <c r="F2242" s="4">
        <f>IFERROR(__xludf.DUMMYFUNCTION("""COMPUTED_VALUE"""),6.0)</f>
        <v>6</v>
      </c>
      <c r="G2242" s="4">
        <f>IFERROR(__xludf.DUMMYFUNCTION("""COMPUTED_VALUE"""),1419.0)</f>
        <v>1419</v>
      </c>
      <c r="H2242" s="5">
        <f>IFERROR(__xludf.DUMMYFUNCTION("""COMPUTED_VALUE"""),8605.76)</f>
        <v>8605.76</v>
      </c>
      <c r="I2242" s="5">
        <f>IFERROR(__xludf.DUMMYFUNCTION("""COMPUTED_VALUE"""),1046.98)</f>
        <v>1046.98</v>
      </c>
      <c r="J2242" s="5">
        <f>IFERROR(__xludf.DUMMYFUNCTION("""COMPUTED_VALUE"""),9607.84)</f>
        <v>9607.84</v>
      </c>
      <c r="K2242" s="5">
        <f>IFERROR(__xludf.DUMMYFUNCTION("""COMPUTED_VALUE"""),7954.65)</f>
        <v>7954.65</v>
      </c>
      <c r="L2242" s="4">
        <f>IFERROR(__xludf.DUMMYFUNCTION("""COMPUTED_VALUE"""),20.0)</f>
        <v>20</v>
      </c>
      <c r="M2242" s="4">
        <f>IFERROR(__xludf.DUMMYFUNCTION("""COMPUTED_VALUE"""),44.0)</f>
        <v>44</v>
      </c>
      <c r="N2242" s="2" t="b">
        <f>IFERROR(__xludf.DUMMYFUNCTION("""COMPUTED_VALUE"""),TRUE)</f>
        <v>1</v>
      </c>
    </row>
    <row r="2243">
      <c r="A2243" s="2">
        <f>IFERROR(__xludf.DUMMYFUNCTION("""COMPUTED_VALUE"""),2242.0)</f>
        <v>2242</v>
      </c>
      <c r="B2243" s="2" t="str">
        <f>IFERROR(__xludf.DUMMYFUNCTION("""COMPUTED_VALUE"""),"Noellyn Pembry")</f>
        <v>Noellyn Pembry</v>
      </c>
      <c r="C2243" s="2"/>
      <c r="D2243" s="4">
        <f>IFERROR(__xludf.DUMMYFUNCTION("""COMPUTED_VALUE"""),94.0)</f>
        <v>94</v>
      </c>
      <c r="E2243" s="4">
        <f>IFERROR(__xludf.DUMMYFUNCTION("""COMPUTED_VALUE"""),94.0)</f>
        <v>94</v>
      </c>
      <c r="F2243" s="4">
        <f>IFERROR(__xludf.DUMMYFUNCTION("""COMPUTED_VALUE"""),13.0)</f>
        <v>13</v>
      </c>
      <c r="G2243" s="4">
        <f>IFERROR(__xludf.DUMMYFUNCTION("""COMPUTED_VALUE"""),1326.0)</f>
        <v>1326</v>
      </c>
      <c r="H2243" s="5">
        <f>IFERROR(__xludf.DUMMYFUNCTION("""COMPUTED_VALUE"""),6327.27)</f>
        <v>6327.27</v>
      </c>
      <c r="I2243" s="5">
        <f>IFERROR(__xludf.DUMMYFUNCTION("""COMPUTED_VALUE"""),3618.87)</f>
        <v>3618.87</v>
      </c>
      <c r="J2243" s="5">
        <f>IFERROR(__xludf.DUMMYFUNCTION("""COMPUTED_VALUE"""),950.37)</f>
        <v>950.37</v>
      </c>
      <c r="K2243" s="5">
        <f>IFERROR(__xludf.DUMMYFUNCTION("""COMPUTED_VALUE"""),3187.09)</f>
        <v>3187.09</v>
      </c>
      <c r="L2243" s="4">
        <f>IFERROR(__xludf.DUMMYFUNCTION("""COMPUTED_VALUE"""),16.0)</f>
        <v>16</v>
      </c>
      <c r="M2243" s="4">
        <f>IFERROR(__xludf.DUMMYFUNCTION("""COMPUTED_VALUE"""),55.0)</f>
        <v>55</v>
      </c>
      <c r="N2243" s="2" t="b">
        <f>IFERROR(__xludf.DUMMYFUNCTION("""COMPUTED_VALUE"""),TRUE)</f>
        <v>1</v>
      </c>
    </row>
    <row r="2244">
      <c r="A2244" s="2">
        <f>IFERROR(__xludf.DUMMYFUNCTION("""COMPUTED_VALUE"""),2243.0)</f>
        <v>2243</v>
      </c>
      <c r="B2244" s="2" t="str">
        <f>IFERROR(__xludf.DUMMYFUNCTION("""COMPUTED_VALUE"""),"Enrichetta Ianson")</f>
        <v>Enrichetta Ianson</v>
      </c>
      <c r="C2244" s="2" t="str">
        <f>IFERROR(__xludf.DUMMYFUNCTION("""COMPUTED_VALUE"""),"eianson6r@scientificamerican.com")</f>
        <v>eianson6r@scientificamerican.com</v>
      </c>
      <c r="D2244" s="4">
        <f>IFERROR(__xludf.DUMMYFUNCTION("""COMPUTED_VALUE"""),85.0)</f>
        <v>85</v>
      </c>
      <c r="E2244" s="4">
        <f>IFERROR(__xludf.DUMMYFUNCTION("""COMPUTED_VALUE"""),17.0)</f>
        <v>17</v>
      </c>
      <c r="F2244" s="4">
        <f>IFERROR(__xludf.DUMMYFUNCTION("""COMPUTED_VALUE"""),5.0)</f>
        <v>5</v>
      </c>
      <c r="G2244" s="4">
        <f>IFERROR(__xludf.DUMMYFUNCTION("""COMPUTED_VALUE"""),617.0)</f>
        <v>617</v>
      </c>
      <c r="H2244" s="5">
        <f>IFERROR(__xludf.DUMMYFUNCTION("""COMPUTED_VALUE"""),8383.0)</f>
        <v>8383</v>
      </c>
      <c r="I2244" s="5">
        <f>IFERROR(__xludf.DUMMYFUNCTION("""COMPUTED_VALUE"""),5678.23)</f>
        <v>5678.23</v>
      </c>
      <c r="J2244" s="5">
        <f>IFERROR(__xludf.DUMMYFUNCTION("""COMPUTED_VALUE"""),8833.17)</f>
        <v>8833.17</v>
      </c>
      <c r="K2244" s="5">
        <f>IFERROR(__xludf.DUMMYFUNCTION("""COMPUTED_VALUE"""),2664.13)</f>
        <v>2664.13</v>
      </c>
      <c r="L2244" s="4">
        <f>IFERROR(__xludf.DUMMYFUNCTION("""COMPUTED_VALUE"""),5.0)</f>
        <v>5</v>
      </c>
      <c r="M2244" s="4">
        <f>IFERROR(__xludf.DUMMYFUNCTION("""COMPUTED_VALUE"""),29.0)</f>
        <v>29</v>
      </c>
      <c r="N2244" s="2" t="b">
        <f>IFERROR(__xludf.DUMMYFUNCTION("""COMPUTED_VALUE"""),FALSE)</f>
        <v>0</v>
      </c>
    </row>
    <row r="2245">
      <c r="A2245" s="2">
        <f>IFERROR(__xludf.DUMMYFUNCTION("""COMPUTED_VALUE"""),2244.0)</f>
        <v>2244</v>
      </c>
      <c r="B2245" s="2" t="str">
        <f>IFERROR(__xludf.DUMMYFUNCTION("""COMPUTED_VALUE"""),"Hubert Keavy")</f>
        <v>Hubert Keavy</v>
      </c>
      <c r="C2245" s="2" t="str">
        <f>IFERROR(__xludf.DUMMYFUNCTION("""COMPUTED_VALUE"""),"hkeavy6s@unesco.org")</f>
        <v>hkeavy6s@unesco.org</v>
      </c>
      <c r="D2245" s="4">
        <f>IFERROR(__xludf.DUMMYFUNCTION("""COMPUTED_VALUE"""),135.0)</f>
        <v>135</v>
      </c>
      <c r="E2245" s="4">
        <f>IFERROR(__xludf.DUMMYFUNCTION("""COMPUTED_VALUE"""),38.0)</f>
        <v>38</v>
      </c>
      <c r="F2245" s="4">
        <f>IFERROR(__xludf.DUMMYFUNCTION("""COMPUTED_VALUE"""),9.0)</f>
        <v>9</v>
      </c>
      <c r="G2245" s="4">
        <f>IFERROR(__xludf.DUMMYFUNCTION("""COMPUTED_VALUE"""),1441.0)</f>
        <v>1441</v>
      </c>
      <c r="H2245" s="5">
        <f>IFERROR(__xludf.DUMMYFUNCTION("""COMPUTED_VALUE"""),1288.14)</f>
        <v>1288.14</v>
      </c>
      <c r="I2245" s="5">
        <f>IFERROR(__xludf.DUMMYFUNCTION("""COMPUTED_VALUE"""),6677.13)</f>
        <v>6677.13</v>
      </c>
      <c r="J2245" s="5">
        <f>IFERROR(__xludf.DUMMYFUNCTION("""COMPUTED_VALUE"""),1604.71)</f>
        <v>1604.71</v>
      </c>
      <c r="K2245" s="5">
        <f>IFERROR(__xludf.DUMMYFUNCTION("""COMPUTED_VALUE"""),9297.14)</f>
        <v>9297.14</v>
      </c>
      <c r="L2245" s="4">
        <f>IFERROR(__xludf.DUMMYFUNCTION("""COMPUTED_VALUE"""),17.0)</f>
        <v>17</v>
      </c>
      <c r="M2245" s="4">
        <f>IFERROR(__xludf.DUMMYFUNCTION("""COMPUTED_VALUE"""),47.0)</f>
        <v>47</v>
      </c>
      <c r="N2245" s="2" t="b">
        <f>IFERROR(__xludf.DUMMYFUNCTION("""COMPUTED_VALUE"""),TRUE)</f>
        <v>1</v>
      </c>
    </row>
    <row r="2246">
      <c r="A2246" s="2">
        <f>IFERROR(__xludf.DUMMYFUNCTION("""COMPUTED_VALUE"""),2245.0)</f>
        <v>2245</v>
      </c>
      <c r="B2246" s="2" t="str">
        <f>IFERROR(__xludf.DUMMYFUNCTION("""COMPUTED_VALUE"""),"Catherin Siddons")</f>
        <v>Catherin Siddons</v>
      </c>
      <c r="C2246" s="2"/>
      <c r="D2246" s="4">
        <f>IFERROR(__xludf.DUMMYFUNCTION("""COMPUTED_VALUE"""),81.0)</f>
        <v>81</v>
      </c>
      <c r="E2246" s="4">
        <f>IFERROR(__xludf.DUMMYFUNCTION("""COMPUTED_VALUE"""),109.0)</f>
        <v>109</v>
      </c>
      <c r="F2246" s="4">
        <f>IFERROR(__xludf.DUMMYFUNCTION("""COMPUTED_VALUE"""),7.0)</f>
        <v>7</v>
      </c>
      <c r="G2246" s="4">
        <f>IFERROR(__xludf.DUMMYFUNCTION("""COMPUTED_VALUE"""),999.0)</f>
        <v>999</v>
      </c>
      <c r="H2246" s="5">
        <f>IFERROR(__xludf.DUMMYFUNCTION("""COMPUTED_VALUE"""),7070.94)</f>
        <v>7070.94</v>
      </c>
      <c r="I2246" s="5">
        <f>IFERROR(__xludf.DUMMYFUNCTION("""COMPUTED_VALUE"""),2152.7)</f>
        <v>2152.7</v>
      </c>
      <c r="J2246" s="5">
        <f>IFERROR(__xludf.DUMMYFUNCTION("""COMPUTED_VALUE"""),9910.43)</f>
        <v>9910.43</v>
      </c>
      <c r="K2246" s="5">
        <f>IFERROR(__xludf.DUMMYFUNCTION("""COMPUTED_VALUE"""),5970.4)</f>
        <v>5970.4</v>
      </c>
      <c r="L2246" s="4">
        <f>IFERROR(__xludf.DUMMYFUNCTION("""COMPUTED_VALUE"""),10.0)</f>
        <v>10</v>
      </c>
      <c r="M2246" s="4">
        <f>IFERROR(__xludf.DUMMYFUNCTION("""COMPUTED_VALUE"""),16.0)</f>
        <v>16</v>
      </c>
      <c r="N2246" s="2" t="b">
        <f>IFERROR(__xludf.DUMMYFUNCTION("""COMPUTED_VALUE"""),TRUE)</f>
        <v>1</v>
      </c>
    </row>
    <row r="2247">
      <c r="A2247" s="2">
        <f>IFERROR(__xludf.DUMMYFUNCTION("""COMPUTED_VALUE"""),2246.0)</f>
        <v>2246</v>
      </c>
      <c r="B2247" s="2" t="str">
        <f>IFERROR(__xludf.DUMMYFUNCTION("""COMPUTED_VALUE"""),"Jeramie Kingsmill")</f>
        <v>Jeramie Kingsmill</v>
      </c>
      <c r="C2247" s="2" t="str">
        <f>IFERROR(__xludf.DUMMYFUNCTION("""COMPUTED_VALUE"""),"jkingsmill6u@wikispaces.com")</f>
        <v>jkingsmill6u@wikispaces.com</v>
      </c>
      <c r="D2247" s="4">
        <f>IFERROR(__xludf.DUMMYFUNCTION("""COMPUTED_VALUE"""),21.0)</f>
        <v>21</v>
      </c>
      <c r="E2247" s="4">
        <f>IFERROR(__xludf.DUMMYFUNCTION("""COMPUTED_VALUE"""),36.0)</f>
        <v>36</v>
      </c>
      <c r="F2247" s="4">
        <f>IFERROR(__xludf.DUMMYFUNCTION("""COMPUTED_VALUE"""),3.0)</f>
        <v>3</v>
      </c>
      <c r="G2247" s="4">
        <f>IFERROR(__xludf.DUMMYFUNCTION("""COMPUTED_VALUE"""),113.0)</f>
        <v>113</v>
      </c>
      <c r="H2247" s="5">
        <f>IFERROR(__xludf.DUMMYFUNCTION("""COMPUTED_VALUE"""),1384.03)</f>
        <v>1384.03</v>
      </c>
      <c r="I2247" s="5">
        <f>IFERROR(__xludf.DUMMYFUNCTION("""COMPUTED_VALUE"""),902.93)</f>
        <v>902.93</v>
      </c>
      <c r="J2247" s="5">
        <f>IFERROR(__xludf.DUMMYFUNCTION("""COMPUTED_VALUE"""),3078.75)</f>
        <v>3078.75</v>
      </c>
      <c r="K2247" s="5">
        <f>IFERROR(__xludf.DUMMYFUNCTION("""COMPUTED_VALUE"""),8748.93)</f>
        <v>8748.93</v>
      </c>
      <c r="L2247" s="4">
        <f>IFERROR(__xludf.DUMMYFUNCTION("""COMPUTED_VALUE"""),19.0)</f>
        <v>19</v>
      </c>
      <c r="M2247" s="4">
        <f>IFERROR(__xludf.DUMMYFUNCTION("""COMPUTED_VALUE"""),37.0)</f>
        <v>37</v>
      </c>
      <c r="N2247" s="2" t="b">
        <f>IFERROR(__xludf.DUMMYFUNCTION("""COMPUTED_VALUE"""),TRUE)</f>
        <v>1</v>
      </c>
    </row>
    <row r="2248">
      <c r="A2248" s="2">
        <f>IFERROR(__xludf.DUMMYFUNCTION("""COMPUTED_VALUE"""),2247.0)</f>
        <v>2247</v>
      </c>
      <c r="B2248" s="2" t="str">
        <f>IFERROR(__xludf.DUMMYFUNCTION("""COMPUTED_VALUE"""),"Alysa Jiruca")</f>
        <v>Alysa Jiruca</v>
      </c>
      <c r="C2248" s="2" t="str">
        <f>IFERROR(__xludf.DUMMYFUNCTION("""COMPUTED_VALUE"""),"ajiruca6v@ftc.gov")</f>
        <v>ajiruca6v@ftc.gov</v>
      </c>
      <c r="D2248" s="4">
        <f>IFERROR(__xludf.DUMMYFUNCTION("""COMPUTED_VALUE"""),94.0)</f>
        <v>94</v>
      </c>
      <c r="E2248" s="4">
        <f>IFERROR(__xludf.DUMMYFUNCTION("""COMPUTED_VALUE"""),87.0)</f>
        <v>87</v>
      </c>
      <c r="F2248" s="4">
        <f>IFERROR(__xludf.DUMMYFUNCTION("""COMPUTED_VALUE"""),9.0)</f>
        <v>9</v>
      </c>
      <c r="G2248" s="4">
        <f>IFERROR(__xludf.DUMMYFUNCTION("""COMPUTED_VALUE"""),545.0)</f>
        <v>545</v>
      </c>
      <c r="H2248" s="5">
        <f>IFERROR(__xludf.DUMMYFUNCTION("""COMPUTED_VALUE"""),8817.67)</f>
        <v>8817.67</v>
      </c>
      <c r="I2248" s="5">
        <f>IFERROR(__xludf.DUMMYFUNCTION("""COMPUTED_VALUE"""),2094.13)</f>
        <v>2094.13</v>
      </c>
      <c r="J2248" s="5">
        <f>IFERROR(__xludf.DUMMYFUNCTION("""COMPUTED_VALUE"""),2853.42)</f>
        <v>2853.42</v>
      </c>
      <c r="K2248" s="5">
        <f>IFERROR(__xludf.DUMMYFUNCTION("""COMPUTED_VALUE"""),1773.41)</f>
        <v>1773.41</v>
      </c>
      <c r="L2248" s="4">
        <f>IFERROR(__xludf.DUMMYFUNCTION("""COMPUTED_VALUE"""),18.0)</f>
        <v>18</v>
      </c>
      <c r="M2248" s="4">
        <f>IFERROR(__xludf.DUMMYFUNCTION("""COMPUTED_VALUE"""),49.0)</f>
        <v>49</v>
      </c>
      <c r="N2248" s="2" t="b">
        <f>IFERROR(__xludf.DUMMYFUNCTION("""COMPUTED_VALUE"""),FALSE)</f>
        <v>0</v>
      </c>
    </row>
    <row r="2249">
      <c r="A2249" s="2">
        <f>IFERROR(__xludf.DUMMYFUNCTION("""COMPUTED_VALUE"""),2248.0)</f>
        <v>2248</v>
      </c>
      <c r="B2249" s="2" t="str">
        <f>IFERROR(__xludf.DUMMYFUNCTION("""COMPUTED_VALUE"""),"Lynea Byatt")</f>
        <v>Lynea Byatt</v>
      </c>
      <c r="C2249" s="2"/>
      <c r="D2249" s="4">
        <f>IFERROR(__xludf.DUMMYFUNCTION("""COMPUTED_VALUE"""),100.0)</f>
        <v>100</v>
      </c>
      <c r="E2249" s="4">
        <f>IFERROR(__xludf.DUMMYFUNCTION("""COMPUTED_VALUE"""),32.0)</f>
        <v>32</v>
      </c>
      <c r="F2249" s="4">
        <f>IFERROR(__xludf.DUMMYFUNCTION("""COMPUTED_VALUE"""),13.0)</f>
        <v>13</v>
      </c>
      <c r="G2249" s="4">
        <f>IFERROR(__xludf.DUMMYFUNCTION("""COMPUTED_VALUE"""),319.0)</f>
        <v>319</v>
      </c>
      <c r="H2249" s="5">
        <f>IFERROR(__xludf.DUMMYFUNCTION("""COMPUTED_VALUE"""),80.67)</f>
        <v>80.67</v>
      </c>
      <c r="I2249" s="5">
        <f>IFERROR(__xludf.DUMMYFUNCTION("""COMPUTED_VALUE"""),9790.94)</f>
        <v>9790.94</v>
      </c>
      <c r="J2249" s="5">
        <f>IFERROR(__xludf.DUMMYFUNCTION("""COMPUTED_VALUE"""),3277.92)</f>
        <v>3277.92</v>
      </c>
      <c r="K2249" s="5">
        <f>IFERROR(__xludf.DUMMYFUNCTION("""COMPUTED_VALUE"""),1581.84)</f>
        <v>1581.84</v>
      </c>
      <c r="L2249" s="4">
        <f>IFERROR(__xludf.DUMMYFUNCTION("""COMPUTED_VALUE"""),13.0)</f>
        <v>13</v>
      </c>
      <c r="M2249" s="4">
        <f>IFERROR(__xludf.DUMMYFUNCTION("""COMPUTED_VALUE"""),90.0)</f>
        <v>90</v>
      </c>
      <c r="N2249" s="2" t="b">
        <f>IFERROR(__xludf.DUMMYFUNCTION("""COMPUTED_VALUE"""),FALSE)</f>
        <v>0</v>
      </c>
    </row>
    <row r="2250">
      <c r="A2250" s="2">
        <f>IFERROR(__xludf.DUMMYFUNCTION("""COMPUTED_VALUE"""),2249.0)</f>
        <v>2249</v>
      </c>
      <c r="B2250" s="2" t="str">
        <f>IFERROR(__xludf.DUMMYFUNCTION("""COMPUTED_VALUE"""),"Lela Halgarth")</f>
        <v>Lela Halgarth</v>
      </c>
      <c r="C2250" s="2"/>
      <c r="D2250" s="4">
        <f>IFERROR(__xludf.DUMMYFUNCTION("""COMPUTED_VALUE"""),117.0)</f>
        <v>117</v>
      </c>
      <c r="E2250" s="4">
        <f>IFERROR(__xludf.DUMMYFUNCTION("""COMPUTED_VALUE"""),89.0)</f>
        <v>89</v>
      </c>
      <c r="F2250" s="4">
        <f>IFERROR(__xludf.DUMMYFUNCTION("""COMPUTED_VALUE"""),10.0)</f>
        <v>10</v>
      </c>
      <c r="G2250" s="4">
        <f>IFERROR(__xludf.DUMMYFUNCTION("""COMPUTED_VALUE"""),1036.0)</f>
        <v>1036</v>
      </c>
      <c r="H2250" s="5">
        <f>IFERROR(__xludf.DUMMYFUNCTION("""COMPUTED_VALUE"""),2220.95)</f>
        <v>2220.95</v>
      </c>
      <c r="I2250" s="5">
        <f>IFERROR(__xludf.DUMMYFUNCTION("""COMPUTED_VALUE"""),5573.36)</f>
        <v>5573.36</v>
      </c>
      <c r="J2250" s="5">
        <f>IFERROR(__xludf.DUMMYFUNCTION("""COMPUTED_VALUE"""),4604.64)</f>
        <v>4604.64</v>
      </c>
      <c r="K2250" s="5">
        <f>IFERROR(__xludf.DUMMYFUNCTION("""COMPUTED_VALUE"""),6209.26)</f>
        <v>6209.26</v>
      </c>
      <c r="L2250" s="4">
        <f>IFERROR(__xludf.DUMMYFUNCTION("""COMPUTED_VALUE"""),13.0)</f>
        <v>13</v>
      </c>
      <c r="M2250" s="4">
        <f>IFERROR(__xludf.DUMMYFUNCTION("""COMPUTED_VALUE"""),31.0)</f>
        <v>31</v>
      </c>
      <c r="N2250" s="2" t="b">
        <f>IFERROR(__xludf.DUMMYFUNCTION("""COMPUTED_VALUE"""),TRUE)</f>
        <v>1</v>
      </c>
    </row>
    <row r="2251">
      <c r="A2251" s="2">
        <f>IFERROR(__xludf.DUMMYFUNCTION("""COMPUTED_VALUE"""),2250.0)</f>
        <v>2250</v>
      </c>
      <c r="B2251" s="2" t="str">
        <f>IFERROR(__xludf.DUMMYFUNCTION("""COMPUTED_VALUE"""),"Millicent Garstang")</f>
        <v>Millicent Garstang</v>
      </c>
      <c r="C2251" s="2"/>
      <c r="D2251" s="4">
        <f>IFERROR(__xludf.DUMMYFUNCTION("""COMPUTED_VALUE"""),108.0)</f>
        <v>108</v>
      </c>
      <c r="E2251" s="4">
        <f>IFERROR(__xludf.DUMMYFUNCTION("""COMPUTED_VALUE"""),15.0)</f>
        <v>15</v>
      </c>
      <c r="F2251" s="4">
        <f>IFERROR(__xludf.DUMMYFUNCTION("""COMPUTED_VALUE"""),8.0)</f>
        <v>8</v>
      </c>
      <c r="G2251" s="4">
        <f>IFERROR(__xludf.DUMMYFUNCTION("""COMPUTED_VALUE"""),963.0)</f>
        <v>963</v>
      </c>
      <c r="H2251" s="5">
        <f>IFERROR(__xludf.DUMMYFUNCTION("""COMPUTED_VALUE"""),2241.32)</f>
        <v>2241.32</v>
      </c>
      <c r="I2251" s="5">
        <f>IFERROR(__xludf.DUMMYFUNCTION("""COMPUTED_VALUE"""),3148.57)</f>
        <v>3148.57</v>
      </c>
      <c r="J2251" s="5">
        <f>IFERROR(__xludf.DUMMYFUNCTION("""COMPUTED_VALUE"""),5308.63)</f>
        <v>5308.63</v>
      </c>
      <c r="K2251" s="5">
        <f>IFERROR(__xludf.DUMMYFUNCTION("""COMPUTED_VALUE"""),1245.66)</f>
        <v>1245.66</v>
      </c>
      <c r="L2251" s="4">
        <f>IFERROR(__xludf.DUMMYFUNCTION("""COMPUTED_VALUE"""),11.0)</f>
        <v>11</v>
      </c>
      <c r="M2251" s="4">
        <f>IFERROR(__xludf.DUMMYFUNCTION("""COMPUTED_VALUE"""),13.0)</f>
        <v>13</v>
      </c>
      <c r="N2251" s="2" t="b">
        <f>IFERROR(__xludf.DUMMYFUNCTION("""COMPUTED_VALUE"""),TRUE)</f>
        <v>1</v>
      </c>
    </row>
    <row r="2252">
      <c r="A2252" s="2">
        <f>IFERROR(__xludf.DUMMYFUNCTION("""COMPUTED_VALUE"""),2251.0)</f>
        <v>2251</v>
      </c>
      <c r="B2252" s="2" t="str">
        <f>IFERROR(__xludf.DUMMYFUNCTION("""COMPUTED_VALUE"""),"Charisse Coulton")</f>
        <v>Charisse Coulton</v>
      </c>
      <c r="C2252" s="2"/>
      <c r="D2252" s="4">
        <f>IFERROR(__xludf.DUMMYFUNCTION("""COMPUTED_VALUE"""),1.0)</f>
        <v>1</v>
      </c>
      <c r="E2252" s="4">
        <f>IFERROR(__xludf.DUMMYFUNCTION("""COMPUTED_VALUE"""),90.0)</f>
        <v>90</v>
      </c>
      <c r="F2252" s="4">
        <f>IFERROR(__xludf.DUMMYFUNCTION("""COMPUTED_VALUE"""),2.0)</f>
        <v>2</v>
      </c>
      <c r="G2252" s="4">
        <f>IFERROR(__xludf.DUMMYFUNCTION("""COMPUTED_VALUE"""),1475.0)</f>
        <v>1475</v>
      </c>
      <c r="H2252" s="5">
        <f>IFERROR(__xludf.DUMMYFUNCTION("""COMPUTED_VALUE"""),7506.94)</f>
        <v>7506.94</v>
      </c>
      <c r="I2252" s="5">
        <f>IFERROR(__xludf.DUMMYFUNCTION("""COMPUTED_VALUE"""),2777.75)</f>
        <v>2777.75</v>
      </c>
      <c r="J2252" s="5">
        <f>IFERROR(__xludf.DUMMYFUNCTION("""COMPUTED_VALUE"""),7964.36)</f>
        <v>7964.36</v>
      </c>
      <c r="K2252" s="5">
        <f>IFERROR(__xludf.DUMMYFUNCTION("""COMPUTED_VALUE"""),3260.65)</f>
        <v>3260.65</v>
      </c>
      <c r="L2252" s="4">
        <f>IFERROR(__xludf.DUMMYFUNCTION("""COMPUTED_VALUE"""),4.0)</f>
        <v>4</v>
      </c>
      <c r="M2252" s="4">
        <f>IFERROR(__xludf.DUMMYFUNCTION("""COMPUTED_VALUE"""),43.0)</f>
        <v>43</v>
      </c>
      <c r="N2252" s="2" t="b">
        <f>IFERROR(__xludf.DUMMYFUNCTION("""COMPUTED_VALUE"""),FALSE)</f>
        <v>0</v>
      </c>
    </row>
    <row r="2253">
      <c r="A2253" s="2">
        <f>IFERROR(__xludf.DUMMYFUNCTION("""COMPUTED_VALUE"""),2252.0)</f>
        <v>2252</v>
      </c>
      <c r="B2253" s="2" t="str">
        <f>IFERROR(__xludf.DUMMYFUNCTION("""COMPUTED_VALUE"""),"Karita Laurent")</f>
        <v>Karita Laurent</v>
      </c>
      <c r="C2253" s="2" t="str">
        <f>IFERROR(__xludf.DUMMYFUNCTION("""COMPUTED_VALUE"""),"klaurent70@drupal.org")</f>
        <v>klaurent70@drupal.org</v>
      </c>
      <c r="D2253" s="4">
        <f>IFERROR(__xludf.DUMMYFUNCTION("""COMPUTED_VALUE"""),20.0)</f>
        <v>20</v>
      </c>
      <c r="E2253" s="4">
        <f>IFERROR(__xludf.DUMMYFUNCTION("""COMPUTED_VALUE"""),61.0)</f>
        <v>61</v>
      </c>
      <c r="F2253" s="4">
        <f>IFERROR(__xludf.DUMMYFUNCTION("""COMPUTED_VALUE"""),5.0)</f>
        <v>5</v>
      </c>
      <c r="G2253" s="4">
        <f>IFERROR(__xludf.DUMMYFUNCTION("""COMPUTED_VALUE"""),370.0)</f>
        <v>370</v>
      </c>
      <c r="H2253" s="5">
        <f>IFERROR(__xludf.DUMMYFUNCTION("""COMPUTED_VALUE"""),3872.42)</f>
        <v>3872.42</v>
      </c>
      <c r="I2253" s="5">
        <f>IFERROR(__xludf.DUMMYFUNCTION("""COMPUTED_VALUE"""),5386.04)</f>
        <v>5386.04</v>
      </c>
      <c r="J2253" s="5">
        <f>IFERROR(__xludf.DUMMYFUNCTION("""COMPUTED_VALUE"""),4809.6)</f>
        <v>4809.6</v>
      </c>
      <c r="K2253" s="5">
        <f>IFERROR(__xludf.DUMMYFUNCTION("""COMPUTED_VALUE"""),3190.38)</f>
        <v>3190.38</v>
      </c>
      <c r="L2253" s="4">
        <f>IFERROR(__xludf.DUMMYFUNCTION("""COMPUTED_VALUE"""),2.0)</f>
        <v>2</v>
      </c>
      <c r="M2253" s="4">
        <f>IFERROR(__xludf.DUMMYFUNCTION("""COMPUTED_VALUE"""),70.0)</f>
        <v>70</v>
      </c>
      <c r="N2253" s="2" t="b">
        <f>IFERROR(__xludf.DUMMYFUNCTION("""COMPUTED_VALUE"""),FALSE)</f>
        <v>0</v>
      </c>
    </row>
    <row r="2254">
      <c r="A2254" s="2">
        <f>IFERROR(__xludf.DUMMYFUNCTION("""COMPUTED_VALUE"""),2253.0)</f>
        <v>2253</v>
      </c>
      <c r="B2254" s="2" t="str">
        <f>IFERROR(__xludf.DUMMYFUNCTION("""COMPUTED_VALUE"""),"Joete Spriggen")</f>
        <v>Joete Spriggen</v>
      </c>
      <c r="C2254" s="2"/>
      <c r="D2254" s="4">
        <f>IFERROR(__xludf.DUMMYFUNCTION("""COMPUTED_VALUE"""),60.0)</f>
        <v>60</v>
      </c>
      <c r="E2254" s="4">
        <f>IFERROR(__xludf.DUMMYFUNCTION("""COMPUTED_VALUE"""),13.0)</f>
        <v>13</v>
      </c>
      <c r="F2254" s="4">
        <f>IFERROR(__xludf.DUMMYFUNCTION("""COMPUTED_VALUE"""),6.0)</f>
        <v>6</v>
      </c>
      <c r="G2254" s="4">
        <f>IFERROR(__xludf.DUMMYFUNCTION("""COMPUTED_VALUE"""),629.0)</f>
        <v>629</v>
      </c>
      <c r="H2254" s="5">
        <f>IFERROR(__xludf.DUMMYFUNCTION("""COMPUTED_VALUE"""),1457.65)</f>
        <v>1457.65</v>
      </c>
      <c r="I2254" s="5">
        <f>IFERROR(__xludf.DUMMYFUNCTION("""COMPUTED_VALUE"""),5042.61)</f>
        <v>5042.61</v>
      </c>
      <c r="J2254" s="5">
        <f>IFERROR(__xludf.DUMMYFUNCTION("""COMPUTED_VALUE"""),3623.34)</f>
        <v>3623.34</v>
      </c>
      <c r="K2254" s="5">
        <f>IFERROR(__xludf.DUMMYFUNCTION("""COMPUTED_VALUE"""),3736.72)</f>
        <v>3736.72</v>
      </c>
      <c r="L2254" s="4">
        <f>IFERROR(__xludf.DUMMYFUNCTION("""COMPUTED_VALUE"""),11.0)</f>
        <v>11</v>
      </c>
      <c r="M2254" s="4">
        <f>IFERROR(__xludf.DUMMYFUNCTION("""COMPUTED_VALUE"""),72.0)</f>
        <v>72</v>
      </c>
      <c r="N2254" s="2" t="b">
        <f>IFERROR(__xludf.DUMMYFUNCTION("""COMPUTED_VALUE"""),FALSE)</f>
        <v>0</v>
      </c>
    </row>
    <row r="2255">
      <c r="A2255" s="2">
        <f>IFERROR(__xludf.DUMMYFUNCTION("""COMPUTED_VALUE"""),2254.0)</f>
        <v>2254</v>
      </c>
      <c r="B2255" s="2" t="str">
        <f>IFERROR(__xludf.DUMMYFUNCTION("""COMPUTED_VALUE"""),"Risa Pharo")</f>
        <v>Risa Pharo</v>
      </c>
      <c r="C2255" s="2"/>
      <c r="D2255" s="4">
        <f>IFERROR(__xludf.DUMMYFUNCTION("""COMPUTED_VALUE"""),23.0)</f>
        <v>23</v>
      </c>
      <c r="E2255" s="4">
        <f>IFERROR(__xludf.DUMMYFUNCTION("""COMPUTED_VALUE"""),8.0)</f>
        <v>8</v>
      </c>
      <c r="F2255" s="4">
        <f>IFERROR(__xludf.DUMMYFUNCTION("""COMPUTED_VALUE"""),13.0)</f>
        <v>13</v>
      </c>
      <c r="G2255" s="4">
        <f>IFERROR(__xludf.DUMMYFUNCTION("""COMPUTED_VALUE"""),1318.0)</f>
        <v>1318</v>
      </c>
      <c r="H2255" s="5">
        <f>IFERROR(__xludf.DUMMYFUNCTION("""COMPUTED_VALUE"""),7866.05)</f>
        <v>7866.05</v>
      </c>
      <c r="I2255" s="5">
        <f>IFERROR(__xludf.DUMMYFUNCTION("""COMPUTED_VALUE"""),8562.08)</f>
        <v>8562.08</v>
      </c>
      <c r="J2255" s="5">
        <f>IFERROR(__xludf.DUMMYFUNCTION("""COMPUTED_VALUE"""),4284.56)</f>
        <v>4284.56</v>
      </c>
      <c r="K2255" s="5">
        <f>IFERROR(__xludf.DUMMYFUNCTION("""COMPUTED_VALUE"""),2509.73)</f>
        <v>2509.73</v>
      </c>
      <c r="L2255" s="4">
        <f>IFERROR(__xludf.DUMMYFUNCTION("""COMPUTED_VALUE"""),11.0)</f>
        <v>11</v>
      </c>
      <c r="M2255" s="4">
        <f>IFERROR(__xludf.DUMMYFUNCTION("""COMPUTED_VALUE"""),63.0)</f>
        <v>63</v>
      </c>
      <c r="N2255" s="2" t="b">
        <f>IFERROR(__xludf.DUMMYFUNCTION("""COMPUTED_VALUE"""),TRUE)</f>
        <v>1</v>
      </c>
    </row>
    <row r="2256">
      <c r="A2256" s="2">
        <f>IFERROR(__xludf.DUMMYFUNCTION("""COMPUTED_VALUE"""),2255.0)</f>
        <v>2255</v>
      </c>
      <c r="B2256" s="2" t="str">
        <f>IFERROR(__xludf.DUMMYFUNCTION("""COMPUTED_VALUE"""),"Carie O'Fairy")</f>
        <v>Carie O'Fairy</v>
      </c>
      <c r="C2256" s="2"/>
      <c r="D2256" s="4">
        <f>IFERROR(__xludf.DUMMYFUNCTION("""COMPUTED_VALUE"""),9.0)</f>
        <v>9</v>
      </c>
      <c r="E2256" s="4">
        <f>IFERROR(__xludf.DUMMYFUNCTION("""COMPUTED_VALUE"""),90.0)</f>
        <v>90</v>
      </c>
      <c r="F2256" s="4">
        <f>IFERROR(__xludf.DUMMYFUNCTION("""COMPUTED_VALUE"""),10.0)</f>
        <v>10</v>
      </c>
      <c r="G2256" s="4">
        <f>IFERROR(__xludf.DUMMYFUNCTION("""COMPUTED_VALUE"""),1051.0)</f>
        <v>1051</v>
      </c>
      <c r="H2256" s="5">
        <f>IFERROR(__xludf.DUMMYFUNCTION("""COMPUTED_VALUE"""),2804.55)</f>
        <v>2804.55</v>
      </c>
      <c r="I2256" s="5">
        <f>IFERROR(__xludf.DUMMYFUNCTION("""COMPUTED_VALUE"""),6748.66)</f>
        <v>6748.66</v>
      </c>
      <c r="J2256" s="5">
        <f>IFERROR(__xludf.DUMMYFUNCTION("""COMPUTED_VALUE"""),5419.95)</f>
        <v>5419.95</v>
      </c>
      <c r="K2256" s="5">
        <f>IFERROR(__xludf.DUMMYFUNCTION("""COMPUTED_VALUE"""),6363.81)</f>
        <v>6363.81</v>
      </c>
      <c r="L2256" s="4">
        <f>IFERROR(__xludf.DUMMYFUNCTION("""COMPUTED_VALUE"""),2.0)</f>
        <v>2</v>
      </c>
      <c r="M2256" s="4">
        <f>IFERROR(__xludf.DUMMYFUNCTION("""COMPUTED_VALUE"""),99.0)</f>
        <v>99</v>
      </c>
      <c r="N2256" s="2" t="b">
        <f>IFERROR(__xludf.DUMMYFUNCTION("""COMPUTED_VALUE"""),TRUE)</f>
        <v>1</v>
      </c>
    </row>
    <row r="2257">
      <c r="A2257" s="2">
        <f>IFERROR(__xludf.DUMMYFUNCTION("""COMPUTED_VALUE"""),2256.0)</f>
        <v>2256</v>
      </c>
      <c r="B2257" s="2" t="str">
        <f>IFERROR(__xludf.DUMMYFUNCTION("""COMPUTED_VALUE"""),"Lexine Atwood")</f>
        <v>Lexine Atwood</v>
      </c>
      <c r="C2257" s="2"/>
      <c r="D2257" s="4">
        <f>IFERROR(__xludf.DUMMYFUNCTION("""COMPUTED_VALUE"""),49.0)</f>
        <v>49</v>
      </c>
      <c r="E2257" s="4">
        <f>IFERROR(__xludf.DUMMYFUNCTION("""COMPUTED_VALUE"""),23.0)</f>
        <v>23</v>
      </c>
      <c r="F2257" s="4">
        <f>IFERROR(__xludf.DUMMYFUNCTION("""COMPUTED_VALUE"""),2.0)</f>
        <v>2</v>
      </c>
      <c r="G2257" s="4">
        <f>IFERROR(__xludf.DUMMYFUNCTION("""COMPUTED_VALUE"""),403.0)</f>
        <v>403</v>
      </c>
      <c r="H2257" s="5">
        <f>IFERROR(__xludf.DUMMYFUNCTION("""COMPUTED_VALUE"""),1160.9)</f>
        <v>1160.9</v>
      </c>
      <c r="I2257" s="5">
        <f>IFERROR(__xludf.DUMMYFUNCTION("""COMPUTED_VALUE"""),3518.43)</f>
        <v>3518.43</v>
      </c>
      <c r="J2257" s="5">
        <f>IFERROR(__xludf.DUMMYFUNCTION("""COMPUTED_VALUE"""),7604.09)</f>
        <v>7604.09</v>
      </c>
      <c r="K2257" s="5">
        <f>IFERROR(__xludf.DUMMYFUNCTION("""COMPUTED_VALUE"""),4223.05)</f>
        <v>4223.05</v>
      </c>
      <c r="L2257" s="4">
        <f>IFERROR(__xludf.DUMMYFUNCTION("""COMPUTED_VALUE"""),15.0)</f>
        <v>15</v>
      </c>
      <c r="M2257" s="4">
        <f>IFERROR(__xludf.DUMMYFUNCTION("""COMPUTED_VALUE"""),18.0)</f>
        <v>18</v>
      </c>
      <c r="N2257" s="2" t="b">
        <f>IFERROR(__xludf.DUMMYFUNCTION("""COMPUTED_VALUE"""),TRUE)</f>
        <v>1</v>
      </c>
    </row>
    <row r="2258">
      <c r="A2258" s="2">
        <f>IFERROR(__xludf.DUMMYFUNCTION("""COMPUTED_VALUE"""),2257.0)</f>
        <v>2257</v>
      </c>
      <c r="B2258" s="2" t="str">
        <f>IFERROR(__xludf.DUMMYFUNCTION("""COMPUTED_VALUE"""),"Luciano Gumme")</f>
        <v>Luciano Gumme</v>
      </c>
      <c r="C2258" s="2"/>
      <c r="D2258" s="4">
        <f>IFERROR(__xludf.DUMMYFUNCTION("""COMPUTED_VALUE"""),23.0)</f>
        <v>23</v>
      </c>
      <c r="E2258" s="4">
        <f>IFERROR(__xludf.DUMMYFUNCTION("""COMPUTED_VALUE"""),62.0)</f>
        <v>62</v>
      </c>
      <c r="F2258" s="4">
        <f>IFERROR(__xludf.DUMMYFUNCTION("""COMPUTED_VALUE"""),13.0)</f>
        <v>13</v>
      </c>
      <c r="G2258" s="4">
        <f>IFERROR(__xludf.DUMMYFUNCTION("""COMPUTED_VALUE"""),1041.0)</f>
        <v>1041</v>
      </c>
      <c r="H2258" s="5">
        <f>IFERROR(__xludf.DUMMYFUNCTION("""COMPUTED_VALUE"""),8421.99)</f>
        <v>8421.99</v>
      </c>
      <c r="I2258" s="5">
        <f>IFERROR(__xludf.DUMMYFUNCTION("""COMPUTED_VALUE"""),9852.72)</f>
        <v>9852.72</v>
      </c>
      <c r="J2258" s="5">
        <f>IFERROR(__xludf.DUMMYFUNCTION("""COMPUTED_VALUE"""),6242.02)</f>
        <v>6242.02</v>
      </c>
      <c r="K2258" s="5">
        <f>IFERROR(__xludf.DUMMYFUNCTION("""COMPUTED_VALUE"""),9909.38)</f>
        <v>9909.38</v>
      </c>
      <c r="L2258" s="4">
        <f>IFERROR(__xludf.DUMMYFUNCTION("""COMPUTED_VALUE"""),3.0)</f>
        <v>3</v>
      </c>
      <c r="M2258" s="4">
        <f>IFERROR(__xludf.DUMMYFUNCTION("""COMPUTED_VALUE"""),85.0)</f>
        <v>85</v>
      </c>
      <c r="N2258" s="2" t="b">
        <f>IFERROR(__xludf.DUMMYFUNCTION("""COMPUTED_VALUE"""),TRUE)</f>
        <v>1</v>
      </c>
    </row>
    <row r="2259">
      <c r="A2259" s="2">
        <f>IFERROR(__xludf.DUMMYFUNCTION("""COMPUTED_VALUE"""),2258.0)</f>
        <v>2258</v>
      </c>
      <c r="B2259" s="2" t="str">
        <f>IFERROR(__xludf.DUMMYFUNCTION("""COMPUTED_VALUE"""),"Rona Baldelli")</f>
        <v>Rona Baldelli</v>
      </c>
      <c r="C2259" s="2"/>
      <c r="D2259" s="4">
        <f>IFERROR(__xludf.DUMMYFUNCTION("""COMPUTED_VALUE"""),121.0)</f>
        <v>121</v>
      </c>
      <c r="E2259" s="4">
        <f>IFERROR(__xludf.DUMMYFUNCTION("""COMPUTED_VALUE"""),117.0)</f>
        <v>117</v>
      </c>
      <c r="F2259" s="4">
        <f>IFERROR(__xludf.DUMMYFUNCTION("""COMPUTED_VALUE"""),11.0)</f>
        <v>11</v>
      </c>
      <c r="G2259" s="4">
        <f>IFERROR(__xludf.DUMMYFUNCTION("""COMPUTED_VALUE"""),919.0)</f>
        <v>919</v>
      </c>
      <c r="H2259" s="5">
        <f>IFERROR(__xludf.DUMMYFUNCTION("""COMPUTED_VALUE"""),2497.54)</f>
        <v>2497.54</v>
      </c>
      <c r="I2259" s="5">
        <f>IFERROR(__xludf.DUMMYFUNCTION("""COMPUTED_VALUE"""),813.49)</f>
        <v>813.49</v>
      </c>
      <c r="J2259" s="5">
        <f>IFERROR(__xludf.DUMMYFUNCTION("""COMPUTED_VALUE"""),8393.6)</f>
        <v>8393.6</v>
      </c>
      <c r="K2259" s="5">
        <f>IFERROR(__xludf.DUMMYFUNCTION("""COMPUTED_VALUE"""),236.82)</f>
        <v>236.82</v>
      </c>
      <c r="L2259" s="4">
        <f>IFERROR(__xludf.DUMMYFUNCTION("""COMPUTED_VALUE"""),1.0)</f>
        <v>1</v>
      </c>
      <c r="M2259" s="4">
        <f>IFERROR(__xludf.DUMMYFUNCTION("""COMPUTED_VALUE"""),53.0)</f>
        <v>53</v>
      </c>
      <c r="N2259" s="2" t="b">
        <f>IFERROR(__xludf.DUMMYFUNCTION("""COMPUTED_VALUE"""),FALSE)</f>
        <v>0</v>
      </c>
    </row>
    <row r="2260">
      <c r="A2260" s="2">
        <f>IFERROR(__xludf.DUMMYFUNCTION("""COMPUTED_VALUE"""),2259.0)</f>
        <v>2259</v>
      </c>
      <c r="B2260" s="2" t="str">
        <f>IFERROR(__xludf.DUMMYFUNCTION("""COMPUTED_VALUE"""),"Aldus Robun")</f>
        <v>Aldus Robun</v>
      </c>
      <c r="C2260" s="2" t="str">
        <f>IFERROR(__xludf.DUMMYFUNCTION("""COMPUTED_VALUE"""),"arobun77@skype.com")</f>
        <v>arobun77@skype.com</v>
      </c>
      <c r="D2260" s="4">
        <f>IFERROR(__xludf.DUMMYFUNCTION("""COMPUTED_VALUE"""),68.0)</f>
        <v>68</v>
      </c>
      <c r="E2260" s="4">
        <f>IFERROR(__xludf.DUMMYFUNCTION("""COMPUTED_VALUE"""),25.0)</f>
        <v>25</v>
      </c>
      <c r="F2260" s="4">
        <f>IFERROR(__xludf.DUMMYFUNCTION("""COMPUTED_VALUE"""),7.0)</f>
        <v>7</v>
      </c>
      <c r="G2260" s="4">
        <f>IFERROR(__xludf.DUMMYFUNCTION("""COMPUTED_VALUE"""),1360.0)</f>
        <v>1360</v>
      </c>
      <c r="H2260" s="5">
        <f>IFERROR(__xludf.DUMMYFUNCTION("""COMPUTED_VALUE"""),1851.67)</f>
        <v>1851.67</v>
      </c>
      <c r="I2260" s="5">
        <f>IFERROR(__xludf.DUMMYFUNCTION("""COMPUTED_VALUE"""),9102.48)</f>
        <v>9102.48</v>
      </c>
      <c r="J2260" s="5">
        <f>IFERROR(__xludf.DUMMYFUNCTION("""COMPUTED_VALUE"""),7188.82)</f>
        <v>7188.82</v>
      </c>
      <c r="K2260" s="5">
        <f>IFERROR(__xludf.DUMMYFUNCTION("""COMPUTED_VALUE"""),1515.76)</f>
        <v>1515.76</v>
      </c>
      <c r="L2260" s="4">
        <f>IFERROR(__xludf.DUMMYFUNCTION("""COMPUTED_VALUE"""),2.0)</f>
        <v>2</v>
      </c>
      <c r="M2260" s="4">
        <f>IFERROR(__xludf.DUMMYFUNCTION("""COMPUTED_VALUE"""),94.0)</f>
        <v>94</v>
      </c>
      <c r="N2260" s="2" t="b">
        <f>IFERROR(__xludf.DUMMYFUNCTION("""COMPUTED_VALUE"""),TRUE)</f>
        <v>1</v>
      </c>
    </row>
    <row r="2261">
      <c r="A2261" s="2">
        <f>IFERROR(__xludf.DUMMYFUNCTION("""COMPUTED_VALUE"""),2260.0)</f>
        <v>2260</v>
      </c>
      <c r="B2261" s="2" t="str">
        <f>IFERROR(__xludf.DUMMYFUNCTION("""COMPUTED_VALUE"""),"Nisse Peschke")</f>
        <v>Nisse Peschke</v>
      </c>
      <c r="C2261" s="2"/>
      <c r="D2261" s="4">
        <f>IFERROR(__xludf.DUMMYFUNCTION("""COMPUTED_VALUE"""),8.0)</f>
        <v>8</v>
      </c>
      <c r="E2261" s="4">
        <f>IFERROR(__xludf.DUMMYFUNCTION("""COMPUTED_VALUE"""),99.0)</f>
        <v>99</v>
      </c>
      <c r="F2261" s="4">
        <f>IFERROR(__xludf.DUMMYFUNCTION("""COMPUTED_VALUE"""),7.0)</f>
        <v>7</v>
      </c>
      <c r="G2261" s="4">
        <f>IFERROR(__xludf.DUMMYFUNCTION("""COMPUTED_VALUE"""),1266.0)</f>
        <v>1266</v>
      </c>
      <c r="H2261" s="5">
        <f>IFERROR(__xludf.DUMMYFUNCTION("""COMPUTED_VALUE"""),165.73)</f>
        <v>165.73</v>
      </c>
      <c r="I2261" s="5">
        <f>IFERROR(__xludf.DUMMYFUNCTION("""COMPUTED_VALUE"""),4830.52)</f>
        <v>4830.52</v>
      </c>
      <c r="J2261" s="5">
        <f>IFERROR(__xludf.DUMMYFUNCTION("""COMPUTED_VALUE"""),1229.51)</f>
        <v>1229.51</v>
      </c>
      <c r="K2261" s="5">
        <f>IFERROR(__xludf.DUMMYFUNCTION("""COMPUTED_VALUE"""),7541.87)</f>
        <v>7541.87</v>
      </c>
      <c r="L2261" s="4">
        <f>IFERROR(__xludf.DUMMYFUNCTION("""COMPUTED_VALUE"""),1.0)</f>
        <v>1</v>
      </c>
      <c r="M2261" s="4">
        <f>IFERROR(__xludf.DUMMYFUNCTION("""COMPUTED_VALUE"""),5.0)</f>
        <v>5</v>
      </c>
      <c r="N2261" s="2" t="b">
        <f>IFERROR(__xludf.DUMMYFUNCTION("""COMPUTED_VALUE"""),TRUE)</f>
        <v>1</v>
      </c>
    </row>
    <row r="2262">
      <c r="A2262" s="2">
        <f>IFERROR(__xludf.DUMMYFUNCTION("""COMPUTED_VALUE"""),2261.0)</f>
        <v>2261</v>
      </c>
      <c r="B2262" s="2" t="str">
        <f>IFERROR(__xludf.DUMMYFUNCTION("""COMPUTED_VALUE"""),"Torrance Rounsefull")</f>
        <v>Torrance Rounsefull</v>
      </c>
      <c r="C2262" s="2" t="str">
        <f>IFERROR(__xludf.DUMMYFUNCTION("""COMPUTED_VALUE"""),"trounsefull79@indiegogo.com")</f>
        <v>trounsefull79@indiegogo.com</v>
      </c>
      <c r="D2262" s="4">
        <f>IFERROR(__xludf.DUMMYFUNCTION("""COMPUTED_VALUE"""),78.0)</f>
        <v>78</v>
      </c>
      <c r="E2262" s="4">
        <f>IFERROR(__xludf.DUMMYFUNCTION("""COMPUTED_VALUE"""),98.0)</f>
        <v>98</v>
      </c>
      <c r="F2262" s="4">
        <f>IFERROR(__xludf.DUMMYFUNCTION("""COMPUTED_VALUE"""),7.0)</f>
        <v>7</v>
      </c>
      <c r="G2262" s="4">
        <f>IFERROR(__xludf.DUMMYFUNCTION("""COMPUTED_VALUE"""),1450.0)</f>
        <v>1450</v>
      </c>
      <c r="H2262" s="5">
        <f>IFERROR(__xludf.DUMMYFUNCTION("""COMPUTED_VALUE"""),7996.13)</f>
        <v>7996.13</v>
      </c>
      <c r="I2262" s="5">
        <f>IFERROR(__xludf.DUMMYFUNCTION("""COMPUTED_VALUE"""),9258.78)</f>
        <v>9258.78</v>
      </c>
      <c r="J2262" s="5">
        <f>IFERROR(__xludf.DUMMYFUNCTION("""COMPUTED_VALUE"""),6937.43)</f>
        <v>6937.43</v>
      </c>
      <c r="K2262" s="5">
        <f>IFERROR(__xludf.DUMMYFUNCTION("""COMPUTED_VALUE"""),5195.83)</f>
        <v>5195.83</v>
      </c>
      <c r="L2262" s="4">
        <f>IFERROR(__xludf.DUMMYFUNCTION("""COMPUTED_VALUE"""),13.0)</f>
        <v>13</v>
      </c>
      <c r="M2262" s="4">
        <f>IFERROR(__xludf.DUMMYFUNCTION("""COMPUTED_VALUE"""),78.0)</f>
        <v>78</v>
      </c>
      <c r="N2262" s="2" t="b">
        <f>IFERROR(__xludf.DUMMYFUNCTION("""COMPUTED_VALUE"""),TRUE)</f>
        <v>1</v>
      </c>
    </row>
    <row r="2263">
      <c r="A2263" s="2">
        <f>IFERROR(__xludf.DUMMYFUNCTION("""COMPUTED_VALUE"""),2262.0)</f>
        <v>2262</v>
      </c>
      <c r="B2263" s="2" t="str">
        <f>IFERROR(__xludf.DUMMYFUNCTION("""COMPUTED_VALUE"""),"Hedy Carren")</f>
        <v>Hedy Carren</v>
      </c>
      <c r="C2263" s="2"/>
      <c r="D2263" s="4">
        <f>IFERROR(__xludf.DUMMYFUNCTION("""COMPUTED_VALUE"""),123.0)</f>
        <v>123</v>
      </c>
      <c r="E2263" s="4">
        <f>IFERROR(__xludf.DUMMYFUNCTION("""COMPUTED_VALUE"""),60.0)</f>
        <v>60</v>
      </c>
      <c r="F2263" s="4">
        <f>IFERROR(__xludf.DUMMYFUNCTION("""COMPUTED_VALUE"""),7.0)</f>
        <v>7</v>
      </c>
      <c r="G2263" s="4">
        <f>IFERROR(__xludf.DUMMYFUNCTION("""COMPUTED_VALUE"""),733.0)</f>
        <v>733</v>
      </c>
      <c r="H2263" s="5">
        <f>IFERROR(__xludf.DUMMYFUNCTION("""COMPUTED_VALUE"""),5835.09)</f>
        <v>5835.09</v>
      </c>
      <c r="I2263" s="5">
        <f>IFERROR(__xludf.DUMMYFUNCTION("""COMPUTED_VALUE"""),5861.27)</f>
        <v>5861.27</v>
      </c>
      <c r="J2263" s="5">
        <f>IFERROR(__xludf.DUMMYFUNCTION("""COMPUTED_VALUE"""),9691.27)</f>
        <v>9691.27</v>
      </c>
      <c r="K2263" s="5">
        <f>IFERROR(__xludf.DUMMYFUNCTION("""COMPUTED_VALUE"""),5383.74)</f>
        <v>5383.74</v>
      </c>
      <c r="L2263" s="4">
        <f>IFERROR(__xludf.DUMMYFUNCTION("""COMPUTED_VALUE"""),8.0)</f>
        <v>8</v>
      </c>
      <c r="M2263" s="4">
        <f>IFERROR(__xludf.DUMMYFUNCTION("""COMPUTED_VALUE"""),99.0)</f>
        <v>99</v>
      </c>
      <c r="N2263" s="2" t="b">
        <f>IFERROR(__xludf.DUMMYFUNCTION("""COMPUTED_VALUE"""),FALSE)</f>
        <v>0</v>
      </c>
    </row>
    <row r="2264">
      <c r="A2264" s="2">
        <f>IFERROR(__xludf.DUMMYFUNCTION("""COMPUTED_VALUE"""),2263.0)</f>
        <v>2263</v>
      </c>
      <c r="B2264" s="2" t="str">
        <f>IFERROR(__xludf.DUMMYFUNCTION("""COMPUTED_VALUE"""),"Sophie Woloschin")</f>
        <v>Sophie Woloschin</v>
      </c>
      <c r="C2264" s="2"/>
      <c r="D2264" s="4">
        <f>IFERROR(__xludf.DUMMYFUNCTION("""COMPUTED_VALUE"""),127.0)</f>
        <v>127</v>
      </c>
      <c r="E2264" s="4">
        <f>IFERROR(__xludf.DUMMYFUNCTION("""COMPUTED_VALUE"""),67.0)</f>
        <v>67</v>
      </c>
      <c r="F2264" s="4">
        <f>IFERROR(__xludf.DUMMYFUNCTION("""COMPUTED_VALUE"""),11.0)</f>
        <v>11</v>
      </c>
      <c r="G2264" s="4">
        <f>IFERROR(__xludf.DUMMYFUNCTION("""COMPUTED_VALUE"""),359.0)</f>
        <v>359</v>
      </c>
      <c r="H2264" s="5">
        <f>IFERROR(__xludf.DUMMYFUNCTION("""COMPUTED_VALUE"""),3022.23)</f>
        <v>3022.23</v>
      </c>
      <c r="I2264" s="5">
        <f>IFERROR(__xludf.DUMMYFUNCTION("""COMPUTED_VALUE"""),5943.25)</f>
        <v>5943.25</v>
      </c>
      <c r="J2264" s="5">
        <f>IFERROR(__xludf.DUMMYFUNCTION("""COMPUTED_VALUE"""),4913.37)</f>
        <v>4913.37</v>
      </c>
      <c r="K2264" s="5">
        <f>IFERROR(__xludf.DUMMYFUNCTION("""COMPUTED_VALUE"""),9839.2)</f>
        <v>9839.2</v>
      </c>
      <c r="L2264" s="4">
        <f>IFERROR(__xludf.DUMMYFUNCTION("""COMPUTED_VALUE"""),17.0)</f>
        <v>17</v>
      </c>
      <c r="M2264" s="4">
        <f>IFERROR(__xludf.DUMMYFUNCTION("""COMPUTED_VALUE"""),42.0)</f>
        <v>42</v>
      </c>
      <c r="N2264" s="2" t="b">
        <f>IFERROR(__xludf.DUMMYFUNCTION("""COMPUTED_VALUE"""),FALSE)</f>
        <v>0</v>
      </c>
    </row>
    <row r="2265">
      <c r="A2265" s="2">
        <f>IFERROR(__xludf.DUMMYFUNCTION("""COMPUTED_VALUE"""),2264.0)</f>
        <v>2264</v>
      </c>
      <c r="B2265" s="2" t="str">
        <f>IFERROR(__xludf.DUMMYFUNCTION("""COMPUTED_VALUE"""),"Elsinore Oxenham")</f>
        <v>Elsinore Oxenham</v>
      </c>
      <c r="C2265" s="2" t="str">
        <f>IFERROR(__xludf.DUMMYFUNCTION("""COMPUTED_VALUE"""),"eoxenham7c@cbc.ca")</f>
        <v>eoxenham7c@cbc.ca</v>
      </c>
      <c r="D2265" s="4">
        <f>IFERROR(__xludf.DUMMYFUNCTION("""COMPUTED_VALUE"""),82.0)</f>
        <v>82</v>
      </c>
      <c r="E2265" s="4">
        <f>IFERROR(__xludf.DUMMYFUNCTION("""COMPUTED_VALUE"""),55.0)</f>
        <v>55</v>
      </c>
      <c r="F2265" s="4">
        <f>IFERROR(__xludf.DUMMYFUNCTION("""COMPUTED_VALUE"""),6.0)</f>
        <v>6</v>
      </c>
      <c r="G2265" s="4">
        <f>IFERROR(__xludf.DUMMYFUNCTION("""COMPUTED_VALUE"""),693.0)</f>
        <v>693</v>
      </c>
      <c r="H2265" s="5">
        <f>IFERROR(__xludf.DUMMYFUNCTION("""COMPUTED_VALUE"""),5367.18)</f>
        <v>5367.18</v>
      </c>
      <c r="I2265" s="5">
        <f>IFERROR(__xludf.DUMMYFUNCTION("""COMPUTED_VALUE"""),6646.33)</f>
        <v>6646.33</v>
      </c>
      <c r="J2265" s="5">
        <f>IFERROR(__xludf.DUMMYFUNCTION("""COMPUTED_VALUE"""),7863.14)</f>
        <v>7863.14</v>
      </c>
      <c r="K2265" s="5">
        <f>IFERROR(__xludf.DUMMYFUNCTION("""COMPUTED_VALUE"""),5258.34)</f>
        <v>5258.34</v>
      </c>
      <c r="L2265" s="4">
        <f>IFERROR(__xludf.DUMMYFUNCTION("""COMPUTED_VALUE"""),2.0)</f>
        <v>2</v>
      </c>
      <c r="M2265" s="4">
        <f>IFERROR(__xludf.DUMMYFUNCTION("""COMPUTED_VALUE"""),51.0)</f>
        <v>51</v>
      </c>
      <c r="N2265" s="2" t="b">
        <f>IFERROR(__xludf.DUMMYFUNCTION("""COMPUTED_VALUE"""),TRUE)</f>
        <v>1</v>
      </c>
    </row>
    <row r="2266">
      <c r="A2266" s="2">
        <f>IFERROR(__xludf.DUMMYFUNCTION("""COMPUTED_VALUE"""),2265.0)</f>
        <v>2265</v>
      </c>
      <c r="B2266" s="2" t="str">
        <f>IFERROR(__xludf.DUMMYFUNCTION("""COMPUTED_VALUE"""),"Aylmer Snashall")</f>
        <v>Aylmer Snashall</v>
      </c>
      <c r="C2266" s="2" t="str">
        <f>IFERROR(__xludf.DUMMYFUNCTION("""COMPUTED_VALUE"""),"asnashall7d@surveymonkey.com")</f>
        <v>asnashall7d@surveymonkey.com</v>
      </c>
      <c r="D2266" s="4">
        <f>IFERROR(__xludf.DUMMYFUNCTION("""COMPUTED_VALUE"""),101.0)</f>
        <v>101</v>
      </c>
      <c r="E2266" s="4">
        <f>IFERROR(__xludf.DUMMYFUNCTION("""COMPUTED_VALUE"""),104.0)</f>
        <v>104</v>
      </c>
      <c r="F2266" s="4">
        <f>IFERROR(__xludf.DUMMYFUNCTION("""COMPUTED_VALUE"""),13.0)</f>
        <v>13</v>
      </c>
      <c r="G2266" s="4">
        <f>IFERROR(__xludf.DUMMYFUNCTION("""COMPUTED_VALUE"""),376.0)</f>
        <v>376</v>
      </c>
      <c r="H2266" s="5">
        <f>IFERROR(__xludf.DUMMYFUNCTION("""COMPUTED_VALUE"""),9664.96)</f>
        <v>9664.96</v>
      </c>
      <c r="I2266" s="5">
        <f>IFERROR(__xludf.DUMMYFUNCTION("""COMPUTED_VALUE"""),5991.18)</f>
        <v>5991.18</v>
      </c>
      <c r="J2266" s="5">
        <f>IFERROR(__xludf.DUMMYFUNCTION("""COMPUTED_VALUE"""),6901.36)</f>
        <v>6901.36</v>
      </c>
      <c r="K2266" s="5">
        <f>IFERROR(__xludf.DUMMYFUNCTION("""COMPUTED_VALUE"""),5539.87)</f>
        <v>5539.87</v>
      </c>
      <c r="L2266" s="4">
        <f>IFERROR(__xludf.DUMMYFUNCTION("""COMPUTED_VALUE"""),15.0)</f>
        <v>15</v>
      </c>
      <c r="M2266" s="4">
        <f>IFERROR(__xludf.DUMMYFUNCTION("""COMPUTED_VALUE"""),61.0)</f>
        <v>61</v>
      </c>
      <c r="N2266" s="2" t="b">
        <f>IFERROR(__xludf.DUMMYFUNCTION("""COMPUTED_VALUE"""),TRUE)</f>
        <v>1</v>
      </c>
    </row>
    <row r="2267">
      <c r="A2267" s="2">
        <f>IFERROR(__xludf.DUMMYFUNCTION("""COMPUTED_VALUE"""),2266.0)</f>
        <v>2266</v>
      </c>
      <c r="B2267" s="2" t="str">
        <f>IFERROR(__xludf.DUMMYFUNCTION("""COMPUTED_VALUE"""),"Robby Rudolfer")</f>
        <v>Robby Rudolfer</v>
      </c>
      <c r="C2267" s="2"/>
      <c r="D2267" s="4">
        <f>IFERROR(__xludf.DUMMYFUNCTION("""COMPUTED_VALUE"""),18.0)</f>
        <v>18</v>
      </c>
      <c r="E2267" s="4">
        <f>IFERROR(__xludf.DUMMYFUNCTION("""COMPUTED_VALUE"""),105.0)</f>
        <v>105</v>
      </c>
      <c r="F2267" s="4">
        <f>IFERROR(__xludf.DUMMYFUNCTION("""COMPUTED_VALUE"""),4.0)</f>
        <v>4</v>
      </c>
      <c r="G2267" s="4">
        <f>IFERROR(__xludf.DUMMYFUNCTION("""COMPUTED_VALUE"""),270.0)</f>
        <v>270</v>
      </c>
      <c r="H2267" s="5">
        <f>IFERROR(__xludf.DUMMYFUNCTION("""COMPUTED_VALUE"""),6164.57)</f>
        <v>6164.57</v>
      </c>
      <c r="I2267" s="5">
        <f>IFERROR(__xludf.DUMMYFUNCTION("""COMPUTED_VALUE"""),8474.01)</f>
        <v>8474.01</v>
      </c>
      <c r="J2267" s="5">
        <f>IFERROR(__xludf.DUMMYFUNCTION("""COMPUTED_VALUE"""),531.58)</f>
        <v>531.58</v>
      </c>
      <c r="K2267" s="5">
        <f>IFERROR(__xludf.DUMMYFUNCTION("""COMPUTED_VALUE"""),3550.8)</f>
        <v>3550.8</v>
      </c>
      <c r="L2267" s="4">
        <f>IFERROR(__xludf.DUMMYFUNCTION("""COMPUTED_VALUE"""),14.0)</f>
        <v>14</v>
      </c>
      <c r="M2267" s="4">
        <f>IFERROR(__xludf.DUMMYFUNCTION("""COMPUTED_VALUE"""),5.0)</f>
        <v>5</v>
      </c>
      <c r="N2267" s="2" t="b">
        <f>IFERROR(__xludf.DUMMYFUNCTION("""COMPUTED_VALUE"""),FALSE)</f>
        <v>0</v>
      </c>
    </row>
    <row r="2268">
      <c r="A2268" s="2">
        <f>IFERROR(__xludf.DUMMYFUNCTION("""COMPUTED_VALUE"""),2267.0)</f>
        <v>2267</v>
      </c>
      <c r="B2268" s="2" t="str">
        <f>IFERROR(__xludf.DUMMYFUNCTION("""COMPUTED_VALUE"""),"Trudi De Metz")</f>
        <v>Trudi De Metz</v>
      </c>
      <c r="C2268" s="2" t="str">
        <f>IFERROR(__xludf.DUMMYFUNCTION("""COMPUTED_VALUE"""),"tde7f@eepurl.com")</f>
        <v>tde7f@eepurl.com</v>
      </c>
      <c r="D2268" s="4">
        <f>IFERROR(__xludf.DUMMYFUNCTION("""COMPUTED_VALUE"""),3.0)</f>
        <v>3</v>
      </c>
      <c r="E2268" s="4">
        <f>IFERROR(__xludf.DUMMYFUNCTION("""COMPUTED_VALUE"""),101.0)</f>
        <v>101</v>
      </c>
      <c r="F2268" s="4">
        <f>IFERROR(__xludf.DUMMYFUNCTION("""COMPUTED_VALUE"""),7.0)</f>
        <v>7</v>
      </c>
      <c r="G2268" s="4">
        <f>IFERROR(__xludf.DUMMYFUNCTION("""COMPUTED_VALUE"""),192.0)</f>
        <v>192</v>
      </c>
      <c r="H2268" s="5">
        <f>IFERROR(__xludf.DUMMYFUNCTION("""COMPUTED_VALUE"""),6114.86)</f>
        <v>6114.86</v>
      </c>
      <c r="I2268" s="5">
        <f>IFERROR(__xludf.DUMMYFUNCTION("""COMPUTED_VALUE"""),8880.65)</f>
        <v>8880.65</v>
      </c>
      <c r="J2268" s="5">
        <f>IFERROR(__xludf.DUMMYFUNCTION("""COMPUTED_VALUE"""),4422.78)</f>
        <v>4422.78</v>
      </c>
      <c r="K2268" s="5">
        <f>IFERROR(__xludf.DUMMYFUNCTION("""COMPUTED_VALUE"""),6794.81)</f>
        <v>6794.81</v>
      </c>
      <c r="L2268" s="4">
        <f>IFERROR(__xludf.DUMMYFUNCTION("""COMPUTED_VALUE"""),2.0)</f>
        <v>2</v>
      </c>
      <c r="M2268" s="4">
        <f>IFERROR(__xludf.DUMMYFUNCTION("""COMPUTED_VALUE"""),30.0)</f>
        <v>30</v>
      </c>
      <c r="N2268" s="2" t="b">
        <f>IFERROR(__xludf.DUMMYFUNCTION("""COMPUTED_VALUE"""),TRUE)</f>
        <v>1</v>
      </c>
    </row>
    <row r="2269">
      <c r="A2269" s="2">
        <f>IFERROR(__xludf.DUMMYFUNCTION("""COMPUTED_VALUE"""),2268.0)</f>
        <v>2268</v>
      </c>
      <c r="B2269" s="2" t="str">
        <f>IFERROR(__xludf.DUMMYFUNCTION("""COMPUTED_VALUE"""),"Reade Rosenfelder")</f>
        <v>Reade Rosenfelder</v>
      </c>
      <c r="C2269" s="2"/>
      <c r="D2269" s="4">
        <f>IFERROR(__xludf.DUMMYFUNCTION("""COMPUTED_VALUE"""),5.0)</f>
        <v>5</v>
      </c>
      <c r="E2269" s="4">
        <f>IFERROR(__xludf.DUMMYFUNCTION("""COMPUTED_VALUE"""),107.0)</f>
        <v>107</v>
      </c>
      <c r="F2269" s="4">
        <f>IFERROR(__xludf.DUMMYFUNCTION("""COMPUTED_VALUE"""),7.0)</f>
        <v>7</v>
      </c>
      <c r="G2269" s="4">
        <f>IFERROR(__xludf.DUMMYFUNCTION("""COMPUTED_VALUE"""),1127.0)</f>
        <v>1127</v>
      </c>
      <c r="H2269" s="5">
        <f>IFERROR(__xludf.DUMMYFUNCTION("""COMPUTED_VALUE"""),801.06)</f>
        <v>801.06</v>
      </c>
      <c r="I2269" s="5">
        <f>IFERROR(__xludf.DUMMYFUNCTION("""COMPUTED_VALUE"""),6482.81)</f>
        <v>6482.81</v>
      </c>
      <c r="J2269" s="5">
        <f>IFERROR(__xludf.DUMMYFUNCTION("""COMPUTED_VALUE"""),8795.77)</f>
        <v>8795.77</v>
      </c>
      <c r="K2269" s="5">
        <f>IFERROR(__xludf.DUMMYFUNCTION("""COMPUTED_VALUE"""),2452.29)</f>
        <v>2452.29</v>
      </c>
      <c r="L2269" s="4">
        <f>IFERROR(__xludf.DUMMYFUNCTION("""COMPUTED_VALUE"""),17.0)</f>
        <v>17</v>
      </c>
      <c r="M2269" s="4">
        <f>IFERROR(__xludf.DUMMYFUNCTION("""COMPUTED_VALUE"""),2.0)</f>
        <v>2</v>
      </c>
      <c r="N2269" s="2" t="b">
        <f>IFERROR(__xludf.DUMMYFUNCTION("""COMPUTED_VALUE"""),FALSE)</f>
        <v>0</v>
      </c>
    </row>
    <row r="2270">
      <c r="A2270" s="2">
        <f>IFERROR(__xludf.DUMMYFUNCTION("""COMPUTED_VALUE"""),2269.0)</f>
        <v>2269</v>
      </c>
      <c r="B2270" s="2" t="str">
        <f>IFERROR(__xludf.DUMMYFUNCTION("""COMPUTED_VALUE"""),"Britt Downton")</f>
        <v>Britt Downton</v>
      </c>
      <c r="C2270" s="2" t="str">
        <f>IFERROR(__xludf.DUMMYFUNCTION("""COMPUTED_VALUE"""),"bdownton7h@google.com.br")</f>
        <v>bdownton7h@google.com.br</v>
      </c>
      <c r="D2270" s="4">
        <f>IFERROR(__xludf.DUMMYFUNCTION("""COMPUTED_VALUE"""),123.0)</f>
        <v>123</v>
      </c>
      <c r="E2270" s="4">
        <f>IFERROR(__xludf.DUMMYFUNCTION("""COMPUTED_VALUE"""),45.0)</f>
        <v>45</v>
      </c>
      <c r="F2270" s="4">
        <f>IFERROR(__xludf.DUMMYFUNCTION("""COMPUTED_VALUE"""),2.0)</f>
        <v>2</v>
      </c>
      <c r="G2270" s="4">
        <f>IFERROR(__xludf.DUMMYFUNCTION("""COMPUTED_VALUE"""),242.0)</f>
        <v>242</v>
      </c>
      <c r="H2270" s="5">
        <f>IFERROR(__xludf.DUMMYFUNCTION("""COMPUTED_VALUE"""),7917.01)</f>
        <v>7917.01</v>
      </c>
      <c r="I2270" s="5">
        <f>IFERROR(__xludf.DUMMYFUNCTION("""COMPUTED_VALUE"""),9243.74)</f>
        <v>9243.74</v>
      </c>
      <c r="J2270" s="5">
        <f>IFERROR(__xludf.DUMMYFUNCTION("""COMPUTED_VALUE"""),4447.71)</f>
        <v>4447.71</v>
      </c>
      <c r="K2270" s="5">
        <f>IFERROR(__xludf.DUMMYFUNCTION("""COMPUTED_VALUE"""),2931.92)</f>
        <v>2931.92</v>
      </c>
      <c r="L2270" s="4">
        <f>IFERROR(__xludf.DUMMYFUNCTION("""COMPUTED_VALUE"""),19.0)</f>
        <v>19</v>
      </c>
      <c r="M2270" s="4">
        <f>IFERROR(__xludf.DUMMYFUNCTION("""COMPUTED_VALUE"""),27.0)</f>
        <v>27</v>
      </c>
      <c r="N2270" s="2" t="b">
        <f>IFERROR(__xludf.DUMMYFUNCTION("""COMPUTED_VALUE"""),TRUE)</f>
        <v>1</v>
      </c>
    </row>
    <row r="2271">
      <c r="A2271" s="2">
        <f>IFERROR(__xludf.DUMMYFUNCTION("""COMPUTED_VALUE"""),2270.0)</f>
        <v>2270</v>
      </c>
      <c r="B2271" s="2" t="str">
        <f>IFERROR(__xludf.DUMMYFUNCTION("""COMPUTED_VALUE"""),"Sabine Fuzzard")</f>
        <v>Sabine Fuzzard</v>
      </c>
      <c r="C2271" s="2"/>
      <c r="D2271" s="4">
        <f>IFERROR(__xludf.DUMMYFUNCTION("""COMPUTED_VALUE"""),82.0)</f>
        <v>82</v>
      </c>
      <c r="E2271" s="4">
        <f>IFERROR(__xludf.DUMMYFUNCTION("""COMPUTED_VALUE"""),66.0)</f>
        <v>66</v>
      </c>
      <c r="F2271" s="4">
        <f>IFERROR(__xludf.DUMMYFUNCTION("""COMPUTED_VALUE"""),8.0)</f>
        <v>8</v>
      </c>
      <c r="G2271" s="4">
        <f>IFERROR(__xludf.DUMMYFUNCTION("""COMPUTED_VALUE"""),278.0)</f>
        <v>278</v>
      </c>
      <c r="H2271" s="5">
        <f>IFERROR(__xludf.DUMMYFUNCTION("""COMPUTED_VALUE"""),7372.38)</f>
        <v>7372.38</v>
      </c>
      <c r="I2271" s="5">
        <f>IFERROR(__xludf.DUMMYFUNCTION("""COMPUTED_VALUE"""),5725.2)</f>
        <v>5725.2</v>
      </c>
      <c r="J2271" s="5">
        <f>IFERROR(__xludf.DUMMYFUNCTION("""COMPUTED_VALUE"""),9376.57)</f>
        <v>9376.57</v>
      </c>
      <c r="K2271" s="5">
        <f>IFERROR(__xludf.DUMMYFUNCTION("""COMPUTED_VALUE"""),7756.1)</f>
        <v>7756.1</v>
      </c>
      <c r="L2271" s="4">
        <f>IFERROR(__xludf.DUMMYFUNCTION("""COMPUTED_VALUE"""),8.0)</f>
        <v>8</v>
      </c>
      <c r="M2271" s="4">
        <f>IFERROR(__xludf.DUMMYFUNCTION("""COMPUTED_VALUE"""),29.0)</f>
        <v>29</v>
      </c>
      <c r="N2271" s="2" t="b">
        <f>IFERROR(__xludf.DUMMYFUNCTION("""COMPUTED_VALUE"""),TRUE)</f>
        <v>1</v>
      </c>
    </row>
    <row r="2272">
      <c r="A2272" s="2">
        <f>IFERROR(__xludf.DUMMYFUNCTION("""COMPUTED_VALUE"""),2271.0)</f>
        <v>2271</v>
      </c>
      <c r="B2272" s="2" t="str">
        <f>IFERROR(__xludf.DUMMYFUNCTION("""COMPUTED_VALUE"""),"Lula Dallaghan")</f>
        <v>Lula Dallaghan</v>
      </c>
      <c r="C2272" s="2"/>
      <c r="D2272" s="4">
        <f>IFERROR(__xludf.DUMMYFUNCTION("""COMPUTED_VALUE"""),121.0)</f>
        <v>121</v>
      </c>
      <c r="E2272" s="4">
        <f>IFERROR(__xludf.DUMMYFUNCTION("""COMPUTED_VALUE"""),86.0)</f>
        <v>86</v>
      </c>
      <c r="F2272" s="4">
        <f>IFERROR(__xludf.DUMMYFUNCTION("""COMPUTED_VALUE"""),9.0)</f>
        <v>9</v>
      </c>
      <c r="G2272" s="4">
        <f>IFERROR(__xludf.DUMMYFUNCTION("""COMPUTED_VALUE"""),42.0)</f>
        <v>42</v>
      </c>
      <c r="H2272" s="5">
        <f>IFERROR(__xludf.DUMMYFUNCTION("""COMPUTED_VALUE"""),2811.49)</f>
        <v>2811.49</v>
      </c>
      <c r="I2272" s="5">
        <f>IFERROR(__xludf.DUMMYFUNCTION("""COMPUTED_VALUE"""),3146.66)</f>
        <v>3146.66</v>
      </c>
      <c r="J2272" s="5">
        <f>IFERROR(__xludf.DUMMYFUNCTION("""COMPUTED_VALUE"""),4114.55)</f>
        <v>4114.55</v>
      </c>
      <c r="K2272" s="5">
        <f>IFERROR(__xludf.DUMMYFUNCTION("""COMPUTED_VALUE"""),608.68)</f>
        <v>608.68</v>
      </c>
      <c r="L2272" s="4">
        <f>IFERROR(__xludf.DUMMYFUNCTION("""COMPUTED_VALUE"""),12.0)</f>
        <v>12</v>
      </c>
      <c r="M2272" s="4">
        <f>IFERROR(__xludf.DUMMYFUNCTION("""COMPUTED_VALUE"""),70.0)</f>
        <v>70</v>
      </c>
      <c r="N2272" s="2" t="b">
        <f>IFERROR(__xludf.DUMMYFUNCTION("""COMPUTED_VALUE"""),TRUE)</f>
        <v>1</v>
      </c>
    </row>
    <row r="2273">
      <c r="A2273" s="2">
        <f>IFERROR(__xludf.DUMMYFUNCTION("""COMPUTED_VALUE"""),2272.0)</f>
        <v>2272</v>
      </c>
      <c r="B2273" s="2" t="str">
        <f>IFERROR(__xludf.DUMMYFUNCTION("""COMPUTED_VALUE"""),"Alessandro Terrelly")</f>
        <v>Alessandro Terrelly</v>
      </c>
      <c r="C2273" s="2"/>
      <c r="D2273" s="4">
        <f>IFERROR(__xludf.DUMMYFUNCTION("""COMPUTED_VALUE"""),59.0)</f>
        <v>59</v>
      </c>
      <c r="E2273" s="4">
        <f>IFERROR(__xludf.DUMMYFUNCTION("""COMPUTED_VALUE"""),28.0)</f>
        <v>28</v>
      </c>
      <c r="F2273" s="4">
        <f>IFERROR(__xludf.DUMMYFUNCTION("""COMPUTED_VALUE"""),12.0)</f>
        <v>12</v>
      </c>
      <c r="G2273" s="4">
        <f>IFERROR(__xludf.DUMMYFUNCTION("""COMPUTED_VALUE"""),669.0)</f>
        <v>669</v>
      </c>
      <c r="H2273" s="5">
        <f>IFERROR(__xludf.DUMMYFUNCTION("""COMPUTED_VALUE"""),3348.23)</f>
        <v>3348.23</v>
      </c>
      <c r="I2273" s="5">
        <f>IFERROR(__xludf.DUMMYFUNCTION("""COMPUTED_VALUE"""),666.65)</f>
        <v>666.65</v>
      </c>
      <c r="J2273" s="5">
        <f>IFERROR(__xludf.DUMMYFUNCTION("""COMPUTED_VALUE"""),8451.79)</f>
        <v>8451.79</v>
      </c>
      <c r="K2273" s="5">
        <f>IFERROR(__xludf.DUMMYFUNCTION("""COMPUTED_VALUE"""),2807.99)</f>
        <v>2807.99</v>
      </c>
      <c r="L2273" s="4">
        <f>IFERROR(__xludf.DUMMYFUNCTION("""COMPUTED_VALUE"""),10.0)</f>
        <v>10</v>
      </c>
      <c r="M2273" s="4">
        <f>IFERROR(__xludf.DUMMYFUNCTION("""COMPUTED_VALUE"""),53.0)</f>
        <v>53</v>
      </c>
      <c r="N2273" s="2" t="b">
        <f>IFERROR(__xludf.DUMMYFUNCTION("""COMPUTED_VALUE"""),TRUE)</f>
        <v>1</v>
      </c>
    </row>
    <row r="2274">
      <c r="A2274" s="2">
        <f>IFERROR(__xludf.DUMMYFUNCTION("""COMPUTED_VALUE"""),2273.0)</f>
        <v>2273</v>
      </c>
      <c r="B2274" s="2" t="str">
        <f>IFERROR(__xludf.DUMMYFUNCTION("""COMPUTED_VALUE"""),"Fanya O'Keevan")</f>
        <v>Fanya O'Keevan</v>
      </c>
      <c r="C2274" s="2"/>
      <c r="D2274" s="4">
        <f>IFERROR(__xludf.DUMMYFUNCTION("""COMPUTED_VALUE"""),51.0)</f>
        <v>51</v>
      </c>
      <c r="E2274" s="4">
        <f>IFERROR(__xludf.DUMMYFUNCTION("""COMPUTED_VALUE"""),86.0)</f>
        <v>86</v>
      </c>
      <c r="F2274" s="4">
        <f>IFERROR(__xludf.DUMMYFUNCTION("""COMPUTED_VALUE"""),2.0)</f>
        <v>2</v>
      </c>
      <c r="G2274" s="4">
        <f>IFERROR(__xludf.DUMMYFUNCTION("""COMPUTED_VALUE"""),292.0)</f>
        <v>292</v>
      </c>
      <c r="H2274" s="5">
        <f>IFERROR(__xludf.DUMMYFUNCTION("""COMPUTED_VALUE"""),1559.02)</f>
        <v>1559.02</v>
      </c>
      <c r="I2274" s="5">
        <f>IFERROR(__xludf.DUMMYFUNCTION("""COMPUTED_VALUE"""),1860.98)</f>
        <v>1860.98</v>
      </c>
      <c r="J2274" s="5">
        <f>IFERROR(__xludf.DUMMYFUNCTION("""COMPUTED_VALUE"""),5542.38)</f>
        <v>5542.38</v>
      </c>
      <c r="K2274" s="5">
        <f>IFERROR(__xludf.DUMMYFUNCTION("""COMPUTED_VALUE"""),1493.18)</f>
        <v>1493.18</v>
      </c>
      <c r="L2274" s="4">
        <f>IFERROR(__xludf.DUMMYFUNCTION("""COMPUTED_VALUE"""),1.0)</f>
        <v>1</v>
      </c>
      <c r="M2274" s="4">
        <f>IFERROR(__xludf.DUMMYFUNCTION("""COMPUTED_VALUE"""),14.0)</f>
        <v>14</v>
      </c>
      <c r="N2274" s="2" t="b">
        <f>IFERROR(__xludf.DUMMYFUNCTION("""COMPUTED_VALUE"""),FALSE)</f>
        <v>0</v>
      </c>
    </row>
    <row r="2275">
      <c r="A2275" s="2">
        <f>IFERROR(__xludf.DUMMYFUNCTION("""COMPUTED_VALUE"""),2274.0)</f>
        <v>2274</v>
      </c>
      <c r="B2275" s="2" t="str">
        <f>IFERROR(__xludf.DUMMYFUNCTION("""COMPUTED_VALUE"""),"Gunilla Filippyev")</f>
        <v>Gunilla Filippyev</v>
      </c>
      <c r="C2275" s="2"/>
      <c r="D2275" s="4">
        <f>IFERROR(__xludf.DUMMYFUNCTION("""COMPUTED_VALUE"""),25.0)</f>
        <v>25</v>
      </c>
      <c r="E2275" s="4">
        <f>IFERROR(__xludf.DUMMYFUNCTION("""COMPUTED_VALUE"""),96.0)</f>
        <v>96</v>
      </c>
      <c r="F2275" s="4">
        <f>IFERROR(__xludf.DUMMYFUNCTION("""COMPUTED_VALUE"""),1.0)</f>
        <v>1</v>
      </c>
      <c r="G2275" s="4">
        <f>IFERROR(__xludf.DUMMYFUNCTION("""COMPUTED_VALUE"""),1490.0)</f>
        <v>1490</v>
      </c>
      <c r="H2275" s="5">
        <f>IFERROR(__xludf.DUMMYFUNCTION("""COMPUTED_VALUE"""),6838.44)</f>
        <v>6838.44</v>
      </c>
      <c r="I2275" s="5">
        <f>IFERROR(__xludf.DUMMYFUNCTION("""COMPUTED_VALUE"""),3341.63)</f>
        <v>3341.63</v>
      </c>
      <c r="J2275" s="5">
        <f>IFERROR(__xludf.DUMMYFUNCTION("""COMPUTED_VALUE"""),5977.97)</f>
        <v>5977.97</v>
      </c>
      <c r="K2275" s="5">
        <f>IFERROR(__xludf.DUMMYFUNCTION("""COMPUTED_VALUE"""),3467.84)</f>
        <v>3467.84</v>
      </c>
      <c r="L2275" s="4">
        <f>IFERROR(__xludf.DUMMYFUNCTION("""COMPUTED_VALUE"""),1.0)</f>
        <v>1</v>
      </c>
      <c r="M2275" s="4">
        <f>IFERROR(__xludf.DUMMYFUNCTION("""COMPUTED_VALUE"""),41.0)</f>
        <v>41</v>
      </c>
      <c r="N2275" s="2" t="b">
        <f>IFERROR(__xludf.DUMMYFUNCTION("""COMPUTED_VALUE"""),TRUE)</f>
        <v>1</v>
      </c>
    </row>
    <row r="2276">
      <c r="A2276" s="2">
        <f>IFERROR(__xludf.DUMMYFUNCTION("""COMPUTED_VALUE"""),2275.0)</f>
        <v>2275</v>
      </c>
      <c r="B2276" s="2" t="str">
        <f>IFERROR(__xludf.DUMMYFUNCTION("""COMPUTED_VALUE"""),"Ailene Powell")</f>
        <v>Ailene Powell</v>
      </c>
      <c r="C2276" s="2"/>
      <c r="D2276" s="4">
        <f>IFERROR(__xludf.DUMMYFUNCTION("""COMPUTED_VALUE"""),155.0)</f>
        <v>155</v>
      </c>
      <c r="E2276" s="4">
        <f>IFERROR(__xludf.DUMMYFUNCTION("""COMPUTED_VALUE"""),114.0)</f>
        <v>114</v>
      </c>
      <c r="F2276" s="4">
        <f>IFERROR(__xludf.DUMMYFUNCTION("""COMPUTED_VALUE"""),13.0)</f>
        <v>13</v>
      </c>
      <c r="G2276" s="4">
        <f>IFERROR(__xludf.DUMMYFUNCTION("""COMPUTED_VALUE"""),877.0)</f>
        <v>877</v>
      </c>
      <c r="H2276" s="5">
        <f>IFERROR(__xludf.DUMMYFUNCTION("""COMPUTED_VALUE"""),2580.74)</f>
        <v>2580.74</v>
      </c>
      <c r="I2276" s="5">
        <f>IFERROR(__xludf.DUMMYFUNCTION("""COMPUTED_VALUE"""),935.86)</f>
        <v>935.86</v>
      </c>
      <c r="J2276" s="5">
        <f>IFERROR(__xludf.DUMMYFUNCTION("""COMPUTED_VALUE"""),9059.83)</f>
        <v>9059.83</v>
      </c>
      <c r="K2276" s="5">
        <f>IFERROR(__xludf.DUMMYFUNCTION("""COMPUTED_VALUE"""),8551.7)</f>
        <v>8551.7</v>
      </c>
      <c r="L2276" s="4">
        <f>IFERROR(__xludf.DUMMYFUNCTION("""COMPUTED_VALUE"""),11.0)</f>
        <v>11</v>
      </c>
      <c r="M2276" s="4">
        <f>IFERROR(__xludf.DUMMYFUNCTION("""COMPUTED_VALUE"""),77.0)</f>
        <v>77</v>
      </c>
      <c r="N2276" s="2" t="b">
        <f>IFERROR(__xludf.DUMMYFUNCTION("""COMPUTED_VALUE"""),FALSE)</f>
        <v>0</v>
      </c>
    </row>
    <row r="2277">
      <c r="A2277" s="2">
        <f>IFERROR(__xludf.DUMMYFUNCTION("""COMPUTED_VALUE"""),2276.0)</f>
        <v>2276</v>
      </c>
      <c r="B2277" s="2" t="str">
        <f>IFERROR(__xludf.DUMMYFUNCTION("""COMPUTED_VALUE"""),"Kirsti Sainteau")</f>
        <v>Kirsti Sainteau</v>
      </c>
      <c r="C2277" s="2" t="str">
        <f>IFERROR(__xludf.DUMMYFUNCTION("""COMPUTED_VALUE"""),"ksainteau7o@ycombinator.com")</f>
        <v>ksainteau7o@ycombinator.com</v>
      </c>
      <c r="D2277" s="4">
        <f>IFERROR(__xludf.DUMMYFUNCTION("""COMPUTED_VALUE"""),33.0)</f>
        <v>33</v>
      </c>
      <c r="E2277" s="4">
        <f>IFERROR(__xludf.DUMMYFUNCTION("""COMPUTED_VALUE"""),57.0)</f>
        <v>57</v>
      </c>
      <c r="F2277" s="4">
        <f>IFERROR(__xludf.DUMMYFUNCTION("""COMPUTED_VALUE"""),12.0)</f>
        <v>12</v>
      </c>
      <c r="G2277" s="4">
        <f>IFERROR(__xludf.DUMMYFUNCTION("""COMPUTED_VALUE"""),1517.0)</f>
        <v>1517</v>
      </c>
      <c r="H2277" s="5">
        <f>IFERROR(__xludf.DUMMYFUNCTION("""COMPUTED_VALUE"""),3967.78)</f>
        <v>3967.78</v>
      </c>
      <c r="I2277" s="5">
        <f>IFERROR(__xludf.DUMMYFUNCTION("""COMPUTED_VALUE"""),2750.53)</f>
        <v>2750.53</v>
      </c>
      <c r="J2277" s="5">
        <f>IFERROR(__xludf.DUMMYFUNCTION("""COMPUTED_VALUE"""),3123.76)</f>
        <v>3123.76</v>
      </c>
      <c r="K2277" s="5">
        <f>IFERROR(__xludf.DUMMYFUNCTION("""COMPUTED_VALUE"""),4528.74)</f>
        <v>4528.74</v>
      </c>
      <c r="L2277" s="4">
        <f>IFERROR(__xludf.DUMMYFUNCTION("""COMPUTED_VALUE"""),5.0)</f>
        <v>5</v>
      </c>
      <c r="M2277" s="4">
        <f>IFERROR(__xludf.DUMMYFUNCTION("""COMPUTED_VALUE"""),18.0)</f>
        <v>18</v>
      </c>
      <c r="N2277" s="2" t="b">
        <f>IFERROR(__xludf.DUMMYFUNCTION("""COMPUTED_VALUE"""),FALSE)</f>
        <v>0</v>
      </c>
    </row>
    <row r="2278">
      <c r="A2278" s="2">
        <f>IFERROR(__xludf.DUMMYFUNCTION("""COMPUTED_VALUE"""),2277.0)</f>
        <v>2277</v>
      </c>
      <c r="B2278" s="2" t="str">
        <f>IFERROR(__xludf.DUMMYFUNCTION("""COMPUTED_VALUE"""),"Tallou Rockingham")</f>
        <v>Tallou Rockingham</v>
      </c>
      <c r="C2278" s="2"/>
      <c r="D2278" s="4">
        <f>IFERROR(__xludf.DUMMYFUNCTION("""COMPUTED_VALUE"""),2.0)</f>
        <v>2</v>
      </c>
      <c r="E2278" s="4">
        <f>IFERROR(__xludf.DUMMYFUNCTION("""COMPUTED_VALUE"""),34.0)</f>
        <v>34</v>
      </c>
      <c r="F2278" s="4">
        <f>IFERROR(__xludf.DUMMYFUNCTION("""COMPUTED_VALUE"""),3.0)</f>
        <v>3</v>
      </c>
      <c r="G2278" s="4">
        <f>IFERROR(__xludf.DUMMYFUNCTION("""COMPUTED_VALUE"""),749.0)</f>
        <v>749</v>
      </c>
      <c r="H2278" s="5">
        <f>IFERROR(__xludf.DUMMYFUNCTION("""COMPUTED_VALUE"""),5998.63)</f>
        <v>5998.63</v>
      </c>
      <c r="I2278" s="5">
        <f>IFERROR(__xludf.DUMMYFUNCTION("""COMPUTED_VALUE"""),8852.38)</f>
        <v>8852.38</v>
      </c>
      <c r="J2278" s="5">
        <f>IFERROR(__xludf.DUMMYFUNCTION("""COMPUTED_VALUE"""),127.81)</f>
        <v>127.81</v>
      </c>
      <c r="K2278" s="5">
        <f>IFERROR(__xludf.DUMMYFUNCTION("""COMPUTED_VALUE"""),2784.74)</f>
        <v>2784.74</v>
      </c>
      <c r="L2278" s="4">
        <f>IFERROR(__xludf.DUMMYFUNCTION("""COMPUTED_VALUE"""),10.0)</f>
        <v>10</v>
      </c>
      <c r="M2278" s="4">
        <f>IFERROR(__xludf.DUMMYFUNCTION("""COMPUTED_VALUE"""),81.0)</f>
        <v>81</v>
      </c>
      <c r="N2278" s="2" t="b">
        <f>IFERROR(__xludf.DUMMYFUNCTION("""COMPUTED_VALUE"""),FALSE)</f>
        <v>0</v>
      </c>
    </row>
    <row r="2279">
      <c r="A2279" s="2">
        <f>IFERROR(__xludf.DUMMYFUNCTION("""COMPUTED_VALUE"""),2278.0)</f>
        <v>2278</v>
      </c>
      <c r="B2279" s="2" t="str">
        <f>IFERROR(__xludf.DUMMYFUNCTION("""COMPUTED_VALUE"""),"Loree Farndale")</f>
        <v>Loree Farndale</v>
      </c>
      <c r="C2279" s="2"/>
      <c r="D2279" s="4">
        <f>IFERROR(__xludf.DUMMYFUNCTION("""COMPUTED_VALUE"""),103.0)</f>
        <v>103</v>
      </c>
      <c r="E2279" s="4">
        <f>IFERROR(__xludf.DUMMYFUNCTION("""COMPUTED_VALUE"""),86.0)</f>
        <v>86</v>
      </c>
      <c r="F2279" s="4">
        <f>IFERROR(__xludf.DUMMYFUNCTION("""COMPUTED_VALUE"""),12.0)</f>
        <v>12</v>
      </c>
      <c r="G2279" s="4">
        <f>IFERROR(__xludf.DUMMYFUNCTION("""COMPUTED_VALUE"""),1536.0)</f>
        <v>1536</v>
      </c>
      <c r="H2279" s="5">
        <f>IFERROR(__xludf.DUMMYFUNCTION("""COMPUTED_VALUE"""),1544.68)</f>
        <v>1544.68</v>
      </c>
      <c r="I2279" s="5">
        <f>IFERROR(__xludf.DUMMYFUNCTION("""COMPUTED_VALUE"""),1693.94)</f>
        <v>1693.94</v>
      </c>
      <c r="J2279" s="5">
        <f>IFERROR(__xludf.DUMMYFUNCTION("""COMPUTED_VALUE"""),4063.87)</f>
        <v>4063.87</v>
      </c>
      <c r="K2279" s="5">
        <f>IFERROR(__xludf.DUMMYFUNCTION("""COMPUTED_VALUE"""),721.61)</f>
        <v>721.61</v>
      </c>
      <c r="L2279" s="4">
        <f>IFERROR(__xludf.DUMMYFUNCTION("""COMPUTED_VALUE"""),9.0)</f>
        <v>9</v>
      </c>
      <c r="M2279" s="4">
        <f>IFERROR(__xludf.DUMMYFUNCTION("""COMPUTED_VALUE"""),38.0)</f>
        <v>38</v>
      </c>
      <c r="N2279" s="2" t="b">
        <f>IFERROR(__xludf.DUMMYFUNCTION("""COMPUTED_VALUE"""),TRUE)</f>
        <v>1</v>
      </c>
    </row>
    <row r="2280">
      <c r="A2280" s="2">
        <f>IFERROR(__xludf.DUMMYFUNCTION("""COMPUTED_VALUE"""),2279.0)</f>
        <v>2279</v>
      </c>
      <c r="B2280" s="2" t="str">
        <f>IFERROR(__xludf.DUMMYFUNCTION("""COMPUTED_VALUE"""),"Aidan Roland")</f>
        <v>Aidan Roland</v>
      </c>
      <c r="C2280" s="2" t="str">
        <f>IFERROR(__xludf.DUMMYFUNCTION("""COMPUTED_VALUE"""),"aroland7r@dmoz.org")</f>
        <v>aroland7r@dmoz.org</v>
      </c>
      <c r="D2280" s="4">
        <f>IFERROR(__xludf.DUMMYFUNCTION("""COMPUTED_VALUE"""),154.0)</f>
        <v>154</v>
      </c>
      <c r="E2280" s="4">
        <f>IFERROR(__xludf.DUMMYFUNCTION("""COMPUTED_VALUE"""),26.0)</f>
        <v>26</v>
      </c>
      <c r="F2280" s="4">
        <f>IFERROR(__xludf.DUMMYFUNCTION("""COMPUTED_VALUE"""),1.0)</f>
        <v>1</v>
      </c>
      <c r="G2280" s="4">
        <f>IFERROR(__xludf.DUMMYFUNCTION("""COMPUTED_VALUE"""),892.0)</f>
        <v>892</v>
      </c>
      <c r="H2280" s="5">
        <f>IFERROR(__xludf.DUMMYFUNCTION("""COMPUTED_VALUE"""),7331.22)</f>
        <v>7331.22</v>
      </c>
      <c r="I2280" s="5">
        <f>IFERROR(__xludf.DUMMYFUNCTION("""COMPUTED_VALUE"""),1393.06)</f>
        <v>1393.06</v>
      </c>
      <c r="J2280" s="5">
        <f>IFERROR(__xludf.DUMMYFUNCTION("""COMPUTED_VALUE"""),9420.93)</f>
        <v>9420.93</v>
      </c>
      <c r="K2280" s="5">
        <f>IFERROR(__xludf.DUMMYFUNCTION("""COMPUTED_VALUE"""),9988.73)</f>
        <v>9988.73</v>
      </c>
      <c r="L2280" s="4">
        <f>IFERROR(__xludf.DUMMYFUNCTION("""COMPUTED_VALUE"""),15.0)</f>
        <v>15</v>
      </c>
      <c r="M2280" s="4">
        <f>IFERROR(__xludf.DUMMYFUNCTION("""COMPUTED_VALUE"""),15.0)</f>
        <v>15</v>
      </c>
      <c r="N2280" s="2" t="b">
        <f>IFERROR(__xludf.DUMMYFUNCTION("""COMPUTED_VALUE"""),TRUE)</f>
        <v>1</v>
      </c>
    </row>
    <row r="2281">
      <c r="A2281" s="2">
        <f>IFERROR(__xludf.DUMMYFUNCTION("""COMPUTED_VALUE"""),2280.0)</f>
        <v>2280</v>
      </c>
      <c r="B2281" s="2" t="str">
        <f>IFERROR(__xludf.DUMMYFUNCTION("""COMPUTED_VALUE"""),"Dulcy Eskrigg")</f>
        <v>Dulcy Eskrigg</v>
      </c>
      <c r="C2281" s="2" t="str">
        <f>IFERROR(__xludf.DUMMYFUNCTION("""COMPUTED_VALUE"""),"deskrigg7s@facebook.com")</f>
        <v>deskrigg7s@facebook.com</v>
      </c>
      <c r="D2281" s="4">
        <f>IFERROR(__xludf.DUMMYFUNCTION("""COMPUTED_VALUE"""),143.0)</f>
        <v>143</v>
      </c>
      <c r="E2281" s="4">
        <f>IFERROR(__xludf.DUMMYFUNCTION("""COMPUTED_VALUE"""),33.0)</f>
        <v>33</v>
      </c>
      <c r="F2281" s="4">
        <f>IFERROR(__xludf.DUMMYFUNCTION("""COMPUTED_VALUE"""),12.0)</f>
        <v>12</v>
      </c>
      <c r="G2281" s="4">
        <f>IFERROR(__xludf.DUMMYFUNCTION("""COMPUTED_VALUE"""),958.0)</f>
        <v>958</v>
      </c>
      <c r="H2281" s="5">
        <f>IFERROR(__xludf.DUMMYFUNCTION("""COMPUTED_VALUE"""),8302.73)</f>
        <v>8302.73</v>
      </c>
      <c r="I2281" s="5">
        <f>IFERROR(__xludf.DUMMYFUNCTION("""COMPUTED_VALUE"""),8873.44)</f>
        <v>8873.44</v>
      </c>
      <c r="J2281" s="5">
        <f>IFERROR(__xludf.DUMMYFUNCTION("""COMPUTED_VALUE"""),6419.27)</f>
        <v>6419.27</v>
      </c>
      <c r="K2281" s="5">
        <f>IFERROR(__xludf.DUMMYFUNCTION("""COMPUTED_VALUE"""),6233.48)</f>
        <v>6233.48</v>
      </c>
      <c r="L2281" s="4">
        <f>IFERROR(__xludf.DUMMYFUNCTION("""COMPUTED_VALUE"""),14.0)</f>
        <v>14</v>
      </c>
      <c r="M2281" s="4">
        <f>IFERROR(__xludf.DUMMYFUNCTION("""COMPUTED_VALUE"""),39.0)</f>
        <v>39</v>
      </c>
      <c r="N2281" s="2" t="b">
        <f>IFERROR(__xludf.DUMMYFUNCTION("""COMPUTED_VALUE"""),FALSE)</f>
        <v>0</v>
      </c>
    </row>
    <row r="2282">
      <c r="A2282" s="2">
        <f>IFERROR(__xludf.DUMMYFUNCTION("""COMPUTED_VALUE"""),2281.0)</f>
        <v>2281</v>
      </c>
      <c r="B2282" s="2" t="str">
        <f>IFERROR(__xludf.DUMMYFUNCTION("""COMPUTED_VALUE"""),"Zack Brusle")</f>
        <v>Zack Brusle</v>
      </c>
      <c r="C2282" s="2"/>
      <c r="D2282" s="4">
        <f>IFERROR(__xludf.DUMMYFUNCTION("""COMPUTED_VALUE"""),11.0)</f>
        <v>11</v>
      </c>
      <c r="E2282" s="4">
        <f>IFERROR(__xludf.DUMMYFUNCTION("""COMPUTED_VALUE"""),111.0)</f>
        <v>111</v>
      </c>
      <c r="F2282" s="4">
        <f>IFERROR(__xludf.DUMMYFUNCTION("""COMPUTED_VALUE"""),7.0)</f>
        <v>7</v>
      </c>
      <c r="G2282" s="4">
        <f>IFERROR(__xludf.DUMMYFUNCTION("""COMPUTED_VALUE"""),1092.0)</f>
        <v>1092</v>
      </c>
      <c r="H2282" s="5">
        <f>IFERROR(__xludf.DUMMYFUNCTION("""COMPUTED_VALUE"""),372.7)</f>
        <v>372.7</v>
      </c>
      <c r="I2282" s="5">
        <f>IFERROR(__xludf.DUMMYFUNCTION("""COMPUTED_VALUE"""),562.38)</f>
        <v>562.38</v>
      </c>
      <c r="J2282" s="5">
        <f>IFERROR(__xludf.DUMMYFUNCTION("""COMPUTED_VALUE"""),7124.89)</f>
        <v>7124.89</v>
      </c>
      <c r="K2282" s="5">
        <f>IFERROR(__xludf.DUMMYFUNCTION("""COMPUTED_VALUE"""),6008.1)</f>
        <v>6008.1</v>
      </c>
      <c r="L2282" s="4">
        <f>IFERROR(__xludf.DUMMYFUNCTION("""COMPUTED_VALUE"""),9.0)</f>
        <v>9</v>
      </c>
      <c r="M2282" s="4">
        <f>IFERROR(__xludf.DUMMYFUNCTION("""COMPUTED_VALUE"""),39.0)</f>
        <v>39</v>
      </c>
      <c r="N2282" s="2" t="b">
        <f>IFERROR(__xludf.DUMMYFUNCTION("""COMPUTED_VALUE"""),FALSE)</f>
        <v>0</v>
      </c>
    </row>
    <row r="2283">
      <c r="A2283" s="2">
        <f>IFERROR(__xludf.DUMMYFUNCTION("""COMPUTED_VALUE"""),2282.0)</f>
        <v>2282</v>
      </c>
      <c r="B2283" s="2" t="str">
        <f>IFERROR(__xludf.DUMMYFUNCTION("""COMPUTED_VALUE"""),"Andros Struttman")</f>
        <v>Andros Struttman</v>
      </c>
      <c r="C2283" s="2" t="str">
        <f>IFERROR(__xludf.DUMMYFUNCTION("""COMPUTED_VALUE"""),"astruttman7u@webmd.com")</f>
        <v>astruttman7u@webmd.com</v>
      </c>
      <c r="D2283" s="4">
        <f>IFERROR(__xludf.DUMMYFUNCTION("""COMPUTED_VALUE"""),102.0)</f>
        <v>102</v>
      </c>
      <c r="E2283" s="4">
        <f>IFERROR(__xludf.DUMMYFUNCTION("""COMPUTED_VALUE"""),23.0)</f>
        <v>23</v>
      </c>
      <c r="F2283" s="4">
        <f>IFERROR(__xludf.DUMMYFUNCTION("""COMPUTED_VALUE"""),11.0)</f>
        <v>11</v>
      </c>
      <c r="G2283" s="4">
        <f>IFERROR(__xludf.DUMMYFUNCTION("""COMPUTED_VALUE"""),458.0)</f>
        <v>458</v>
      </c>
      <c r="H2283" s="5">
        <f>IFERROR(__xludf.DUMMYFUNCTION("""COMPUTED_VALUE"""),6993.41)</f>
        <v>6993.41</v>
      </c>
      <c r="I2283" s="5">
        <f>IFERROR(__xludf.DUMMYFUNCTION("""COMPUTED_VALUE"""),5038.17)</f>
        <v>5038.17</v>
      </c>
      <c r="J2283" s="5">
        <f>IFERROR(__xludf.DUMMYFUNCTION("""COMPUTED_VALUE"""),808.46)</f>
        <v>808.46</v>
      </c>
      <c r="K2283" s="5">
        <f>IFERROR(__xludf.DUMMYFUNCTION("""COMPUTED_VALUE"""),3871.86)</f>
        <v>3871.86</v>
      </c>
      <c r="L2283" s="4">
        <f>IFERROR(__xludf.DUMMYFUNCTION("""COMPUTED_VALUE"""),9.0)</f>
        <v>9</v>
      </c>
      <c r="M2283" s="4">
        <f>IFERROR(__xludf.DUMMYFUNCTION("""COMPUTED_VALUE"""),35.0)</f>
        <v>35</v>
      </c>
      <c r="N2283" s="2" t="b">
        <f>IFERROR(__xludf.DUMMYFUNCTION("""COMPUTED_VALUE"""),FALSE)</f>
        <v>0</v>
      </c>
    </row>
    <row r="2284">
      <c r="A2284" s="2">
        <f>IFERROR(__xludf.DUMMYFUNCTION("""COMPUTED_VALUE"""),2283.0)</f>
        <v>2283</v>
      </c>
      <c r="B2284" s="2" t="str">
        <f>IFERROR(__xludf.DUMMYFUNCTION("""COMPUTED_VALUE"""),"Tonia Bugdell")</f>
        <v>Tonia Bugdell</v>
      </c>
      <c r="C2284" s="2" t="str">
        <f>IFERROR(__xludf.DUMMYFUNCTION("""COMPUTED_VALUE"""),"tbugdell7v@china.com.cn")</f>
        <v>tbugdell7v@china.com.cn</v>
      </c>
      <c r="D2284" s="4">
        <f>IFERROR(__xludf.DUMMYFUNCTION("""COMPUTED_VALUE"""),31.0)</f>
        <v>31</v>
      </c>
      <c r="E2284" s="4">
        <f>IFERROR(__xludf.DUMMYFUNCTION("""COMPUTED_VALUE"""),15.0)</f>
        <v>15</v>
      </c>
      <c r="F2284" s="4">
        <f>IFERROR(__xludf.DUMMYFUNCTION("""COMPUTED_VALUE"""),10.0)</f>
        <v>10</v>
      </c>
      <c r="G2284" s="4">
        <f>IFERROR(__xludf.DUMMYFUNCTION("""COMPUTED_VALUE"""),155.0)</f>
        <v>155</v>
      </c>
      <c r="H2284" s="5">
        <f>IFERROR(__xludf.DUMMYFUNCTION("""COMPUTED_VALUE"""),9138.73)</f>
        <v>9138.73</v>
      </c>
      <c r="I2284" s="5">
        <f>IFERROR(__xludf.DUMMYFUNCTION("""COMPUTED_VALUE"""),3327.1)</f>
        <v>3327.1</v>
      </c>
      <c r="J2284" s="5">
        <f>IFERROR(__xludf.DUMMYFUNCTION("""COMPUTED_VALUE"""),250.46)</f>
        <v>250.46</v>
      </c>
      <c r="K2284" s="5">
        <f>IFERROR(__xludf.DUMMYFUNCTION("""COMPUTED_VALUE"""),8798.4)</f>
        <v>8798.4</v>
      </c>
      <c r="L2284" s="4">
        <f>IFERROR(__xludf.DUMMYFUNCTION("""COMPUTED_VALUE"""),12.0)</f>
        <v>12</v>
      </c>
      <c r="M2284" s="4">
        <f>IFERROR(__xludf.DUMMYFUNCTION("""COMPUTED_VALUE"""),48.0)</f>
        <v>48</v>
      </c>
      <c r="N2284" s="2" t="b">
        <f>IFERROR(__xludf.DUMMYFUNCTION("""COMPUTED_VALUE"""),FALSE)</f>
        <v>0</v>
      </c>
    </row>
    <row r="2285">
      <c r="A2285" s="2">
        <f>IFERROR(__xludf.DUMMYFUNCTION("""COMPUTED_VALUE"""),2284.0)</f>
        <v>2284</v>
      </c>
      <c r="B2285" s="2" t="str">
        <f>IFERROR(__xludf.DUMMYFUNCTION("""COMPUTED_VALUE"""),"Bernadette Scarratt")</f>
        <v>Bernadette Scarratt</v>
      </c>
      <c r="C2285" s="2" t="str">
        <f>IFERROR(__xludf.DUMMYFUNCTION("""COMPUTED_VALUE"""),"bscarratt7w@umich.edu")</f>
        <v>bscarratt7w@umich.edu</v>
      </c>
      <c r="D2285" s="4">
        <f>IFERROR(__xludf.DUMMYFUNCTION("""COMPUTED_VALUE"""),107.0)</f>
        <v>107</v>
      </c>
      <c r="E2285" s="4">
        <f>IFERROR(__xludf.DUMMYFUNCTION("""COMPUTED_VALUE"""),123.0)</f>
        <v>123</v>
      </c>
      <c r="F2285" s="4">
        <f>IFERROR(__xludf.DUMMYFUNCTION("""COMPUTED_VALUE"""),11.0)</f>
        <v>11</v>
      </c>
      <c r="G2285" s="4">
        <f>IFERROR(__xludf.DUMMYFUNCTION("""COMPUTED_VALUE"""),51.0)</f>
        <v>51</v>
      </c>
      <c r="H2285" s="5">
        <f>IFERROR(__xludf.DUMMYFUNCTION("""COMPUTED_VALUE"""),410.2)</f>
        <v>410.2</v>
      </c>
      <c r="I2285" s="5">
        <f>IFERROR(__xludf.DUMMYFUNCTION("""COMPUTED_VALUE"""),6146.0)</f>
        <v>6146</v>
      </c>
      <c r="J2285" s="5">
        <f>IFERROR(__xludf.DUMMYFUNCTION("""COMPUTED_VALUE"""),4250.36)</f>
        <v>4250.36</v>
      </c>
      <c r="K2285" s="5">
        <f>IFERROR(__xludf.DUMMYFUNCTION("""COMPUTED_VALUE"""),1796.47)</f>
        <v>1796.47</v>
      </c>
      <c r="L2285" s="4">
        <f>IFERROR(__xludf.DUMMYFUNCTION("""COMPUTED_VALUE"""),12.0)</f>
        <v>12</v>
      </c>
      <c r="M2285" s="4">
        <f>IFERROR(__xludf.DUMMYFUNCTION("""COMPUTED_VALUE"""),88.0)</f>
        <v>88</v>
      </c>
      <c r="N2285" s="2" t="b">
        <f>IFERROR(__xludf.DUMMYFUNCTION("""COMPUTED_VALUE"""),TRUE)</f>
        <v>1</v>
      </c>
    </row>
    <row r="2286">
      <c r="A2286" s="2">
        <f>IFERROR(__xludf.DUMMYFUNCTION("""COMPUTED_VALUE"""),2285.0)</f>
        <v>2285</v>
      </c>
      <c r="B2286" s="2" t="str">
        <f>IFERROR(__xludf.DUMMYFUNCTION("""COMPUTED_VALUE"""),"Honor Castree")</f>
        <v>Honor Castree</v>
      </c>
      <c r="C2286" s="2" t="str">
        <f>IFERROR(__xludf.DUMMYFUNCTION("""COMPUTED_VALUE"""),"hcastree7x@yellowpages.com")</f>
        <v>hcastree7x@yellowpages.com</v>
      </c>
      <c r="D2286" s="4">
        <f>IFERROR(__xludf.DUMMYFUNCTION("""COMPUTED_VALUE"""),31.0)</f>
        <v>31</v>
      </c>
      <c r="E2286" s="4">
        <f>IFERROR(__xludf.DUMMYFUNCTION("""COMPUTED_VALUE"""),71.0)</f>
        <v>71</v>
      </c>
      <c r="F2286" s="4">
        <f>IFERROR(__xludf.DUMMYFUNCTION("""COMPUTED_VALUE"""),7.0)</f>
        <v>7</v>
      </c>
      <c r="G2286" s="4">
        <f>IFERROR(__xludf.DUMMYFUNCTION("""COMPUTED_VALUE"""),1006.0)</f>
        <v>1006</v>
      </c>
      <c r="H2286" s="5">
        <f>IFERROR(__xludf.DUMMYFUNCTION("""COMPUTED_VALUE"""),4377.5)</f>
        <v>4377.5</v>
      </c>
      <c r="I2286" s="5">
        <f>IFERROR(__xludf.DUMMYFUNCTION("""COMPUTED_VALUE"""),1166.15)</f>
        <v>1166.15</v>
      </c>
      <c r="J2286" s="5">
        <f>IFERROR(__xludf.DUMMYFUNCTION("""COMPUTED_VALUE"""),1056.16)</f>
        <v>1056.16</v>
      </c>
      <c r="K2286" s="5">
        <f>IFERROR(__xludf.DUMMYFUNCTION("""COMPUTED_VALUE"""),3803.88)</f>
        <v>3803.88</v>
      </c>
      <c r="L2286" s="4">
        <f>IFERROR(__xludf.DUMMYFUNCTION("""COMPUTED_VALUE"""),8.0)</f>
        <v>8</v>
      </c>
      <c r="M2286" s="4">
        <f>IFERROR(__xludf.DUMMYFUNCTION("""COMPUTED_VALUE"""),92.0)</f>
        <v>92</v>
      </c>
      <c r="N2286" s="2" t="b">
        <f>IFERROR(__xludf.DUMMYFUNCTION("""COMPUTED_VALUE"""),FALSE)</f>
        <v>0</v>
      </c>
    </row>
    <row r="2287">
      <c r="A2287" s="2">
        <f>IFERROR(__xludf.DUMMYFUNCTION("""COMPUTED_VALUE"""),2286.0)</f>
        <v>2286</v>
      </c>
      <c r="B2287" s="2" t="str">
        <f>IFERROR(__xludf.DUMMYFUNCTION("""COMPUTED_VALUE"""),"Maximilian Ditch")</f>
        <v>Maximilian Ditch</v>
      </c>
      <c r="C2287" s="2"/>
      <c r="D2287" s="4">
        <f>IFERROR(__xludf.DUMMYFUNCTION("""COMPUTED_VALUE"""),13.0)</f>
        <v>13</v>
      </c>
      <c r="E2287" s="4">
        <f>IFERROR(__xludf.DUMMYFUNCTION("""COMPUTED_VALUE"""),121.0)</f>
        <v>121</v>
      </c>
      <c r="F2287" s="4">
        <f>IFERROR(__xludf.DUMMYFUNCTION("""COMPUTED_VALUE"""),3.0)</f>
        <v>3</v>
      </c>
      <c r="G2287" s="4">
        <f>IFERROR(__xludf.DUMMYFUNCTION("""COMPUTED_VALUE"""),1049.0)</f>
        <v>1049</v>
      </c>
      <c r="H2287" s="5">
        <f>IFERROR(__xludf.DUMMYFUNCTION("""COMPUTED_VALUE"""),1133.65)</f>
        <v>1133.65</v>
      </c>
      <c r="I2287" s="5">
        <f>IFERROR(__xludf.DUMMYFUNCTION("""COMPUTED_VALUE"""),4832.81)</f>
        <v>4832.81</v>
      </c>
      <c r="J2287" s="5">
        <f>IFERROR(__xludf.DUMMYFUNCTION("""COMPUTED_VALUE"""),4142.95)</f>
        <v>4142.95</v>
      </c>
      <c r="K2287" s="5">
        <f>IFERROR(__xludf.DUMMYFUNCTION("""COMPUTED_VALUE"""),4304.88)</f>
        <v>4304.88</v>
      </c>
      <c r="L2287" s="4">
        <f>IFERROR(__xludf.DUMMYFUNCTION("""COMPUTED_VALUE"""),20.0)</f>
        <v>20</v>
      </c>
      <c r="M2287" s="4">
        <f>IFERROR(__xludf.DUMMYFUNCTION("""COMPUTED_VALUE"""),3.0)</f>
        <v>3</v>
      </c>
      <c r="N2287" s="2" t="b">
        <f>IFERROR(__xludf.DUMMYFUNCTION("""COMPUTED_VALUE"""),FALSE)</f>
        <v>0</v>
      </c>
    </row>
    <row r="2288">
      <c r="A2288" s="2">
        <f>IFERROR(__xludf.DUMMYFUNCTION("""COMPUTED_VALUE"""),2287.0)</f>
        <v>2287</v>
      </c>
      <c r="B2288" s="2" t="str">
        <f>IFERROR(__xludf.DUMMYFUNCTION("""COMPUTED_VALUE"""),"Vania Hainey`")</f>
        <v>Vania Hainey`</v>
      </c>
      <c r="C2288" s="2"/>
      <c r="D2288" s="4">
        <f>IFERROR(__xludf.DUMMYFUNCTION("""COMPUTED_VALUE"""),156.0)</f>
        <v>156</v>
      </c>
      <c r="E2288" s="4">
        <f>IFERROR(__xludf.DUMMYFUNCTION("""COMPUTED_VALUE"""),97.0)</f>
        <v>97</v>
      </c>
      <c r="F2288" s="4">
        <f>IFERROR(__xludf.DUMMYFUNCTION("""COMPUTED_VALUE"""),7.0)</f>
        <v>7</v>
      </c>
      <c r="G2288" s="4">
        <f>IFERROR(__xludf.DUMMYFUNCTION("""COMPUTED_VALUE"""),1569.0)</f>
        <v>1569</v>
      </c>
      <c r="H2288" s="5">
        <f>IFERROR(__xludf.DUMMYFUNCTION("""COMPUTED_VALUE"""),3985.84)</f>
        <v>3985.84</v>
      </c>
      <c r="I2288" s="5">
        <f>IFERROR(__xludf.DUMMYFUNCTION("""COMPUTED_VALUE"""),2703.02)</f>
        <v>2703.02</v>
      </c>
      <c r="J2288" s="5">
        <f>IFERROR(__xludf.DUMMYFUNCTION("""COMPUTED_VALUE"""),4637.81)</f>
        <v>4637.81</v>
      </c>
      <c r="K2288" s="5">
        <f>IFERROR(__xludf.DUMMYFUNCTION("""COMPUTED_VALUE"""),4191.12)</f>
        <v>4191.12</v>
      </c>
      <c r="L2288" s="4">
        <f>IFERROR(__xludf.DUMMYFUNCTION("""COMPUTED_VALUE"""),4.0)</f>
        <v>4</v>
      </c>
      <c r="M2288" s="4">
        <f>IFERROR(__xludf.DUMMYFUNCTION("""COMPUTED_VALUE"""),19.0)</f>
        <v>19</v>
      </c>
      <c r="N2288" s="2" t="b">
        <f>IFERROR(__xludf.DUMMYFUNCTION("""COMPUTED_VALUE"""),TRUE)</f>
        <v>1</v>
      </c>
    </row>
    <row r="2289">
      <c r="A2289" s="2">
        <f>IFERROR(__xludf.DUMMYFUNCTION("""COMPUTED_VALUE"""),2288.0)</f>
        <v>2288</v>
      </c>
      <c r="B2289" s="2" t="str">
        <f>IFERROR(__xludf.DUMMYFUNCTION("""COMPUTED_VALUE"""),"Gavrielle Ferrer")</f>
        <v>Gavrielle Ferrer</v>
      </c>
      <c r="C2289" s="2" t="str">
        <f>IFERROR(__xludf.DUMMYFUNCTION("""COMPUTED_VALUE"""),"gferrer80@redcross.org")</f>
        <v>gferrer80@redcross.org</v>
      </c>
      <c r="D2289" s="4">
        <f>IFERROR(__xludf.DUMMYFUNCTION("""COMPUTED_VALUE"""),158.0)</f>
        <v>158</v>
      </c>
      <c r="E2289" s="4">
        <f>IFERROR(__xludf.DUMMYFUNCTION("""COMPUTED_VALUE"""),98.0)</f>
        <v>98</v>
      </c>
      <c r="F2289" s="4">
        <f>IFERROR(__xludf.DUMMYFUNCTION("""COMPUTED_VALUE"""),13.0)</f>
        <v>13</v>
      </c>
      <c r="G2289" s="4">
        <f>IFERROR(__xludf.DUMMYFUNCTION("""COMPUTED_VALUE"""),284.0)</f>
        <v>284</v>
      </c>
      <c r="H2289" s="5">
        <f>IFERROR(__xludf.DUMMYFUNCTION("""COMPUTED_VALUE"""),8714.66)</f>
        <v>8714.66</v>
      </c>
      <c r="I2289" s="5">
        <f>IFERROR(__xludf.DUMMYFUNCTION("""COMPUTED_VALUE"""),4654.4)</f>
        <v>4654.4</v>
      </c>
      <c r="J2289" s="5">
        <f>IFERROR(__xludf.DUMMYFUNCTION("""COMPUTED_VALUE"""),150.12)</f>
        <v>150.12</v>
      </c>
      <c r="K2289" s="5">
        <f>IFERROR(__xludf.DUMMYFUNCTION("""COMPUTED_VALUE"""),408.66)</f>
        <v>408.66</v>
      </c>
      <c r="L2289" s="4">
        <f>IFERROR(__xludf.DUMMYFUNCTION("""COMPUTED_VALUE"""),20.0)</f>
        <v>20</v>
      </c>
      <c r="M2289" s="4">
        <f>IFERROR(__xludf.DUMMYFUNCTION("""COMPUTED_VALUE"""),5.0)</f>
        <v>5</v>
      </c>
      <c r="N2289" s="2" t="b">
        <f>IFERROR(__xludf.DUMMYFUNCTION("""COMPUTED_VALUE"""),TRUE)</f>
        <v>1</v>
      </c>
    </row>
    <row r="2290">
      <c r="A2290" s="2">
        <f>IFERROR(__xludf.DUMMYFUNCTION("""COMPUTED_VALUE"""),2289.0)</f>
        <v>2289</v>
      </c>
      <c r="B2290" s="2" t="str">
        <f>IFERROR(__xludf.DUMMYFUNCTION("""COMPUTED_VALUE"""),"Aube Moorcraft")</f>
        <v>Aube Moorcraft</v>
      </c>
      <c r="C2290" s="2"/>
      <c r="D2290" s="4">
        <f>IFERROR(__xludf.DUMMYFUNCTION("""COMPUTED_VALUE"""),79.0)</f>
        <v>79</v>
      </c>
      <c r="E2290" s="4">
        <f>IFERROR(__xludf.DUMMYFUNCTION("""COMPUTED_VALUE"""),16.0)</f>
        <v>16</v>
      </c>
      <c r="F2290" s="4">
        <f>IFERROR(__xludf.DUMMYFUNCTION("""COMPUTED_VALUE"""),10.0)</f>
        <v>10</v>
      </c>
      <c r="G2290" s="4">
        <f>IFERROR(__xludf.DUMMYFUNCTION("""COMPUTED_VALUE"""),523.0)</f>
        <v>523</v>
      </c>
      <c r="H2290" s="5">
        <f>IFERROR(__xludf.DUMMYFUNCTION("""COMPUTED_VALUE"""),4913.71)</f>
        <v>4913.71</v>
      </c>
      <c r="I2290" s="5">
        <f>IFERROR(__xludf.DUMMYFUNCTION("""COMPUTED_VALUE"""),9818.55)</f>
        <v>9818.55</v>
      </c>
      <c r="J2290" s="5">
        <f>IFERROR(__xludf.DUMMYFUNCTION("""COMPUTED_VALUE"""),3581.79)</f>
        <v>3581.79</v>
      </c>
      <c r="K2290" s="5">
        <f>IFERROR(__xludf.DUMMYFUNCTION("""COMPUTED_VALUE"""),2469.55)</f>
        <v>2469.55</v>
      </c>
      <c r="L2290" s="4">
        <f>IFERROR(__xludf.DUMMYFUNCTION("""COMPUTED_VALUE"""),15.0)</f>
        <v>15</v>
      </c>
      <c r="M2290" s="4">
        <f>IFERROR(__xludf.DUMMYFUNCTION("""COMPUTED_VALUE"""),2.0)</f>
        <v>2</v>
      </c>
      <c r="N2290" s="2" t="b">
        <f>IFERROR(__xludf.DUMMYFUNCTION("""COMPUTED_VALUE"""),TRUE)</f>
        <v>1</v>
      </c>
    </row>
    <row r="2291">
      <c r="A2291" s="2">
        <f>IFERROR(__xludf.DUMMYFUNCTION("""COMPUTED_VALUE"""),2290.0)</f>
        <v>2290</v>
      </c>
      <c r="B2291" s="2" t="str">
        <f>IFERROR(__xludf.DUMMYFUNCTION("""COMPUTED_VALUE"""),"Garth McNicol")</f>
        <v>Garth McNicol</v>
      </c>
      <c r="C2291" s="2" t="str">
        <f>IFERROR(__xludf.DUMMYFUNCTION("""COMPUTED_VALUE"""),"gmcnicol82@hhs.gov")</f>
        <v>gmcnicol82@hhs.gov</v>
      </c>
      <c r="D2291" s="4">
        <f>IFERROR(__xludf.DUMMYFUNCTION("""COMPUTED_VALUE"""),49.0)</f>
        <v>49</v>
      </c>
      <c r="E2291" s="4">
        <f>IFERROR(__xludf.DUMMYFUNCTION("""COMPUTED_VALUE"""),15.0)</f>
        <v>15</v>
      </c>
      <c r="F2291" s="4">
        <f>IFERROR(__xludf.DUMMYFUNCTION("""COMPUTED_VALUE"""),3.0)</f>
        <v>3</v>
      </c>
      <c r="G2291" s="4">
        <f>IFERROR(__xludf.DUMMYFUNCTION("""COMPUTED_VALUE"""),945.0)</f>
        <v>945</v>
      </c>
      <c r="H2291" s="5">
        <f>IFERROR(__xludf.DUMMYFUNCTION("""COMPUTED_VALUE"""),3758.4)</f>
        <v>3758.4</v>
      </c>
      <c r="I2291" s="5">
        <f>IFERROR(__xludf.DUMMYFUNCTION("""COMPUTED_VALUE"""),5623.15)</f>
        <v>5623.15</v>
      </c>
      <c r="J2291" s="5">
        <f>IFERROR(__xludf.DUMMYFUNCTION("""COMPUTED_VALUE"""),1946.59)</f>
        <v>1946.59</v>
      </c>
      <c r="K2291" s="5">
        <f>IFERROR(__xludf.DUMMYFUNCTION("""COMPUTED_VALUE"""),1566.12)</f>
        <v>1566.12</v>
      </c>
      <c r="L2291" s="4">
        <f>IFERROR(__xludf.DUMMYFUNCTION("""COMPUTED_VALUE"""),20.0)</f>
        <v>20</v>
      </c>
      <c r="M2291" s="4">
        <f>IFERROR(__xludf.DUMMYFUNCTION("""COMPUTED_VALUE"""),2.0)</f>
        <v>2</v>
      </c>
      <c r="N2291" s="2" t="b">
        <f>IFERROR(__xludf.DUMMYFUNCTION("""COMPUTED_VALUE"""),FALSE)</f>
        <v>0</v>
      </c>
    </row>
    <row r="2292">
      <c r="A2292" s="2">
        <f>IFERROR(__xludf.DUMMYFUNCTION("""COMPUTED_VALUE"""),2291.0)</f>
        <v>2291</v>
      </c>
      <c r="B2292" s="2" t="str">
        <f>IFERROR(__xludf.DUMMYFUNCTION("""COMPUTED_VALUE"""),"Margo Siberry")</f>
        <v>Margo Siberry</v>
      </c>
      <c r="C2292" s="2" t="str">
        <f>IFERROR(__xludf.DUMMYFUNCTION("""COMPUTED_VALUE"""),"msiberry83@godaddy.com")</f>
        <v>msiberry83@godaddy.com</v>
      </c>
      <c r="D2292" s="4">
        <f>IFERROR(__xludf.DUMMYFUNCTION("""COMPUTED_VALUE"""),95.0)</f>
        <v>95</v>
      </c>
      <c r="E2292" s="4">
        <f>IFERROR(__xludf.DUMMYFUNCTION("""COMPUTED_VALUE"""),99.0)</f>
        <v>99</v>
      </c>
      <c r="F2292" s="4">
        <f>IFERROR(__xludf.DUMMYFUNCTION("""COMPUTED_VALUE"""),10.0)</f>
        <v>10</v>
      </c>
      <c r="G2292" s="4">
        <f>IFERROR(__xludf.DUMMYFUNCTION("""COMPUTED_VALUE"""),260.0)</f>
        <v>260</v>
      </c>
      <c r="H2292" s="5">
        <f>IFERROR(__xludf.DUMMYFUNCTION("""COMPUTED_VALUE"""),1240.46)</f>
        <v>1240.46</v>
      </c>
      <c r="I2292" s="5">
        <f>IFERROR(__xludf.DUMMYFUNCTION("""COMPUTED_VALUE"""),3779.1)</f>
        <v>3779.1</v>
      </c>
      <c r="J2292" s="5">
        <f>IFERROR(__xludf.DUMMYFUNCTION("""COMPUTED_VALUE"""),9226.63)</f>
        <v>9226.63</v>
      </c>
      <c r="K2292" s="5">
        <f>IFERROR(__xludf.DUMMYFUNCTION("""COMPUTED_VALUE"""),583.57)</f>
        <v>583.57</v>
      </c>
      <c r="L2292" s="4">
        <f>IFERROR(__xludf.DUMMYFUNCTION("""COMPUTED_VALUE"""),18.0)</f>
        <v>18</v>
      </c>
      <c r="M2292" s="4">
        <f>IFERROR(__xludf.DUMMYFUNCTION("""COMPUTED_VALUE"""),76.0)</f>
        <v>76</v>
      </c>
      <c r="N2292" s="2" t="b">
        <f>IFERROR(__xludf.DUMMYFUNCTION("""COMPUTED_VALUE"""),TRUE)</f>
        <v>1</v>
      </c>
    </row>
    <row r="2293">
      <c r="A2293" s="2">
        <f>IFERROR(__xludf.DUMMYFUNCTION("""COMPUTED_VALUE"""),2292.0)</f>
        <v>2292</v>
      </c>
      <c r="B2293" s="2" t="str">
        <f>IFERROR(__xludf.DUMMYFUNCTION("""COMPUTED_VALUE"""),"Leonie Karslake")</f>
        <v>Leonie Karslake</v>
      </c>
      <c r="C2293" s="2"/>
      <c r="D2293" s="4">
        <f>IFERROR(__xludf.DUMMYFUNCTION("""COMPUTED_VALUE"""),101.0)</f>
        <v>101</v>
      </c>
      <c r="E2293" s="4">
        <f>IFERROR(__xludf.DUMMYFUNCTION("""COMPUTED_VALUE"""),49.0)</f>
        <v>49</v>
      </c>
      <c r="F2293" s="4">
        <f>IFERROR(__xludf.DUMMYFUNCTION("""COMPUTED_VALUE"""),10.0)</f>
        <v>10</v>
      </c>
      <c r="G2293" s="4">
        <f>IFERROR(__xludf.DUMMYFUNCTION("""COMPUTED_VALUE"""),351.0)</f>
        <v>351</v>
      </c>
      <c r="H2293" s="5">
        <f>IFERROR(__xludf.DUMMYFUNCTION("""COMPUTED_VALUE"""),4502.11)</f>
        <v>4502.11</v>
      </c>
      <c r="I2293" s="5">
        <f>IFERROR(__xludf.DUMMYFUNCTION("""COMPUTED_VALUE"""),1379.65)</f>
        <v>1379.65</v>
      </c>
      <c r="J2293" s="5">
        <f>IFERROR(__xludf.DUMMYFUNCTION("""COMPUTED_VALUE"""),8847.02)</f>
        <v>8847.02</v>
      </c>
      <c r="K2293" s="5">
        <f>IFERROR(__xludf.DUMMYFUNCTION("""COMPUTED_VALUE"""),9155.86)</f>
        <v>9155.86</v>
      </c>
      <c r="L2293" s="4">
        <f>IFERROR(__xludf.DUMMYFUNCTION("""COMPUTED_VALUE"""),5.0)</f>
        <v>5</v>
      </c>
      <c r="M2293" s="4">
        <f>IFERROR(__xludf.DUMMYFUNCTION("""COMPUTED_VALUE"""),18.0)</f>
        <v>18</v>
      </c>
      <c r="N2293" s="2" t="b">
        <f>IFERROR(__xludf.DUMMYFUNCTION("""COMPUTED_VALUE"""),FALSE)</f>
        <v>0</v>
      </c>
    </row>
    <row r="2294">
      <c r="A2294" s="2">
        <f>IFERROR(__xludf.DUMMYFUNCTION("""COMPUTED_VALUE"""),2293.0)</f>
        <v>2293</v>
      </c>
      <c r="B2294" s="2" t="str">
        <f>IFERROR(__xludf.DUMMYFUNCTION("""COMPUTED_VALUE"""),"Rabi Harefoot")</f>
        <v>Rabi Harefoot</v>
      </c>
      <c r="C2294" s="2"/>
      <c r="D2294" s="4">
        <f>IFERROR(__xludf.DUMMYFUNCTION("""COMPUTED_VALUE"""),130.0)</f>
        <v>130</v>
      </c>
      <c r="E2294" s="4">
        <f>IFERROR(__xludf.DUMMYFUNCTION("""COMPUTED_VALUE"""),44.0)</f>
        <v>44</v>
      </c>
      <c r="F2294" s="4">
        <f>IFERROR(__xludf.DUMMYFUNCTION("""COMPUTED_VALUE"""),1.0)</f>
        <v>1</v>
      </c>
      <c r="G2294" s="4">
        <f>IFERROR(__xludf.DUMMYFUNCTION("""COMPUTED_VALUE"""),613.0)</f>
        <v>613</v>
      </c>
      <c r="H2294" s="5">
        <f>IFERROR(__xludf.DUMMYFUNCTION("""COMPUTED_VALUE"""),3509.62)</f>
        <v>3509.62</v>
      </c>
      <c r="I2294" s="5">
        <f>IFERROR(__xludf.DUMMYFUNCTION("""COMPUTED_VALUE"""),2359.88)</f>
        <v>2359.88</v>
      </c>
      <c r="J2294" s="5">
        <f>IFERROR(__xludf.DUMMYFUNCTION("""COMPUTED_VALUE"""),4015.4)</f>
        <v>4015.4</v>
      </c>
      <c r="K2294" s="5">
        <f>IFERROR(__xludf.DUMMYFUNCTION("""COMPUTED_VALUE"""),1459.69)</f>
        <v>1459.69</v>
      </c>
      <c r="L2294" s="4">
        <f>IFERROR(__xludf.DUMMYFUNCTION("""COMPUTED_VALUE"""),11.0)</f>
        <v>11</v>
      </c>
      <c r="M2294" s="4">
        <f>IFERROR(__xludf.DUMMYFUNCTION("""COMPUTED_VALUE"""),69.0)</f>
        <v>69</v>
      </c>
      <c r="N2294" s="2" t="b">
        <f>IFERROR(__xludf.DUMMYFUNCTION("""COMPUTED_VALUE"""),FALSE)</f>
        <v>0</v>
      </c>
    </row>
    <row r="2295">
      <c r="A2295" s="2">
        <f>IFERROR(__xludf.DUMMYFUNCTION("""COMPUTED_VALUE"""),2294.0)</f>
        <v>2294</v>
      </c>
      <c r="B2295" s="2" t="str">
        <f>IFERROR(__xludf.DUMMYFUNCTION("""COMPUTED_VALUE"""),"Nicko Spain")</f>
        <v>Nicko Spain</v>
      </c>
      <c r="C2295" s="2" t="str">
        <f>IFERROR(__xludf.DUMMYFUNCTION("""COMPUTED_VALUE"""),"nspain86@topsy.com")</f>
        <v>nspain86@topsy.com</v>
      </c>
      <c r="D2295" s="4">
        <f>IFERROR(__xludf.DUMMYFUNCTION("""COMPUTED_VALUE"""),21.0)</f>
        <v>21</v>
      </c>
      <c r="E2295" s="4">
        <f>IFERROR(__xludf.DUMMYFUNCTION("""COMPUTED_VALUE"""),113.0)</f>
        <v>113</v>
      </c>
      <c r="F2295" s="4">
        <f>IFERROR(__xludf.DUMMYFUNCTION("""COMPUTED_VALUE"""),4.0)</f>
        <v>4</v>
      </c>
      <c r="G2295" s="4">
        <f>IFERROR(__xludf.DUMMYFUNCTION("""COMPUTED_VALUE"""),737.0)</f>
        <v>737</v>
      </c>
      <c r="H2295" s="5">
        <f>IFERROR(__xludf.DUMMYFUNCTION("""COMPUTED_VALUE"""),314.36)</f>
        <v>314.36</v>
      </c>
      <c r="I2295" s="5">
        <f>IFERROR(__xludf.DUMMYFUNCTION("""COMPUTED_VALUE"""),6132.63)</f>
        <v>6132.63</v>
      </c>
      <c r="J2295" s="5">
        <f>IFERROR(__xludf.DUMMYFUNCTION("""COMPUTED_VALUE"""),2530.45)</f>
        <v>2530.45</v>
      </c>
      <c r="K2295" s="5">
        <f>IFERROR(__xludf.DUMMYFUNCTION("""COMPUTED_VALUE"""),2980.85)</f>
        <v>2980.85</v>
      </c>
      <c r="L2295" s="4">
        <f>IFERROR(__xludf.DUMMYFUNCTION("""COMPUTED_VALUE"""),13.0)</f>
        <v>13</v>
      </c>
      <c r="M2295" s="4">
        <f>IFERROR(__xludf.DUMMYFUNCTION("""COMPUTED_VALUE"""),31.0)</f>
        <v>31</v>
      </c>
      <c r="N2295" s="2" t="b">
        <f>IFERROR(__xludf.DUMMYFUNCTION("""COMPUTED_VALUE"""),FALSE)</f>
        <v>0</v>
      </c>
    </row>
    <row r="2296">
      <c r="A2296" s="2">
        <f>IFERROR(__xludf.DUMMYFUNCTION("""COMPUTED_VALUE"""),2295.0)</f>
        <v>2295</v>
      </c>
      <c r="B2296" s="2" t="str">
        <f>IFERROR(__xludf.DUMMYFUNCTION("""COMPUTED_VALUE"""),"Dolli Bennis")</f>
        <v>Dolli Bennis</v>
      </c>
      <c r="C2296" s="2"/>
      <c r="D2296" s="4">
        <f>IFERROR(__xludf.DUMMYFUNCTION("""COMPUTED_VALUE"""),35.0)</f>
        <v>35</v>
      </c>
      <c r="E2296" s="4">
        <f>IFERROR(__xludf.DUMMYFUNCTION("""COMPUTED_VALUE"""),67.0)</f>
        <v>67</v>
      </c>
      <c r="F2296" s="4">
        <f>IFERROR(__xludf.DUMMYFUNCTION("""COMPUTED_VALUE"""),10.0)</f>
        <v>10</v>
      </c>
      <c r="G2296" s="4">
        <f>IFERROR(__xludf.DUMMYFUNCTION("""COMPUTED_VALUE"""),1428.0)</f>
        <v>1428</v>
      </c>
      <c r="H2296" s="5">
        <f>IFERROR(__xludf.DUMMYFUNCTION("""COMPUTED_VALUE"""),4806.75)</f>
        <v>4806.75</v>
      </c>
      <c r="I2296" s="5">
        <f>IFERROR(__xludf.DUMMYFUNCTION("""COMPUTED_VALUE"""),4214.64)</f>
        <v>4214.64</v>
      </c>
      <c r="J2296" s="5">
        <f>IFERROR(__xludf.DUMMYFUNCTION("""COMPUTED_VALUE"""),2575.94)</f>
        <v>2575.94</v>
      </c>
      <c r="K2296" s="5">
        <f>IFERROR(__xludf.DUMMYFUNCTION("""COMPUTED_VALUE"""),3643.5)</f>
        <v>3643.5</v>
      </c>
      <c r="L2296" s="4">
        <f>IFERROR(__xludf.DUMMYFUNCTION("""COMPUTED_VALUE"""),3.0)</f>
        <v>3</v>
      </c>
      <c r="M2296" s="4">
        <f>IFERROR(__xludf.DUMMYFUNCTION("""COMPUTED_VALUE"""),69.0)</f>
        <v>69</v>
      </c>
      <c r="N2296" s="2" t="b">
        <f>IFERROR(__xludf.DUMMYFUNCTION("""COMPUTED_VALUE"""),TRUE)</f>
        <v>1</v>
      </c>
    </row>
    <row r="2297">
      <c r="A2297" s="2">
        <f>IFERROR(__xludf.DUMMYFUNCTION("""COMPUTED_VALUE"""),2296.0)</f>
        <v>2296</v>
      </c>
      <c r="B2297" s="2" t="str">
        <f>IFERROR(__xludf.DUMMYFUNCTION("""COMPUTED_VALUE"""),"Kirk Wikey")</f>
        <v>Kirk Wikey</v>
      </c>
      <c r="C2297" s="2"/>
      <c r="D2297" s="4">
        <f>IFERROR(__xludf.DUMMYFUNCTION("""COMPUTED_VALUE"""),142.0)</f>
        <v>142</v>
      </c>
      <c r="E2297" s="4">
        <f>IFERROR(__xludf.DUMMYFUNCTION("""COMPUTED_VALUE"""),41.0)</f>
        <v>41</v>
      </c>
      <c r="F2297" s="4">
        <f>IFERROR(__xludf.DUMMYFUNCTION("""COMPUTED_VALUE"""),7.0)</f>
        <v>7</v>
      </c>
      <c r="G2297" s="4">
        <f>IFERROR(__xludf.DUMMYFUNCTION("""COMPUTED_VALUE"""),459.0)</f>
        <v>459</v>
      </c>
      <c r="H2297" s="5">
        <f>IFERROR(__xludf.DUMMYFUNCTION("""COMPUTED_VALUE"""),6561.6)</f>
        <v>6561.6</v>
      </c>
      <c r="I2297" s="5">
        <f>IFERROR(__xludf.DUMMYFUNCTION("""COMPUTED_VALUE"""),3829.03)</f>
        <v>3829.03</v>
      </c>
      <c r="J2297" s="5">
        <f>IFERROR(__xludf.DUMMYFUNCTION("""COMPUTED_VALUE"""),8519.67)</f>
        <v>8519.67</v>
      </c>
      <c r="K2297" s="5">
        <f>IFERROR(__xludf.DUMMYFUNCTION("""COMPUTED_VALUE"""),3210.31)</f>
        <v>3210.31</v>
      </c>
      <c r="L2297" s="4">
        <f>IFERROR(__xludf.DUMMYFUNCTION("""COMPUTED_VALUE"""),16.0)</f>
        <v>16</v>
      </c>
      <c r="M2297" s="4">
        <f>IFERROR(__xludf.DUMMYFUNCTION("""COMPUTED_VALUE"""),41.0)</f>
        <v>41</v>
      </c>
      <c r="N2297" s="2" t="b">
        <f>IFERROR(__xludf.DUMMYFUNCTION("""COMPUTED_VALUE"""),TRUE)</f>
        <v>1</v>
      </c>
    </row>
    <row r="2298">
      <c r="A2298" s="2">
        <f>IFERROR(__xludf.DUMMYFUNCTION("""COMPUTED_VALUE"""),2297.0)</f>
        <v>2297</v>
      </c>
      <c r="B2298" s="2" t="str">
        <f>IFERROR(__xludf.DUMMYFUNCTION("""COMPUTED_VALUE"""),"Rutger D'Ambrosi")</f>
        <v>Rutger D'Ambrosi</v>
      </c>
      <c r="C2298" s="2" t="str">
        <f>IFERROR(__xludf.DUMMYFUNCTION("""COMPUTED_VALUE"""),"rdambrosi89@skype.com")</f>
        <v>rdambrosi89@skype.com</v>
      </c>
      <c r="D2298" s="4">
        <f>IFERROR(__xludf.DUMMYFUNCTION("""COMPUTED_VALUE"""),28.0)</f>
        <v>28</v>
      </c>
      <c r="E2298" s="4">
        <f>IFERROR(__xludf.DUMMYFUNCTION("""COMPUTED_VALUE"""),37.0)</f>
        <v>37</v>
      </c>
      <c r="F2298" s="4">
        <f>IFERROR(__xludf.DUMMYFUNCTION("""COMPUTED_VALUE"""),10.0)</f>
        <v>10</v>
      </c>
      <c r="G2298" s="4">
        <f>IFERROR(__xludf.DUMMYFUNCTION("""COMPUTED_VALUE"""),606.0)</f>
        <v>606</v>
      </c>
      <c r="H2298" s="5">
        <f>IFERROR(__xludf.DUMMYFUNCTION("""COMPUTED_VALUE"""),5081.21)</f>
        <v>5081.21</v>
      </c>
      <c r="I2298" s="5">
        <f>IFERROR(__xludf.DUMMYFUNCTION("""COMPUTED_VALUE"""),9196.24)</f>
        <v>9196.24</v>
      </c>
      <c r="J2298" s="5">
        <f>IFERROR(__xludf.DUMMYFUNCTION("""COMPUTED_VALUE"""),3380.27)</f>
        <v>3380.27</v>
      </c>
      <c r="K2298" s="5">
        <f>IFERROR(__xludf.DUMMYFUNCTION("""COMPUTED_VALUE"""),6782.74)</f>
        <v>6782.74</v>
      </c>
      <c r="L2298" s="4">
        <f>IFERROR(__xludf.DUMMYFUNCTION("""COMPUTED_VALUE"""),19.0)</f>
        <v>19</v>
      </c>
      <c r="M2298" s="4">
        <f>IFERROR(__xludf.DUMMYFUNCTION("""COMPUTED_VALUE"""),43.0)</f>
        <v>43</v>
      </c>
      <c r="N2298" s="2" t="b">
        <f>IFERROR(__xludf.DUMMYFUNCTION("""COMPUTED_VALUE"""),FALSE)</f>
        <v>0</v>
      </c>
    </row>
    <row r="2299">
      <c r="A2299" s="2">
        <f>IFERROR(__xludf.DUMMYFUNCTION("""COMPUTED_VALUE"""),2298.0)</f>
        <v>2298</v>
      </c>
      <c r="B2299" s="2" t="str">
        <f>IFERROR(__xludf.DUMMYFUNCTION("""COMPUTED_VALUE"""),"Rupert Rudolf")</f>
        <v>Rupert Rudolf</v>
      </c>
      <c r="C2299" s="2" t="str">
        <f>IFERROR(__xludf.DUMMYFUNCTION("""COMPUTED_VALUE"""),"rrudolf8a@digg.com")</f>
        <v>rrudolf8a@digg.com</v>
      </c>
      <c r="D2299" s="4">
        <f>IFERROR(__xludf.DUMMYFUNCTION("""COMPUTED_VALUE"""),92.0)</f>
        <v>92</v>
      </c>
      <c r="E2299" s="4">
        <f>IFERROR(__xludf.DUMMYFUNCTION("""COMPUTED_VALUE"""),75.0)</f>
        <v>75</v>
      </c>
      <c r="F2299" s="4">
        <f>IFERROR(__xludf.DUMMYFUNCTION("""COMPUTED_VALUE"""),11.0)</f>
        <v>11</v>
      </c>
      <c r="G2299" s="4">
        <f>IFERROR(__xludf.DUMMYFUNCTION("""COMPUTED_VALUE"""),398.0)</f>
        <v>398</v>
      </c>
      <c r="H2299" s="5">
        <f>IFERROR(__xludf.DUMMYFUNCTION("""COMPUTED_VALUE"""),2810.69)</f>
        <v>2810.69</v>
      </c>
      <c r="I2299" s="5">
        <f>IFERROR(__xludf.DUMMYFUNCTION("""COMPUTED_VALUE"""),6053.94)</f>
        <v>6053.94</v>
      </c>
      <c r="J2299" s="5">
        <f>IFERROR(__xludf.DUMMYFUNCTION("""COMPUTED_VALUE"""),6664.65)</f>
        <v>6664.65</v>
      </c>
      <c r="K2299" s="5">
        <f>IFERROR(__xludf.DUMMYFUNCTION("""COMPUTED_VALUE"""),7461.94)</f>
        <v>7461.94</v>
      </c>
      <c r="L2299" s="4">
        <f>IFERROR(__xludf.DUMMYFUNCTION("""COMPUTED_VALUE"""),8.0)</f>
        <v>8</v>
      </c>
      <c r="M2299" s="4">
        <f>IFERROR(__xludf.DUMMYFUNCTION("""COMPUTED_VALUE"""),5.0)</f>
        <v>5</v>
      </c>
      <c r="N2299" s="2" t="b">
        <f>IFERROR(__xludf.DUMMYFUNCTION("""COMPUTED_VALUE"""),FALSE)</f>
        <v>0</v>
      </c>
    </row>
    <row r="2300">
      <c r="A2300" s="2">
        <f>IFERROR(__xludf.DUMMYFUNCTION("""COMPUTED_VALUE"""),2299.0)</f>
        <v>2299</v>
      </c>
      <c r="B2300" s="2" t="str">
        <f>IFERROR(__xludf.DUMMYFUNCTION("""COMPUTED_VALUE"""),"Legra Bloomfield")</f>
        <v>Legra Bloomfield</v>
      </c>
      <c r="C2300" s="2" t="str">
        <f>IFERROR(__xludf.DUMMYFUNCTION("""COMPUTED_VALUE"""),"lbloomfield8b@naver.com")</f>
        <v>lbloomfield8b@naver.com</v>
      </c>
      <c r="D2300" s="4">
        <f>IFERROR(__xludf.DUMMYFUNCTION("""COMPUTED_VALUE"""),46.0)</f>
        <v>46</v>
      </c>
      <c r="E2300" s="4">
        <f>IFERROR(__xludf.DUMMYFUNCTION("""COMPUTED_VALUE"""),33.0)</f>
        <v>33</v>
      </c>
      <c r="F2300" s="4">
        <f>IFERROR(__xludf.DUMMYFUNCTION("""COMPUTED_VALUE"""),4.0)</f>
        <v>4</v>
      </c>
      <c r="G2300" s="4">
        <f>IFERROR(__xludf.DUMMYFUNCTION("""COMPUTED_VALUE"""),352.0)</f>
        <v>352</v>
      </c>
      <c r="H2300" s="5">
        <f>IFERROR(__xludf.DUMMYFUNCTION("""COMPUTED_VALUE"""),7044.04)</f>
        <v>7044.04</v>
      </c>
      <c r="I2300" s="5">
        <f>IFERROR(__xludf.DUMMYFUNCTION("""COMPUTED_VALUE"""),1429.23)</f>
        <v>1429.23</v>
      </c>
      <c r="J2300" s="5">
        <f>IFERROR(__xludf.DUMMYFUNCTION("""COMPUTED_VALUE"""),121.09)</f>
        <v>121.09</v>
      </c>
      <c r="K2300" s="5">
        <f>IFERROR(__xludf.DUMMYFUNCTION("""COMPUTED_VALUE"""),4379.1)</f>
        <v>4379.1</v>
      </c>
      <c r="L2300" s="4">
        <f>IFERROR(__xludf.DUMMYFUNCTION("""COMPUTED_VALUE"""),10.0)</f>
        <v>10</v>
      </c>
      <c r="M2300" s="4">
        <f>IFERROR(__xludf.DUMMYFUNCTION("""COMPUTED_VALUE"""),92.0)</f>
        <v>92</v>
      </c>
      <c r="N2300" s="2" t="b">
        <f>IFERROR(__xludf.DUMMYFUNCTION("""COMPUTED_VALUE"""),FALSE)</f>
        <v>0</v>
      </c>
    </row>
    <row r="2301">
      <c r="A2301" s="2">
        <f>IFERROR(__xludf.DUMMYFUNCTION("""COMPUTED_VALUE"""),2300.0)</f>
        <v>2300</v>
      </c>
      <c r="B2301" s="2" t="str">
        <f>IFERROR(__xludf.DUMMYFUNCTION("""COMPUTED_VALUE"""),"Berry Tomasian")</f>
        <v>Berry Tomasian</v>
      </c>
      <c r="C2301" s="2" t="str">
        <f>IFERROR(__xludf.DUMMYFUNCTION("""COMPUTED_VALUE"""),"btomasian8c@prlog.org")</f>
        <v>btomasian8c@prlog.org</v>
      </c>
      <c r="D2301" s="4">
        <f>IFERROR(__xludf.DUMMYFUNCTION("""COMPUTED_VALUE"""),127.0)</f>
        <v>127</v>
      </c>
      <c r="E2301" s="4">
        <f>IFERROR(__xludf.DUMMYFUNCTION("""COMPUTED_VALUE"""),95.0)</f>
        <v>95</v>
      </c>
      <c r="F2301" s="4">
        <f>IFERROR(__xludf.DUMMYFUNCTION("""COMPUTED_VALUE"""),11.0)</f>
        <v>11</v>
      </c>
      <c r="G2301" s="4">
        <f>IFERROR(__xludf.DUMMYFUNCTION("""COMPUTED_VALUE"""),1479.0)</f>
        <v>1479</v>
      </c>
      <c r="H2301" s="5">
        <f>IFERROR(__xludf.DUMMYFUNCTION("""COMPUTED_VALUE"""),1374.85)</f>
        <v>1374.85</v>
      </c>
      <c r="I2301" s="5">
        <f>IFERROR(__xludf.DUMMYFUNCTION("""COMPUTED_VALUE"""),2875.15)</f>
        <v>2875.15</v>
      </c>
      <c r="J2301" s="5">
        <f>IFERROR(__xludf.DUMMYFUNCTION("""COMPUTED_VALUE"""),6101.51)</f>
        <v>6101.51</v>
      </c>
      <c r="K2301" s="5">
        <f>IFERROR(__xludf.DUMMYFUNCTION("""COMPUTED_VALUE"""),9098.01)</f>
        <v>9098.01</v>
      </c>
      <c r="L2301" s="4">
        <f>IFERROR(__xludf.DUMMYFUNCTION("""COMPUTED_VALUE"""),7.0)</f>
        <v>7</v>
      </c>
      <c r="M2301" s="4">
        <f>IFERROR(__xludf.DUMMYFUNCTION("""COMPUTED_VALUE"""),73.0)</f>
        <v>73</v>
      </c>
      <c r="N2301" s="2" t="b">
        <f>IFERROR(__xludf.DUMMYFUNCTION("""COMPUTED_VALUE"""),FALSE)</f>
        <v>0</v>
      </c>
    </row>
    <row r="2302">
      <c r="A2302" s="2">
        <f>IFERROR(__xludf.DUMMYFUNCTION("""COMPUTED_VALUE"""),2301.0)</f>
        <v>2301</v>
      </c>
      <c r="B2302" s="2" t="str">
        <f>IFERROR(__xludf.DUMMYFUNCTION("""COMPUTED_VALUE"""),"Tammie Nund")</f>
        <v>Tammie Nund</v>
      </c>
      <c r="C2302" s="2" t="str">
        <f>IFERROR(__xludf.DUMMYFUNCTION("""COMPUTED_VALUE"""),"tnund8d@printfriendly.com")</f>
        <v>tnund8d@printfriendly.com</v>
      </c>
      <c r="D2302" s="4">
        <f>IFERROR(__xludf.DUMMYFUNCTION("""COMPUTED_VALUE"""),160.0)</f>
        <v>160</v>
      </c>
      <c r="E2302" s="4">
        <f>IFERROR(__xludf.DUMMYFUNCTION("""COMPUTED_VALUE"""),80.0)</f>
        <v>80</v>
      </c>
      <c r="F2302" s="4">
        <f>IFERROR(__xludf.DUMMYFUNCTION("""COMPUTED_VALUE"""),12.0)</f>
        <v>12</v>
      </c>
      <c r="G2302" s="4">
        <f>IFERROR(__xludf.DUMMYFUNCTION("""COMPUTED_VALUE"""),1343.0)</f>
        <v>1343</v>
      </c>
      <c r="H2302" s="5">
        <f>IFERROR(__xludf.DUMMYFUNCTION("""COMPUTED_VALUE"""),2110.77)</f>
        <v>2110.77</v>
      </c>
      <c r="I2302" s="5">
        <f>IFERROR(__xludf.DUMMYFUNCTION("""COMPUTED_VALUE"""),9455.66)</f>
        <v>9455.66</v>
      </c>
      <c r="J2302" s="5">
        <f>IFERROR(__xludf.DUMMYFUNCTION("""COMPUTED_VALUE"""),8316.3)</f>
        <v>8316.3</v>
      </c>
      <c r="K2302" s="5">
        <f>IFERROR(__xludf.DUMMYFUNCTION("""COMPUTED_VALUE"""),3642.68)</f>
        <v>3642.68</v>
      </c>
      <c r="L2302" s="4">
        <f>IFERROR(__xludf.DUMMYFUNCTION("""COMPUTED_VALUE"""),18.0)</f>
        <v>18</v>
      </c>
      <c r="M2302" s="4">
        <f>IFERROR(__xludf.DUMMYFUNCTION("""COMPUTED_VALUE"""),79.0)</f>
        <v>79</v>
      </c>
      <c r="N2302" s="2" t="b">
        <f>IFERROR(__xludf.DUMMYFUNCTION("""COMPUTED_VALUE"""),FALSE)</f>
        <v>0</v>
      </c>
    </row>
    <row r="2303">
      <c r="A2303" s="2">
        <f>IFERROR(__xludf.DUMMYFUNCTION("""COMPUTED_VALUE"""),2302.0)</f>
        <v>2302</v>
      </c>
      <c r="B2303" s="2" t="str">
        <f>IFERROR(__xludf.DUMMYFUNCTION("""COMPUTED_VALUE"""),"Janos Mayor")</f>
        <v>Janos Mayor</v>
      </c>
      <c r="C2303" s="2" t="str">
        <f>IFERROR(__xludf.DUMMYFUNCTION("""COMPUTED_VALUE"""),"jmayor8e@goodreads.com")</f>
        <v>jmayor8e@goodreads.com</v>
      </c>
      <c r="D2303" s="4">
        <f>IFERROR(__xludf.DUMMYFUNCTION("""COMPUTED_VALUE"""),10.0)</f>
        <v>10</v>
      </c>
      <c r="E2303" s="4">
        <f>IFERROR(__xludf.DUMMYFUNCTION("""COMPUTED_VALUE"""),77.0)</f>
        <v>77</v>
      </c>
      <c r="F2303" s="4">
        <f>IFERROR(__xludf.DUMMYFUNCTION("""COMPUTED_VALUE"""),7.0)</f>
        <v>7</v>
      </c>
      <c r="G2303" s="4">
        <f>IFERROR(__xludf.DUMMYFUNCTION("""COMPUTED_VALUE"""),496.0)</f>
        <v>496</v>
      </c>
      <c r="H2303" s="5">
        <f>IFERROR(__xludf.DUMMYFUNCTION("""COMPUTED_VALUE"""),7641.08)</f>
        <v>7641.08</v>
      </c>
      <c r="I2303" s="5">
        <f>IFERROR(__xludf.DUMMYFUNCTION("""COMPUTED_VALUE"""),4554.72)</f>
        <v>4554.72</v>
      </c>
      <c r="J2303" s="5">
        <f>IFERROR(__xludf.DUMMYFUNCTION("""COMPUTED_VALUE"""),1897.37)</f>
        <v>1897.37</v>
      </c>
      <c r="K2303" s="5">
        <f>IFERROR(__xludf.DUMMYFUNCTION("""COMPUTED_VALUE"""),9031.62)</f>
        <v>9031.62</v>
      </c>
      <c r="L2303" s="4">
        <f>IFERROR(__xludf.DUMMYFUNCTION("""COMPUTED_VALUE"""),10.0)</f>
        <v>10</v>
      </c>
      <c r="M2303" s="4">
        <f>IFERROR(__xludf.DUMMYFUNCTION("""COMPUTED_VALUE"""),74.0)</f>
        <v>74</v>
      </c>
      <c r="N2303" s="2" t="b">
        <f>IFERROR(__xludf.DUMMYFUNCTION("""COMPUTED_VALUE"""),TRUE)</f>
        <v>1</v>
      </c>
    </row>
    <row r="2304">
      <c r="A2304" s="2">
        <f>IFERROR(__xludf.DUMMYFUNCTION("""COMPUTED_VALUE"""),2303.0)</f>
        <v>2303</v>
      </c>
      <c r="B2304" s="2" t="str">
        <f>IFERROR(__xludf.DUMMYFUNCTION("""COMPUTED_VALUE"""),"Philipa Coveley")</f>
        <v>Philipa Coveley</v>
      </c>
      <c r="C2304" s="2"/>
      <c r="D2304" s="4">
        <f>IFERROR(__xludf.DUMMYFUNCTION("""COMPUTED_VALUE"""),25.0)</f>
        <v>25</v>
      </c>
      <c r="E2304" s="4">
        <f>IFERROR(__xludf.DUMMYFUNCTION("""COMPUTED_VALUE"""),84.0)</f>
        <v>84</v>
      </c>
      <c r="F2304" s="4">
        <f>IFERROR(__xludf.DUMMYFUNCTION("""COMPUTED_VALUE"""),11.0)</f>
        <v>11</v>
      </c>
      <c r="G2304" s="4">
        <f>IFERROR(__xludf.DUMMYFUNCTION("""COMPUTED_VALUE"""),668.0)</f>
        <v>668</v>
      </c>
      <c r="H2304" s="5">
        <f>IFERROR(__xludf.DUMMYFUNCTION("""COMPUTED_VALUE"""),1371.67)</f>
        <v>1371.67</v>
      </c>
      <c r="I2304" s="5">
        <f>IFERROR(__xludf.DUMMYFUNCTION("""COMPUTED_VALUE"""),5604.3)</f>
        <v>5604.3</v>
      </c>
      <c r="J2304" s="5">
        <f>IFERROR(__xludf.DUMMYFUNCTION("""COMPUTED_VALUE"""),2538.4)</f>
        <v>2538.4</v>
      </c>
      <c r="K2304" s="5">
        <f>IFERROR(__xludf.DUMMYFUNCTION("""COMPUTED_VALUE"""),4240.57)</f>
        <v>4240.57</v>
      </c>
      <c r="L2304" s="4">
        <f>IFERROR(__xludf.DUMMYFUNCTION("""COMPUTED_VALUE"""),8.0)</f>
        <v>8</v>
      </c>
      <c r="M2304" s="4">
        <f>IFERROR(__xludf.DUMMYFUNCTION("""COMPUTED_VALUE"""),32.0)</f>
        <v>32</v>
      </c>
      <c r="N2304" s="2" t="b">
        <f>IFERROR(__xludf.DUMMYFUNCTION("""COMPUTED_VALUE"""),TRUE)</f>
        <v>1</v>
      </c>
    </row>
    <row r="2305">
      <c r="A2305" s="2">
        <f>IFERROR(__xludf.DUMMYFUNCTION("""COMPUTED_VALUE"""),2304.0)</f>
        <v>2304</v>
      </c>
      <c r="B2305" s="2" t="str">
        <f>IFERROR(__xludf.DUMMYFUNCTION("""COMPUTED_VALUE"""),"Kalina Bridgwood")</f>
        <v>Kalina Bridgwood</v>
      </c>
      <c r="C2305" s="2"/>
      <c r="D2305" s="4">
        <f>IFERROR(__xludf.DUMMYFUNCTION("""COMPUTED_VALUE"""),111.0)</f>
        <v>111</v>
      </c>
      <c r="E2305" s="4">
        <f>IFERROR(__xludf.DUMMYFUNCTION("""COMPUTED_VALUE"""),73.0)</f>
        <v>73</v>
      </c>
      <c r="F2305" s="4">
        <f>IFERROR(__xludf.DUMMYFUNCTION("""COMPUTED_VALUE"""),1.0)</f>
        <v>1</v>
      </c>
      <c r="G2305" s="4">
        <f>IFERROR(__xludf.DUMMYFUNCTION("""COMPUTED_VALUE"""),1164.0)</f>
        <v>1164</v>
      </c>
      <c r="H2305" s="5">
        <f>IFERROR(__xludf.DUMMYFUNCTION("""COMPUTED_VALUE"""),3913.6)</f>
        <v>3913.6</v>
      </c>
      <c r="I2305" s="5">
        <f>IFERROR(__xludf.DUMMYFUNCTION("""COMPUTED_VALUE"""),1370.95)</f>
        <v>1370.95</v>
      </c>
      <c r="J2305" s="5">
        <f>IFERROR(__xludf.DUMMYFUNCTION("""COMPUTED_VALUE"""),8012.61)</f>
        <v>8012.61</v>
      </c>
      <c r="K2305" s="5">
        <f>IFERROR(__xludf.DUMMYFUNCTION("""COMPUTED_VALUE"""),4230.54)</f>
        <v>4230.54</v>
      </c>
      <c r="L2305" s="4">
        <f>IFERROR(__xludf.DUMMYFUNCTION("""COMPUTED_VALUE"""),10.0)</f>
        <v>10</v>
      </c>
      <c r="M2305" s="4">
        <f>IFERROR(__xludf.DUMMYFUNCTION("""COMPUTED_VALUE"""),43.0)</f>
        <v>43</v>
      </c>
      <c r="N2305" s="2" t="b">
        <f>IFERROR(__xludf.DUMMYFUNCTION("""COMPUTED_VALUE"""),FALSE)</f>
        <v>0</v>
      </c>
    </row>
    <row r="2306">
      <c r="A2306" s="2">
        <f>IFERROR(__xludf.DUMMYFUNCTION("""COMPUTED_VALUE"""),2305.0)</f>
        <v>2305</v>
      </c>
      <c r="B2306" s="2" t="str">
        <f>IFERROR(__xludf.DUMMYFUNCTION("""COMPUTED_VALUE"""),"Winnie Boorman")</f>
        <v>Winnie Boorman</v>
      </c>
      <c r="C2306" s="2"/>
      <c r="D2306" s="4">
        <f>IFERROR(__xludf.DUMMYFUNCTION("""COMPUTED_VALUE"""),160.0)</f>
        <v>160</v>
      </c>
      <c r="E2306" s="4">
        <f>IFERROR(__xludf.DUMMYFUNCTION("""COMPUTED_VALUE"""),4.0)</f>
        <v>4</v>
      </c>
      <c r="F2306" s="4">
        <f>IFERROR(__xludf.DUMMYFUNCTION("""COMPUTED_VALUE"""),7.0)</f>
        <v>7</v>
      </c>
      <c r="G2306" s="4">
        <f>IFERROR(__xludf.DUMMYFUNCTION("""COMPUTED_VALUE"""),1091.0)</f>
        <v>1091</v>
      </c>
      <c r="H2306" s="5">
        <f>IFERROR(__xludf.DUMMYFUNCTION("""COMPUTED_VALUE"""),7924.52)</f>
        <v>7924.52</v>
      </c>
      <c r="I2306" s="5">
        <f>IFERROR(__xludf.DUMMYFUNCTION("""COMPUTED_VALUE"""),4329.75)</f>
        <v>4329.75</v>
      </c>
      <c r="J2306" s="5">
        <f>IFERROR(__xludf.DUMMYFUNCTION("""COMPUTED_VALUE"""),5283.4)</f>
        <v>5283.4</v>
      </c>
      <c r="K2306" s="5">
        <f>IFERROR(__xludf.DUMMYFUNCTION("""COMPUTED_VALUE"""),9973.92)</f>
        <v>9973.92</v>
      </c>
      <c r="L2306" s="4">
        <f>IFERROR(__xludf.DUMMYFUNCTION("""COMPUTED_VALUE"""),7.0)</f>
        <v>7</v>
      </c>
      <c r="M2306" s="4">
        <f>IFERROR(__xludf.DUMMYFUNCTION("""COMPUTED_VALUE"""),64.0)</f>
        <v>64</v>
      </c>
      <c r="N2306" s="2" t="b">
        <f>IFERROR(__xludf.DUMMYFUNCTION("""COMPUTED_VALUE"""),TRUE)</f>
        <v>1</v>
      </c>
    </row>
    <row r="2307">
      <c r="A2307" s="2">
        <f>IFERROR(__xludf.DUMMYFUNCTION("""COMPUTED_VALUE"""),2306.0)</f>
        <v>2306</v>
      </c>
      <c r="B2307" s="2" t="str">
        <f>IFERROR(__xludf.DUMMYFUNCTION("""COMPUTED_VALUE"""),"Melba Pendlenton")</f>
        <v>Melba Pendlenton</v>
      </c>
      <c r="C2307" s="2" t="str">
        <f>IFERROR(__xludf.DUMMYFUNCTION("""COMPUTED_VALUE"""),"mpendlenton8i@fda.gov")</f>
        <v>mpendlenton8i@fda.gov</v>
      </c>
      <c r="D2307" s="4">
        <f>IFERROR(__xludf.DUMMYFUNCTION("""COMPUTED_VALUE"""),43.0)</f>
        <v>43</v>
      </c>
      <c r="E2307" s="4">
        <f>IFERROR(__xludf.DUMMYFUNCTION("""COMPUTED_VALUE"""),2.0)</f>
        <v>2</v>
      </c>
      <c r="F2307" s="4">
        <f>IFERROR(__xludf.DUMMYFUNCTION("""COMPUTED_VALUE"""),9.0)</f>
        <v>9</v>
      </c>
      <c r="G2307" s="4">
        <f>IFERROR(__xludf.DUMMYFUNCTION("""COMPUTED_VALUE"""),974.0)</f>
        <v>974</v>
      </c>
      <c r="H2307" s="5">
        <f>IFERROR(__xludf.DUMMYFUNCTION("""COMPUTED_VALUE"""),2340.0)</f>
        <v>2340</v>
      </c>
      <c r="I2307" s="5">
        <f>IFERROR(__xludf.DUMMYFUNCTION("""COMPUTED_VALUE"""),9101.7)</f>
        <v>9101.7</v>
      </c>
      <c r="J2307" s="5">
        <f>IFERROR(__xludf.DUMMYFUNCTION("""COMPUTED_VALUE"""),2323.84)</f>
        <v>2323.84</v>
      </c>
      <c r="K2307" s="5">
        <f>IFERROR(__xludf.DUMMYFUNCTION("""COMPUTED_VALUE"""),4175.07)</f>
        <v>4175.07</v>
      </c>
      <c r="L2307" s="4">
        <f>IFERROR(__xludf.DUMMYFUNCTION("""COMPUTED_VALUE"""),14.0)</f>
        <v>14</v>
      </c>
      <c r="M2307" s="4">
        <f>IFERROR(__xludf.DUMMYFUNCTION("""COMPUTED_VALUE"""),64.0)</f>
        <v>64</v>
      </c>
      <c r="N2307" s="2" t="b">
        <f>IFERROR(__xludf.DUMMYFUNCTION("""COMPUTED_VALUE"""),TRUE)</f>
        <v>1</v>
      </c>
    </row>
    <row r="2308">
      <c r="A2308" s="2">
        <f>IFERROR(__xludf.DUMMYFUNCTION("""COMPUTED_VALUE"""),2307.0)</f>
        <v>2307</v>
      </c>
      <c r="B2308" s="2" t="str">
        <f>IFERROR(__xludf.DUMMYFUNCTION("""COMPUTED_VALUE"""),"Tracie Trussell")</f>
        <v>Tracie Trussell</v>
      </c>
      <c r="C2308" s="2"/>
      <c r="D2308" s="4">
        <f>IFERROR(__xludf.DUMMYFUNCTION("""COMPUTED_VALUE"""),102.0)</f>
        <v>102</v>
      </c>
      <c r="E2308" s="4">
        <f>IFERROR(__xludf.DUMMYFUNCTION("""COMPUTED_VALUE"""),72.0)</f>
        <v>72</v>
      </c>
      <c r="F2308" s="4">
        <f>IFERROR(__xludf.DUMMYFUNCTION("""COMPUTED_VALUE"""),10.0)</f>
        <v>10</v>
      </c>
      <c r="G2308" s="4">
        <f>IFERROR(__xludf.DUMMYFUNCTION("""COMPUTED_VALUE"""),752.0)</f>
        <v>752</v>
      </c>
      <c r="H2308" s="5">
        <f>IFERROR(__xludf.DUMMYFUNCTION("""COMPUTED_VALUE"""),5895.33)</f>
        <v>5895.33</v>
      </c>
      <c r="I2308" s="5">
        <f>IFERROR(__xludf.DUMMYFUNCTION("""COMPUTED_VALUE"""),8732.22)</f>
        <v>8732.22</v>
      </c>
      <c r="J2308" s="5">
        <f>IFERROR(__xludf.DUMMYFUNCTION("""COMPUTED_VALUE"""),2691.28)</f>
        <v>2691.28</v>
      </c>
      <c r="K2308" s="5">
        <f>IFERROR(__xludf.DUMMYFUNCTION("""COMPUTED_VALUE"""),2466.91)</f>
        <v>2466.91</v>
      </c>
      <c r="L2308" s="4">
        <f>IFERROR(__xludf.DUMMYFUNCTION("""COMPUTED_VALUE"""),12.0)</f>
        <v>12</v>
      </c>
      <c r="M2308" s="4">
        <f>IFERROR(__xludf.DUMMYFUNCTION("""COMPUTED_VALUE"""),51.0)</f>
        <v>51</v>
      </c>
      <c r="N2308" s="2" t="b">
        <f>IFERROR(__xludf.DUMMYFUNCTION("""COMPUTED_VALUE"""),FALSE)</f>
        <v>0</v>
      </c>
    </row>
    <row r="2309">
      <c r="A2309" s="2">
        <f>IFERROR(__xludf.DUMMYFUNCTION("""COMPUTED_VALUE"""),2308.0)</f>
        <v>2308</v>
      </c>
      <c r="B2309" s="2" t="str">
        <f>IFERROR(__xludf.DUMMYFUNCTION("""COMPUTED_VALUE"""),"Huberto Heeney")</f>
        <v>Huberto Heeney</v>
      </c>
      <c r="C2309" s="2"/>
      <c r="D2309" s="4">
        <f>IFERROR(__xludf.DUMMYFUNCTION("""COMPUTED_VALUE"""),88.0)</f>
        <v>88</v>
      </c>
      <c r="E2309" s="4">
        <f>IFERROR(__xludf.DUMMYFUNCTION("""COMPUTED_VALUE"""),94.0)</f>
        <v>94</v>
      </c>
      <c r="F2309" s="4">
        <f>IFERROR(__xludf.DUMMYFUNCTION("""COMPUTED_VALUE"""),11.0)</f>
        <v>11</v>
      </c>
      <c r="G2309" s="4">
        <f>IFERROR(__xludf.DUMMYFUNCTION("""COMPUTED_VALUE"""),1498.0)</f>
        <v>1498</v>
      </c>
      <c r="H2309" s="5">
        <f>IFERROR(__xludf.DUMMYFUNCTION("""COMPUTED_VALUE"""),3070.92)</f>
        <v>3070.92</v>
      </c>
      <c r="I2309" s="5">
        <f>IFERROR(__xludf.DUMMYFUNCTION("""COMPUTED_VALUE"""),74.85)</f>
        <v>74.85</v>
      </c>
      <c r="J2309" s="5">
        <f>IFERROR(__xludf.DUMMYFUNCTION("""COMPUTED_VALUE"""),1027.76)</f>
        <v>1027.76</v>
      </c>
      <c r="K2309" s="5">
        <f>IFERROR(__xludf.DUMMYFUNCTION("""COMPUTED_VALUE"""),8257.51)</f>
        <v>8257.51</v>
      </c>
      <c r="L2309" s="4">
        <f>IFERROR(__xludf.DUMMYFUNCTION("""COMPUTED_VALUE"""),11.0)</f>
        <v>11</v>
      </c>
      <c r="M2309" s="4">
        <f>IFERROR(__xludf.DUMMYFUNCTION("""COMPUTED_VALUE"""),76.0)</f>
        <v>76</v>
      </c>
      <c r="N2309" s="2" t="b">
        <f>IFERROR(__xludf.DUMMYFUNCTION("""COMPUTED_VALUE"""),TRUE)</f>
        <v>1</v>
      </c>
    </row>
    <row r="2310">
      <c r="A2310" s="2">
        <f>IFERROR(__xludf.DUMMYFUNCTION("""COMPUTED_VALUE"""),2309.0)</f>
        <v>2309</v>
      </c>
      <c r="B2310" s="2" t="str">
        <f>IFERROR(__xludf.DUMMYFUNCTION("""COMPUTED_VALUE"""),"Ignacio Bolderson")</f>
        <v>Ignacio Bolderson</v>
      </c>
      <c r="C2310" s="2" t="str">
        <f>IFERROR(__xludf.DUMMYFUNCTION("""COMPUTED_VALUE"""),"ibolderson8l@sitemeter.com")</f>
        <v>ibolderson8l@sitemeter.com</v>
      </c>
      <c r="D2310" s="4">
        <f>IFERROR(__xludf.DUMMYFUNCTION("""COMPUTED_VALUE"""),93.0)</f>
        <v>93</v>
      </c>
      <c r="E2310" s="4">
        <f>IFERROR(__xludf.DUMMYFUNCTION("""COMPUTED_VALUE"""),53.0)</f>
        <v>53</v>
      </c>
      <c r="F2310" s="4">
        <f>IFERROR(__xludf.DUMMYFUNCTION("""COMPUTED_VALUE"""),10.0)</f>
        <v>10</v>
      </c>
      <c r="G2310" s="4">
        <f>IFERROR(__xludf.DUMMYFUNCTION("""COMPUTED_VALUE"""),153.0)</f>
        <v>153</v>
      </c>
      <c r="H2310" s="5">
        <f>IFERROR(__xludf.DUMMYFUNCTION("""COMPUTED_VALUE"""),6006.19)</f>
        <v>6006.19</v>
      </c>
      <c r="I2310" s="5">
        <f>IFERROR(__xludf.DUMMYFUNCTION("""COMPUTED_VALUE"""),2871.13)</f>
        <v>2871.13</v>
      </c>
      <c r="J2310" s="5">
        <f>IFERROR(__xludf.DUMMYFUNCTION("""COMPUTED_VALUE"""),8491.2)</f>
        <v>8491.2</v>
      </c>
      <c r="K2310" s="5">
        <f>IFERROR(__xludf.DUMMYFUNCTION("""COMPUTED_VALUE"""),3979.44)</f>
        <v>3979.44</v>
      </c>
      <c r="L2310" s="4">
        <f>IFERROR(__xludf.DUMMYFUNCTION("""COMPUTED_VALUE"""),5.0)</f>
        <v>5</v>
      </c>
      <c r="M2310" s="4">
        <f>IFERROR(__xludf.DUMMYFUNCTION("""COMPUTED_VALUE"""),13.0)</f>
        <v>13</v>
      </c>
      <c r="N2310" s="2" t="b">
        <f>IFERROR(__xludf.DUMMYFUNCTION("""COMPUTED_VALUE"""),TRUE)</f>
        <v>1</v>
      </c>
    </row>
    <row r="2311">
      <c r="A2311" s="2">
        <f>IFERROR(__xludf.DUMMYFUNCTION("""COMPUTED_VALUE"""),2310.0)</f>
        <v>2310</v>
      </c>
      <c r="B2311" s="2" t="str">
        <f>IFERROR(__xludf.DUMMYFUNCTION("""COMPUTED_VALUE"""),"Christiane Besemer")</f>
        <v>Christiane Besemer</v>
      </c>
      <c r="C2311" s="2"/>
      <c r="D2311" s="4">
        <f>IFERROR(__xludf.DUMMYFUNCTION("""COMPUTED_VALUE"""),41.0)</f>
        <v>41</v>
      </c>
      <c r="E2311" s="4">
        <f>IFERROR(__xludf.DUMMYFUNCTION("""COMPUTED_VALUE"""),118.0)</f>
        <v>118</v>
      </c>
      <c r="F2311" s="4">
        <f>IFERROR(__xludf.DUMMYFUNCTION("""COMPUTED_VALUE"""),13.0)</f>
        <v>13</v>
      </c>
      <c r="G2311" s="4">
        <f>IFERROR(__xludf.DUMMYFUNCTION("""COMPUTED_VALUE"""),697.0)</f>
        <v>697</v>
      </c>
      <c r="H2311" s="5">
        <f>IFERROR(__xludf.DUMMYFUNCTION("""COMPUTED_VALUE"""),3699.22)</f>
        <v>3699.22</v>
      </c>
      <c r="I2311" s="5">
        <f>IFERROR(__xludf.DUMMYFUNCTION("""COMPUTED_VALUE"""),7867.91)</f>
        <v>7867.91</v>
      </c>
      <c r="J2311" s="5">
        <f>IFERROR(__xludf.DUMMYFUNCTION("""COMPUTED_VALUE"""),9100.9)</f>
        <v>9100.9</v>
      </c>
      <c r="K2311" s="5">
        <f>IFERROR(__xludf.DUMMYFUNCTION("""COMPUTED_VALUE"""),7082.22)</f>
        <v>7082.22</v>
      </c>
      <c r="L2311" s="4">
        <f>IFERROR(__xludf.DUMMYFUNCTION("""COMPUTED_VALUE"""),11.0)</f>
        <v>11</v>
      </c>
      <c r="M2311" s="4">
        <f>IFERROR(__xludf.DUMMYFUNCTION("""COMPUTED_VALUE"""),13.0)</f>
        <v>13</v>
      </c>
      <c r="N2311" s="2" t="b">
        <f>IFERROR(__xludf.DUMMYFUNCTION("""COMPUTED_VALUE"""),TRUE)</f>
        <v>1</v>
      </c>
    </row>
    <row r="2312">
      <c r="A2312" s="2">
        <f>IFERROR(__xludf.DUMMYFUNCTION("""COMPUTED_VALUE"""),2311.0)</f>
        <v>2311</v>
      </c>
      <c r="B2312" s="2" t="str">
        <f>IFERROR(__xludf.DUMMYFUNCTION("""COMPUTED_VALUE"""),"Rosalind Yurocjkin")</f>
        <v>Rosalind Yurocjkin</v>
      </c>
      <c r="C2312" s="2" t="str">
        <f>IFERROR(__xludf.DUMMYFUNCTION("""COMPUTED_VALUE"""),"ryurocjkin8n@nasa.gov")</f>
        <v>ryurocjkin8n@nasa.gov</v>
      </c>
      <c r="D2312" s="4">
        <f>IFERROR(__xludf.DUMMYFUNCTION("""COMPUTED_VALUE"""),112.0)</f>
        <v>112</v>
      </c>
      <c r="E2312" s="4">
        <f>IFERROR(__xludf.DUMMYFUNCTION("""COMPUTED_VALUE"""),4.0)</f>
        <v>4</v>
      </c>
      <c r="F2312" s="4">
        <f>IFERROR(__xludf.DUMMYFUNCTION("""COMPUTED_VALUE"""),10.0)</f>
        <v>10</v>
      </c>
      <c r="G2312" s="4">
        <f>IFERROR(__xludf.DUMMYFUNCTION("""COMPUTED_VALUE"""),1465.0)</f>
        <v>1465</v>
      </c>
      <c r="H2312" s="5">
        <f>IFERROR(__xludf.DUMMYFUNCTION("""COMPUTED_VALUE"""),5056.31)</f>
        <v>5056.31</v>
      </c>
      <c r="I2312" s="5">
        <f>IFERROR(__xludf.DUMMYFUNCTION("""COMPUTED_VALUE"""),4166.33)</f>
        <v>4166.33</v>
      </c>
      <c r="J2312" s="5">
        <f>IFERROR(__xludf.DUMMYFUNCTION("""COMPUTED_VALUE"""),3209.39)</f>
        <v>3209.39</v>
      </c>
      <c r="K2312" s="5">
        <f>IFERROR(__xludf.DUMMYFUNCTION("""COMPUTED_VALUE"""),7008.38)</f>
        <v>7008.38</v>
      </c>
      <c r="L2312" s="4">
        <f>IFERROR(__xludf.DUMMYFUNCTION("""COMPUTED_VALUE"""),11.0)</f>
        <v>11</v>
      </c>
      <c r="M2312" s="4">
        <f>IFERROR(__xludf.DUMMYFUNCTION("""COMPUTED_VALUE"""),32.0)</f>
        <v>32</v>
      </c>
      <c r="N2312" s="2" t="b">
        <f>IFERROR(__xludf.DUMMYFUNCTION("""COMPUTED_VALUE"""),FALSE)</f>
        <v>0</v>
      </c>
    </row>
    <row r="2313">
      <c r="A2313" s="2">
        <f>IFERROR(__xludf.DUMMYFUNCTION("""COMPUTED_VALUE"""),2312.0)</f>
        <v>2312</v>
      </c>
      <c r="B2313" s="2" t="str">
        <f>IFERROR(__xludf.DUMMYFUNCTION("""COMPUTED_VALUE"""),"Clotilda Syms")</f>
        <v>Clotilda Syms</v>
      </c>
      <c r="C2313" s="2" t="str">
        <f>IFERROR(__xludf.DUMMYFUNCTION("""COMPUTED_VALUE"""),"csyms8o@goo.ne.jp")</f>
        <v>csyms8o@goo.ne.jp</v>
      </c>
      <c r="D2313" s="4">
        <f>IFERROR(__xludf.DUMMYFUNCTION("""COMPUTED_VALUE"""),56.0)</f>
        <v>56</v>
      </c>
      <c r="E2313" s="4">
        <f>IFERROR(__xludf.DUMMYFUNCTION("""COMPUTED_VALUE"""),68.0)</f>
        <v>68</v>
      </c>
      <c r="F2313" s="4">
        <f>IFERROR(__xludf.DUMMYFUNCTION("""COMPUTED_VALUE"""),2.0)</f>
        <v>2</v>
      </c>
      <c r="G2313" s="4">
        <f>IFERROR(__xludf.DUMMYFUNCTION("""COMPUTED_VALUE"""),1371.0)</f>
        <v>1371</v>
      </c>
      <c r="H2313" s="5">
        <f>IFERROR(__xludf.DUMMYFUNCTION("""COMPUTED_VALUE"""),1036.4)</f>
        <v>1036.4</v>
      </c>
      <c r="I2313" s="5">
        <f>IFERROR(__xludf.DUMMYFUNCTION("""COMPUTED_VALUE"""),2727.18)</f>
        <v>2727.18</v>
      </c>
      <c r="J2313" s="5">
        <f>IFERROR(__xludf.DUMMYFUNCTION("""COMPUTED_VALUE"""),5096.01)</f>
        <v>5096.01</v>
      </c>
      <c r="K2313" s="5">
        <f>IFERROR(__xludf.DUMMYFUNCTION("""COMPUTED_VALUE"""),4377.02)</f>
        <v>4377.02</v>
      </c>
      <c r="L2313" s="4">
        <f>IFERROR(__xludf.DUMMYFUNCTION("""COMPUTED_VALUE"""),12.0)</f>
        <v>12</v>
      </c>
      <c r="M2313" s="4">
        <f>IFERROR(__xludf.DUMMYFUNCTION("""COMPUTED_VALUE"""),13.0)</f>
        <v>13</v>
      </c>
      <c r="N2313" s="2" t="b">
        <f>IFERROR(__xludf.DUMMYFUNCTION("""COMPUTED_VALUE"""),FALSE)</f>
        <v>0</v>
      </c>
    </row>
    <row r="2314">
      <c r="A2314" s="2">
        <f>IFERROR(__xludf.DUMMYFUNCTION("""COMPUTED_VALUE"""),2313.0)</f>
        <v>2313</v>
      </c>
      <c r="B2314" s="2" t="str">
        <f>IFERROR(__xludf.DUMMYFUNCTION("""COMPUTED_VALUE"""),"Morley Yitzowitz")</f>
        <v>Morley Yitzowitz</v>
      </c>
      <c r="C2314" s="2"/>
      <c r="D2314" s="4">
        <f>IFERROR(__xludf.DUMMYFUNCTION("""COMPUTED_VALUE"""),73.0)</f>
        <v>73</v>
      </c>
      <c r="E2314" s="4">
        <f>IFERROR(__xludf.DUMMYFUNCTION("""COMPUTED_VALUE"""),60.0)</f>
        <v>60</v>
      </c>
      <c r="F2314" s="4">
        <f>IFERROR(__xludf.DUMMYFUNCTION("""COMPUTED_VALUE"""),3.0)</f>
        <v>3</v>
      </c>
      <c r="G2314" s="4">
        <f>IFERROR(__xludf.DUMMYFUNCTION("""COMPUTED_VALUE"""),333.0)</f>
        <v>333</v>
      </c>
      <c r="H2314" s="5">
        <f>IFERROR(__xludf.DUMMYFUNCTION("""COMPUTED_VALUE"""),6698.47)</f>
        <v>6698.47</v>
      </c>
      <c r="I2314" s="5">
        <f>IFERROR(__xludf.DUMMYFUNCTION("""COMPUTED_VALUE"""),9418.35)</f>
        <v>9418.35</v>
      </c>
      <c r="J2314" s="5">
        <f>IFERROR(__xludf.DUMMYFUNCTION("""COMPUTED_VALUE"""),9886.12)</f>
        <v>9886.12</v>
      </c>
      <c r="K2314" s="5">
        <f>IFERROR(__xludf.DUMMYFUNCTION("""COMPUTED_VALUE"""),6258.63)</f>
        <v>6258.63</v>
      </c>
      <c r="L2314" s="4">
        <f>IFERROR(__xludf.DUMMYFUNCTION("""COMPUTED_VALUE"""),2.0)</f>
        <v>2</v>
      </c>
      <c r="M2314" s="4">
        <f>IFERROR(__xludf.DUMMYFUNCTION("""COMPUTED_VALUE"""),33.0)</f>
        <v>33</v>
      </c>
      <c r="N2314" s="2" t="b">
        <f>IFERROR(__xludf.DUMMYFUNCTION("""COMPUTED_VALUE"""),TRUE)</f>
        <v>1</v>
      </c>
    </row>
    <row r="2315">
      <c r="A2315" s="2">
        <f>IFERROR(__xludf.DUMMYFUNCTION("""COMPUTED_VALUE"""),2314.0)</f>
        <v>2314</v>
      </c>
      <c r="B2315" s="2" t="str">
        <f>IFERROR(__xludf.DUMMYFUNCTION("""COMPUTED_VALUE"""),"Milly Dumke")</f>
        <v>Milly Dumke</v>
      </c>
      <c r="C2315" s="2" t="str">
        <f>IFERROR(__xludf.DUMMYFUNCTION("""COMPUTED_VALUE"""),"mdumke8q@oakley.com")</f>
        <v>mdumke8q@oakley.com</v>
      </c>
      <c r="D2315" s="4">
        <f>IFERROR(__xludf.DUMMYFUNCTION("""COMPUTED_VALUE"""),49.0)</f>
        <v>49</v>
      </c>
      <c r="E2315" s="4">
        <f>IFERROR(__xludf.DUMMYFUNCTION("""COMPUTED_VALUE"""),17.0)</f>
        <v>17</v>
      </c>
      <c r="F2315" s="4">
        <f>IFERROR(__xludf.DUMMYFUNCTION("""COMPUTED_VALUE"""),10.0)</f>
        <v>10</v>
      </c>
      <c r="G2315" s="4">
        <f>IFERROR(__xludf.DUMMYFUNCTION("""COMPUTED_VALUE"""),1232.0)</f>
        <v>1232</v>
      </c>
      <c r="H2315" s="5">
        <f>IFERROR(__xludf.DUMMYFUNCTION("""COMPUTED_VALUE"""),1947.58)</f>
        <v>1947.58</v>
      </c>
      <c r="I2315" s="5">
        <f>IFERROR(__xludf.DUMMYFUNCTION("""COMPUTED_VALUE"""),5713.66)</f>
        <v>5713.66</v>
      </c>
      <c r="J2315" s="5">
        <f>IFERROR(__xludf.DUMMYFUNCTION("""COMPUTED_VALUE"""),3734.18)</f>
        <v>3734.18</v>
      </c>
      <c r="K2315" s="5">
        <f>IFERROR(__xludf.DUMMYFUNCTION("""COMPUTED_VALUE"""),6755.0)</f>
        <v>6755</v>
      </c>
      <c r="L2315" s="4">
        <f>IFERROR(__xludf.DUMMYFUNCTION("""COMPUTED_VALUE"""),1.0)</f>
        <v>1</v>
      </c>
      <c r="M2315" s="4">
        <f>IFERROR(__xludf.DUMMYFUNCTION("""COMPUTED_VALUE"""),97.0)</f>
        <v>97</v>
      </c>
      <c r="N2315" s="2" t="b">
        <f>IFERROR(__xludf.DUMMYFUNCTION("""COMPUTED_VALUE"""),TRUE)</f>
        <v>1</v>
      </c>
    </row>
    <row r="2316">
      <c r="A2316" s="2">
        <f>IFERROR(__xludf.DUMMYFUNCTION("""COMPUTED_VALUE"""),2315.0)</f>
        <v>2315</v>
      </c>
      <c r="B2316" s="2" t="str">
        <f>IFERROR(__xludf.DUMMYFUNCTION("""COMPUTED_VALUE"""),"Brod Farnes")</f>
        <v>Brod Farnes</v>
      </c>
      <c r="C2316" s="2"/>
      <c r="D2316" s="4">
        <f>IFERROR(__xludf.DUMMYFUNCTION("""COMPUTED_VALUE"""),10.0)</f>
        <v>10</v>
      </c>
      <c r="E2316" s="4">
        <f>IFERROR(__xludf.DUMMYFUNCTION("""COMPUTED_VALUE"""),107.0)</f>
        <v>107</v>
      </c>
      <c r="F2316" s="4">
        <f>IFERROR(__xludf.DUMMYFUNCTION("""COMPUTED_VALUE"""),7.0)</f>
        <v>7</v>
      </c>
      <c r="G2316" s="4">
        <f>IFERROR(__xludf.DUMMYFUNCTION("""COMPUTED_VALUE"""),1383.0)</f>
        <v>1383</v>
      </c>
      <c r="H2316" s="5">
        <f>IFERROR(__xludf.DUMMYFUNCTION("""COMPUTED_VALUE"""),8701.8)</f>
        <v>8701.8</v>
      </c>
      <c r="I2316" s="5">
        <f>IFERROR(__xludf.DUMMYFUNCTION("""COMPUTED_VALUE"""),8698.57)</f>
        <v>8698.57</v>
      </c>
      <c r="J2316" s="5">
        <f>IFERROR(__xludf.DUMMYFUNCTION("""COMPUTED_VALUE"""),1786.36)</f>
        <v>1786.36</v>
      </c>
      <c r="K2316" s="5">
        <f>IFERROR(__xludf.DUMMYFUNCTION("""COMPUTED_VALUE"""),1379.22)</f>
        <v>1379.22</v>
      </c>
      <c r="L2316" s="4">
        <f>IFERROR(__xludf.DUMMYFUNCTION("""COMPUTED_VALUE"""),14.0)</f>
        <v>14</v>
      </c>
      <c r="M2316" s="4">
        <f>IFERROR(__xludf.DUMMYFUNCTION("""COMPUTED_VALUE"""),40.0)</f>
        <v>40</v>
      </c>
      <c r="N2316" s="2" t="b">
        <f>IFERROR(__xludf.DUMMYFUNCTION("""COMPUTED_VALUE"""),FALSE)</f>
        <v>0</v>
      </c>
    </row>
    <row r="2317">
      <c r="A2317" s="2">
        <f>IFERROR(__xludf.DUMMYFUNCTION("""COMPUTED_VALUE"""),2316.0)</f>
        <v>2316</v>
      </c>
      <c r="B2317" s="2" t="str">
        <f>IFERROR(__xludf.DUMMYFUNCTION("""COMPUTED_VALUE"""),"Dory Brampton")</f>
        <v>Dory Brampton</v>
      </c>
      <c r="C2317" s="2" t="str">
        <f>IFERROR(__xludf.DUMMYFUNCTION("""COMPUTED_VALUE"""),"dbrampton8s@eventbrite.com")</f>
        <v>dbrampton8s@eventbrite.com</v>
      </c>
      <c r="D2317" s="4">
        <f>IFERROR(__xludf.DUMMYFUNCTION("""COMPUTED_VALUE"""),20.0)</f>
        <v>20</v>
      </c>
      <c r="E2317" s="4">
        <f>IFERROR(__xludf.DUMMYFUNCTION("""COMPUTED_VALUE"""),36.0)</f>
        <v>36</v>
      </c>
      <c r="F2317" s="4">
        <f>IFERROR(__xludf.DUMMYFUNCTION("""COMPUTED_VALUE"""),13.0)</f>
        <v>13</v>
      </c>
      <c r="G2317" s="4">
        <f>IFERROR(__xludf.DUMMYFUNCTION("""COMPUTED_VALUE"""),125.0)</f>
        <v>125</v>
      </c>
      <c r="H2317" s="5">
        <f>IFERROR(__xludf.DUMMYFUNCTION("""COMPUTED_VALUE"""),3306.03)</f>
        <v>3306.03</v>
      </c>
      <c r="I2317" s="5">
        <f>IFERROR(__xludf.DUMMYFUNCTION("""COMPUTED_VALUE"""),1774.0)</f>
        <v>1774</v>
      </c>
      <c r="J2317" s="5">
        <f>IFERROR(__xludf.DUMMYFUNCTION("""COMPUTED_VALUE"""),4653.69)</f>
        <v>4653.69</v>
      </c>
      <c r="K2317" s="5">
        <f>IFERROR(__xludf.DUMMYFUNCTION("""COMPUTED_VALUE"""),9457.71)</f>
        <v>9457.71</v>
      </c>
      <c r="L2317" s="4">
        <f>IFERROR(__xludf.DUMMYFUNCTION("""COMPUTED_VALUE"""),9.0)</f>
        <v>9</v>
      </c>
      <c r="M2317" s="4">
        <f>IFERROR(__xludf.DUMMYFUNCTION("""COMPUTED_VALUE"""),12.0)</f>
        <v>12</v>
      </c>
      <c r="N2317" s="2" t="b">
        <f>IFERROR(__xludf.DUMMYFUNCTION("""COMPUTED_VALUE"""),FALSE)</f>
        <v>0</v>
      </c>
    </row>
    <row r="2318">
      <c r="A2318" s="2">
        <f>IFERROR(__xludf.DUMMYFUNCTION("""COMPUTED_VALUE"""),2317.0)</f>
        <v>2317</v>
      </c>
      <c r="B2318" s="2" t="str">
        <f>IFERROR(__xludf.DUMMYFUNCTION("""COMPUTED_VALUE"""),"Abie Kliesl")</f>
        <v>Abie Kliesl</v>
      </c>
      <c r="C2318" s="2" t="str">
        <f>IFERROR(__xludf.DUMMYFUNCTION("""COMPUTED_VALUE"""),"akliesl8t@phpbb.com")</f>
        <v>akliesl8t@phpbb.com</v>
      </c>
      <c r="D2318" s="4">
        <f>IFERROR(__xludf.DUMMYFUNCTION("""COMPUTED_VALUE"""),110.0)</f>
        <v>110</v>
      </c>
      <c r="E2318" s="4">
        <f>IFERROR(__xludf.DUMMYFUNCTION("""COMPUTED_VALUE"""),105.0)</f>
        <v>105</v>
      </c>
      <c r="F2318" s="4">
        <f>IFERROR(__xludf.DUMMYFUNCTION("""COMPUTED_VALUE"""),13.0)</f>
        <v>13</v>
      </c>
      <c r="G2318" s="4">
        <f>IFERROR(__xludf.DUMMYFUNCTION("""COMPUTED_VALUE"""),1082.0)</f>
        <v>1082</v>
      </c>
      <c r="H2318" s="5">
        <f>IFERROR(__xludf.DUMMYFUNCTION("""COMPUTED_VALUE"""),9428.5)</f>
        <v>9428.5</v>
      </c>
      <c r="I2318" s="5">
        <f>IFERROR(__xludf.DUMMYFUNCTION("""COMPUTED_VALUE"""),2783.79)</f>
        <v>2783.79</v>
      </c>
      <c r="J2318" s="5">
        <f>IFERROR(__xludf.DUMMYFUNCTION("""COMPUTED_VALUE"""),7531.74)</f>
        <v>7531.74</v>
      </c>
      <c r="K2318" s="5">
        <f>IFERROR(__xludf.DUMMYFUNCTION("""COMPUTED_VALUE"""),6275.87)</f>
        <v>6275.87</v>
      </c>
      <c r="L2318" s="4">
        <f>IFERROR(__xludf.DUMMYFUNCTION("""COMPUTED_VALUE"""),1.0)</f>
        <v>1</v>
      </c>
      <c r="M2318" s="4">
        <f>IFERROR(__xludf.DUMMYFUNCTION("""COMPUTED_VALUE"""),54.0)</f>
        <v>54</v>
      </c>
      <c r="N2318" s="2" t="b">
        <f>IFERROR(__xludf.DUMMYFUNCTION("""COMPUTED_VALUE"""),FALSE)</f>
        <v>0</v>
      </c>
    </row>
    <row r="2319">
      <c r="A2319" s="2">
        <f>IFERROR(__xludf.DUMMYFUNCTION("""COMPUTED_VALUE"""),2318.0)</f>
        <v>2318</v>
      </c>
      <c r="B2319" s="2" t="str">
        <f>IFERROR(__xludf.DUMMYFUNCTION("""COMPUTED_VALUE"""),"Cristie Cocci")</f>
        <v>Cristie Cocci</v>
      </c>
      <c r="C2319" s="2"/>
      <c r="D2319" s="4">
        <f>IFERROR(__xludf.DUMMYFUNCTION("""COMPUTED_VALUE"""),143.0)</f>
        <v>143</v>
      </c>
      <c r="E2319" s="4">
        <f>IFERROR(__xludf.DUMMYFUNCTION("""COMPUTED_VALUE"""),20.0)</f>
        <v>20</v>
      </c>
      <c r="F2319" s="4">
        <f>IFERROR(__xludf.DUMMYFUNCTION("""COMPUTED_VALUE"""),13.0)</f>
        <v>13</v>
      </c>
      <c r="G2319" s="4">
        <f>IFERROR(__xludf.DUMMYFUNCTION("""COMPUTED_VALUE"""),566.0)</f>
        <v>566</v>
      </c>
      <c r="H2319" s="5">
        <f>IFERROR(__xludf.DUMMYFUNCTION("""COMPUTED_VALUE"""),6455.37)</f>
        <v>6455.37</v>
      </c>
      <c r="I2319" s="5">
        <f>IFERROR(__xludf.DUMMYFUNCTION("""COMPUTED_VALUE"""),4436.68)</f>
        <v>4436.68</v>
      </c>
      <c r="J2319" s="5">
        <f>IFERROR(__xludf.DUMMYFUNCTION("""COMPUTED_VALUE"""),8310.04)</f>
        <v>8310.04</v>
      </c>
      <c r="K2319" s="5">
        <f>IFERROR(__xludf.DUMMYFUNCTION("""COMPUTED_VALUE"""),3394.42)</f>
        <v>3394.42</v>
      </c>
      <c r="L2319" s="4">
        <f>IFERROR(__xludf.DUMMYFUNCTION("""COMPUTED_VALUE"""),17.0)</f>
        <v>17</v>
      </c>
      <c r="M2319" s="4">
        <f>IFERROR(__xludf.DUMMYFUNCTION("""COMPUTED_VALUE"""),36.0)</f>
        <v>36</v>
      </c>
      <c r="N2319" s="2" t="b">
        <f>IFERROR(__xludf.DUMMYFUNCTION("""COMPUTED_VALUE"""),FALSE)</f>
        <v>0</v>
      </c>
    </row>
    <row r="2320">
      <c r="A2320" s="2">
        <f>IFERROR(__xludf.DUMMYFUNCTION("""COMPUTED_VALUE"""),2319.0)</f>
        <v>2319</v>
      </c>
      <c r="B2320" s="2" t="str">
        <f>IFERROR(__xludf.DUMMYFUNCTION("""COMPUTED_VALUE"""),"Cirstoforo Ormes")</f>
        <v>Cirstoforo Ormes</v>
      </c>
      <c r="C2320" s="2" t="str">
        <f>IFERROR(__xludf.DUMMYFUNCTION("""COMPUTED_VALUE"""),"cormes8v@imdb.com")</f>
        <v>cormes8v@imdb.com</v>
      </c>
      <c r="D2320" s="4">
        <f>IFERROR(__xludf.DUMMYFUNCTION("""COMPUTED_VALUE"""),26.0)</f>
        <v>26</v>
      </c>
      <c r="E2320" s="4">
        <f>IFERROR(__xludf.DUMMYFUNCTION("""COMPUTED_VALUE"""),7.0)</f>
        <v>7</v>
      </c>
      <c r="F2320" s="4">
        <f>IFERROR(__xludf.DUMMYFUNCTION("""COMPUTED_VALUE"""),12.0)</f>
        <v>12</v>
      </c>
      <c r="G2320" s="4">
        <f>IFERROR(__xludf.DUMMYFUNCTION("""COMPUTED_VALUE"""),632.0)</f>
        <v>632</v>
      </c>
      <c r="H2320" s="5">
        <f>IFERROR(__xludf.DUMMYFUNCTION("""COMPUTED_VALUE"""),7121.31)</f>
        <v>7121.31</v>
      </c>
      <c r="I2320" s="5">
        <f>IFERROR(__xludf.DUMMYFUNCTION("""COMPUTED_VALUE"""),7874.57)</f>
        <v>7874.57</v>
      </c>
      <c r="J2320" s="5">
        <f>IFERROR(__xludf.DUMMYFUNCTION("""COMPUTED_VALUE"""),8882.73)</f>
        <v>8882.73</v>
      </c>
      <c r="K2320" s="5">
        <f>IFERROR(__xludf.DUMMYFUNCTION("""COMPUTED_VALUE"""),8788.58)</f>
        <v>8788.58</v>
      </c>
      <c r="L2320" s="4">
        <f>IFERROR(__xludf.DUMMYFUNCTION("""COMPUTED_VALUE"""),9.0)</f>
        <v>9</v>
      </c>
      <c r="M2320" s="4">
        <f>IFERROR(__xludf.DUMMYFUNCTION("""COMPUTED_VALUE"""),19.0)</f>
        <v>19</v>
      </c>
      <c r="N2320" s="2" t="b">
        <f>IFERROR(__xludf.DUMMYFUNCTION("""COMPUTED_VALUE"""),FALSE)</f>
        <v>0</v>
      </c>
    </row>
    <row r="2321">
      <c r="A2321" s="2">
        <f>IFERROR(__xludf.DUMMYFUNCTION("""COMPUTED_VALUE"""),2320.0)</f>
        <v>2320</v>
      </c>
      <c r="B2321" s="2" t="str">
        <f>IFERROR(__xludf.DUMMYFUNCTION("""COMPUTED_VALUE"""),"Nannette Garvin")</f>
        <v>Nannette Garvin</v>
      </c>
      <c r="C2321" s="2" t="str">
        <f>IFERROR(__xludf.DUMMYFUNCTION("""COMPUTED_VALUE"""),"ngarvin8w@tiny.cc")</f>
        <v>ngarvin8w@tiny.cc</v>
      </c>
      <c r="D2321" s="4">
        <f>IFERROR(__xludf.DUMMYFUNCTION("""COMPUTED_VALUE"""),31.0)</f>
        <v>31</v>
      </c>
      <c r="E2321" s="4">
        <f>IFERROR(__xludf.DUMMYFUNCTION("""COMPUTED_VALUE"""),5.0)</f>
        <v>5</v>
      </c>
      <c r="F2321" s="4">
        <f>IFERROR(__xludf.DUMMYFUNCTION("""COMPUTED_VALUE"""),6.0)</f>
        <v>6</v>
      </c>
      <c r="G2321" s="4">
        <f>IFERROR(__xludf.DUMMYFUNCTION("""COMPUTED_VALUE"""),127.0)</f>
        <v>127</v>
      </c>
      <c r="H2321" s="5">
        <f>IFERROR(__xludf.DUMMYFUNCTION("""COMPUTED_VALUE"""),4920.74)</f>
        <v>4920.74</v>
      </c>
      <c r="I2321" s="5">
        <f>IFERROR(__xludf.DUMMYFUNCTION("""COMPUTED_VALUE"""),487.92)</f>
        <v>487.92</v>
      </c>
      <c r="J2321" s="5">
        <f>IFERROR(__xludf.DUMMYFUNCTION("""COMPUTED_VALUE"""),3871.19)</f>
        <v>3871.19</v>
      </c>
      <c r="K2321" s="5">
        <f>IFERROR(__xludf.DUMMYFUNCTION("""COMPUTED_VALUE"""),4595.81)</f>
        <v>4595.81</v>
      </c>
      <c r="L2321" s="4">
        <f>IFERROR(__xludf.DUMMYFUNCTION("""COMPUTED_VALUE"""),12.0)</f>
        <v>12</v>
      </c>
      <c r="M2321" s="4">
        <f>IFERROR(__xludf.DUMMYFUNCTION("""COMPUTED_VALUE"""),25.0)</f>
        <v>25</v>
      </c>
      <c r="N2321" s="2" t="b">
        <f>IFERROR(__xludf.DUMMYFUNCTION("""COMPUTED_VALUE"""),FALSE)</f>
        <v>0</v>
      </c>
    </row>
    <row r="2322">
      <c r="A2322" s="2">
        <f>IFERROR(__xludf.DUMMYFUNCTION("""COMPUTED_VALUE"""),2321.0)</f>
        <v>2321</v>
      </c>
      <c r="B2322" s="2" t="str">
        <f>IFERROR(__xludf.DUMMYFUNCTION("""COMPUTED_VALUE"""),"Franklin Nance")</f>
        <v>Franklin Nance</v>
      </c>
      <c r="C2322" s="2" t="str">
        <f>IFERROR(__xludf.DUMMYFUNCTION("""COMPUTED_VALUE"""),"fnance8x@illinois.edu")</f>
        <v>fnance8x@illinois.edu</v>
      </c>
      <c r="D2322" s="4">
        <f>IFERROR(__xludf.DUMMYFUNCTION("""COMPUTED_VALUE"""),30.0)</f>
        <v>30</v>
      </c>
      <c r="E2322" s="4">
        <f>IFERROR(__xludf.DUMMYFUNCTION("""COMPUTED_VALUE"""),1.0)</f>
        <v>1</v>
      </c>
      <c r="F2322" s="4">
        <f>IFERROR(__xludf.DUMMYFUNCTION("""COMPUTED_VALUE"""),2.0)</f>
        <v>2</v>
      </c>
      <c r="G2322" s="4">
        <f>IFERROR(__xludf.DUMMYFUNCTION("""COMPUTED_VALUE"""),796.0)</f>
        <v>796</v>
      </c>
      <c r="H2322" s="5">
        <f>IFERROR(__xludf.DUMMYFUNCTION("""COMPUTED_VALUE"""),3004.1)</f>
        <v>3004.1</v>
      </c>
      <c r="I2322" s="5">
        <f>IFERROR(__xludf.DUMMYFUNCTION("""COMPUTED_VALUE"""),2663.94)</f>
        <v>2663.94</v>
      </c>
      <c r="J2322" s="5">
        <f>IFERROR(__xludf.DUMMYFUNCTION("""COMPUTED_VALUE"""),970.27)</f>
        <v>970.27</v>
      </c>
      <c r="K2322" s="5">
        <f>IFERROR(__xludf.DUMMYFUNCTION("""COMPUTED_VALUE"""),2663.85)</f>
        <v>2663.85</v>
      </c>
      <c r="L2322" s="4">
        <f>IFERROR(__xludf.DUMMYFUNCTION("""COMPUTED_VALUE"""),3.0)</f>
        <v>3</v>
      </c>
      <c r="M2322" s="4">
        <f>IFERROR(__xludf.DUMMYFUNCTION("""COMPUTED_VALUE"""),6.0)</f>
        <v>6</v>
      </c>
      <c r="N2322" s="2" t="b">
        <f>IFERROR(__xludf.DUMMYFUNCTION("""COMPUTED_VALUE"""),TRUE)</f>
        <v>1</v>
      </c>
    </row>
    <row r="2323">
      <c r="A2323" s="2">
        <f>IFERROR(__xludf.DUMMYFUNCTION("""COMPUTED_VALUE"""),2322.0)</f>
        <v>2322</v>
      </c>
      <c r="B2323" s="2" t="str">
        <f>IFERROR(__xludf.DUMMYFUNCTION("""COMPUTED_VALUE"""),"Katharine Dewar")</f>
        <v>Katharine Dewar</v>
      </c>
      <c r="C2323" s="2"/>
      <c r="D2323" s="4">
        <f>IFERROR(__xludf.DUMMYFUNCTION("""COMPUTED_VALUE"""),86.0)</f>
        <v>86</v>
      </c>
      <c r="E2323" s="4">
        <f>IFERROR(__xludf.DUMMYFUNCTION("""COMPUTED_VALUE"""),104.0)</f>
        <v>104</v>
      </c>
      <c r="F2323" s="4">
        <f>IFERROR(__xludf.DUMMYFUNCTION("""COMPUTED_VALUE"""),3.0)</f>
        <v>3</v>
      </c>
      <c r="G2323" s="4">
        <f>IFERROR(__xludf.DUMMYFUNCTION("""COMPUTED_VALUE"""),478.0)</f>
        <v>478</v>
      </c>
      <c r="H2323" s="5">
        <f>IFERROR(__xludf.DUMMYFUNCTION("""COMPUTED_VALUE"""),8012.35)</f>
        <v>8012.35</v>
      </c>
      <c r="I2323" s="5">
        <f>IFERROR(__xludf.DUMMYFUNCTION("""COMPUTED_VALUE"""),3642.9)</f>
        <v>3642.9</v>
      </c>
      <c r="J2323" s="5">
        <f>IFERROR(__xludf.DUMMYFUNCTION("""COMPUTED_VALUE"""),1823.63)</f>
        <v>1823.63</v>
      </c>
      <c r="K2323" s="5">
        <f>IFERROR(__xludf.DUMMYFUNCTION("""COMPUTED_VALUE"""),6143.47)</f>
        <v>6143.47</v>
      </c>
      <c r="L2323" s="4">
        <f>IFERROR(__xludf.DUMMYFUNCTION("""COMPUTED_VALUE"""),18.0)</f>
        <v>18</v>
      </c>
      <c r="M2323" s="4">
        <f>IFERROR(__xludf.DUMMYFUNCTION("""COMPUTED_VALUE"""),71.0)</f>
        <v>71</v>
      </c>
      <c r="N2323" s="2" t="b">
        <f>IFERROR(__xludf.DUMMYFUNCTION("""COMPUTED_VALUE"""),TRUE)</f>
        <v>1</v>
      </c>
    </row>
    <row r="2324">
      <c r="A2324" s="2">
        <f>IFERROR(__xludf.DUMMYFUNCTION("""COMPUTED_VALUE"""),2323.0)</f>
        <v>2323</v>
      </c>
      <c r="B2324" s="2" t="str">
        <f>IFERROR(__xludf.DUMMYFUNCTION("""COMPUTED_VALUE"""),"Latisha Bengoechea")</f>
        <v>Latisha Bengoechea</v>
      </c>
      <c r="C2324" s="2" t="str">
        <f>IFERROR(__xludf.DUMMYFUNCTION("""COMPUTED_VALUE"""),"lbengoechea8z@dropbox.com")</f>
        <v>lbengoechea8z@dropbox.com</v>
      </c>
      <c r="D2324" s="4">
        <f>IFERROR(__xludf.DUMMYFUNCTION("""COMPUTED_VALUE"""),29.0)</f>
        <v>29</v>
      </c>
      <c r="E2324" s="4">
        <f>IFERROR(__xludf.DUMMYFUNCTION("""COMPUTED_VALUE"""),68.0)</f>
        <v>68</v>
      </c>
      <c r="F2324" s="4">
        <f>IFERROR(__xludf.DUMMYFUNCTION("""COMPUTED_VALUE"""),4.0)</f>
        <v>4</v>
      </c>
      <c r="G2324" s="4">
        <f>IFERROR(__xludf.DUMMYFUNCTION("""COMPUTED_VALUE"""),1261.0)</f>
        <v>1261</v>
      </c>
      <c r="H2324" s="5">
        <f>IFERROR(__xludf.DUMMYFUNCTION("""COMPUTED_VALUE"""),6441.72)</f>
        <v>6441.72</v>
      </c>
      <c r="I2324" s="5">
        <f>IFERROR(__xludf.DUMMYFUNCTION("""COMPUTED_VALUE"""),4091.09)</f>
        <v>4091.09</v>
      </c>
      <c r="J2324" s="5">
        <f>IFERROR(__xludf.DUMMYFUNCTION("""COMPUTED_VALUE"""),6265.43)</f>
        <v>6265.43</v>
      </c>
      <c r="K2324" s="5">
        <f>IFERROR(__xludf.DUMMYFUNCTION("""COMPUTED_VALUE"""),1771.63)</f>
        <v>1771.63</v>
      </c>
      <c r="L2324" s="4">
        <f>IFERROR(__xludf.DUMMYFUNCTION("""COMPUTED_VALUE"""),15.0)</f>
        <v>15</v>
      </c>
      <c r="M2324" s="4">
        <f>IFERROR(__xludf.DUMMYFUNCTION("""COMPUTED_VALUE"""),51.0)</f>
        <v>51</v>
      </c>
      <c r="N2324" s="2" t="b">
        <f>IFERROR(__xludf.DUMMYFUNCTION("""COMPUTED_VALUE"""),FALSE)</f>
        <v>0</v>
      </c>
    </row>
    <row r="2325">
      <c r="A2325" s="2">
        <f>IFERROR(__xludf.DUMMYFUNCTION("""COMPUTED_VALUE"""),2324.0)</f>
        <v>2324</v>
      </c>
      <c r="B2325" s="2" t="str">
        <f>IFERROR(__xludf.DUMMYFUNCTION("""COMPUTED_VALUE"""),"Tessi Guerrazzi")</f>
        <v>Tessi Guerrazzi</v>
      </c>
      <c r="C2325" s="2" t="str">
        <f>IFERROR(__xludf.DUMMYFUNCTION("""COMPUTED_VALUE"""),"tguerrazzi90@reddit.com")</f>
        <v>tguerrazzi90@reddit.com</v>
      </c>
      <c r="D2325" s="4">
        <f>IFERROR(__xludf.DUMMYFUNCTION("""COMPUTED_VALUE"""),99.0)</f>
        <v>99</v>
      </c>
      <c r="E2325" s="4">
        <f>IFERROR(__xludf.DUMMYFUNCTION("""COMPUTED_VALUE"""),117.0)</f>
        <v>117</v>
      </c>
      <c r="F2325" s="4">
        <f>IFERROR(__xludf.DUMMYFUNCTION("""COMPUTED_VALUE"""),2.0)</f>
        <v>2</v>
      </c>
      <c r="G2325" s="4">
        <f>IFERROR(__xludf.DUMMYFUNCTION("""COMPUTED_VALUE"""),904.0)</f>
        <v>904</v>
      </c>
      <c r="H2325" s="5">
        <f>IFERROR(__xludf.DUMMYFUNCTION("""COMPUTED_VALUE"""),4910.77)</f>
        <v>4910.77</v>
      </c>
      <c r="I2325" s="5">
        <f>IFERROR(__xludf.DUMMYFUNCTION("""COMPUTED_VALUE"""),2833.18)</f>
        <v>2833.18</v>
      </c>
      <c r="J2325" s="5">
        <f>IFERROR(__xludf.DUMMYFUNCTION("""COMPUTED_VALUE"""),1294.29)</f>
        <v>1294.29</v>
      </c>
      <c r="K2325" s="5">
        <f>IFERROR(__xludf.DUMMYFUNCTION("""COMPUTED_VALUE"""),5000.6)</f>
        <v>5000.6</v>
      </c>
      <c r="L2325" s="4">
        <f>IFERROR(__xludf.DUMMYFUNCTION("""COMPUTED_VALUE"""),2.0)</f>
        <v>2</v>
      </c>
      <c r="M2325" s="4">
        <f>IFERROR(__xludf.DUMMYFUNCTION("""COMPUTED_VALUE"""),49.0)</f>
        <v>49</v>
      </c>
      <c r="N2325" s="2" t="b">
        <f>IFERROR(__xludf.DUMMYFUNCTION("""COMPUTED_VALUE"""),TRUE)</f>
        <v>1</v>
      </c>
    </row>
    <row r="2326">
      <c r="A2326" s="2">
        <f>IFERROR(__xludf.DUMMYFUNCTION("""COMPUTED_VALUE"""),2325.0)</f>
        <v>2325</v>
      </c>
      <c r="B2326" s="2" t="str">
        <f>IFERROR(__xludf.DUMMYFUNCTION("""COMPUTED_VALUE"""),"Arni O'Doherty")</f>
        <v>Arni O'Doherty</v>
      </c>
      <c r="C2326" s="2" t="str">
        <f>IFERROR(__xludf.DUMMYFUNCTION("""COMPUTED_VALUE"""),"aodoherty91@mozilla.com")</f>
        <v>aodoherty91@mozilla.com</v>
      </c>
      <c r="D2326" s="4">
        <f>IFERROR(__xludf.DUMMYFUNCTION("""COMPUTED_VALUE"""),151.0)</f>
        <v>151</v>
      </c>
      <c r="E2326" s="4">
        <f>IFERROR(__xludf.DUMMYFUNCTION("""COMPUTED_VALUE"""),57.0)</f>
        <v>57</v>
      </c>
      <c r="F2326" s="4">
        <f>IFERROR(__xludf.DUMMYFUNCTION("""COMPUTED_VALUE"""),4.0)</f>
        <v>4</v>
      </c>
      <c r="G2326" s="4">
        <f>IFERROR(__xludf.DUMMYFUNCTION("""COMPUTED_VALUE"""),371.0)</f>
        <v>371</v>
      </c>
      <c r="H2326" s="5">
        <f>IFERROR(__xludf.DUMMYFUNCTION("""COMPUTED_VALUE"""),2349.76)</f>
        <v>2349.76</v>
      </c>
      <c r="I2326" s="5">
        <f>IFERROR(__xludf.DUMMYFUNCTION("""COMPUTED_VALUE"""),9641.53)</f>
        <v>9641.53</v>
      </c>
      <c r="J2326" s="5">
        <f>IFERROR(__xludf.DUMMYFUNCTION("""COMPUTED_VALUE"""),6833.39)</f>
        <v>6833.39</v>
      </c>
      <c r="K2326" s="5">
        <f>IFERROR(__xludf.DUMMYFUNCTION("""COMPUTED_VALUE"""),4156.96)</f>
        <v>4156.96</v>
      </c>
      <c r="L2326" s="4">
        <f>IFERROR(__xludf.DUMMYFUNCTION("""COMPUTED_VALUE"""),12.0)</f>
        <v>12</v>
      </c>
      <c r="M2326" s="4">
        <f>IFERROR(__xludf.DUMMYFUNCTION("""COMPUTED_VALUE"""),31.0)</f>
        <v>31</v>
      </c>
      <c r="N2326" s="2" t="b">
        <f>IFERROR(__xludf.DUMMYFUNCTION("""COMPUTED_VALUE"""),TRUE)</f>
        <v>1</v>
      </c>
    </row>
    <row r="2327">
      <c r="A2327" s="2">
        <f>IFERROR(__xludf.DUMMYFUNCTION("""COMPUTED_VALUE"""),2326.0)</f>
        <v>2326</v>
      </c>
      <c r="B2327" s="2" t="str">
        <f>IFERROR(__xludf.DUMMYFUNCTION("""COMPUTED_VALUE"""),"Lurleen Tippler")</f>
        <v>Lurleen Tippler</v>
      </c>
      <c r="C2327" s="2" t="str">
        <f>IFERROR(__xludf.DUMMYFUNCTION("""COMPUTED_VALUE"""),"ltippler92@livejournal.com")</f>
        <v>ltippler92@livejournal.com</v>
      </c>
      <c r="D2327" s="4">
        <f>IFERROR(__xludf.DUMMYFUNCTION("""COMPUTED_VALUE"""),129.0)</f>
        <v>129</v>
      </c>
      <c r="E2327" s="4">
        <f>IFERROR(__xludf.DUMMYFUNCTION("""COMPUTED_VALUE"""),65.0)</f>
        <v>65</v>
      </c>
      <c r="F2327" s="4">
        <f>IFERROR(__xludf.DUMMYFUNCTION("""COMPUTED_VALUE"""),3.0)</f>
        <v>3</v>
      </c>
      <c r="G2327" s="4">
        <f>IFERROR(__xludf.DUMMYFUNCTION("""COMPUTED_VALUE"""),1371.0)</f>
        <v>1371</v>
      </c>
      <c r="H2327" s="5">
        <f>IFERROR(__xludf.DUMMYFUNCTION("""COMPUTED_VALUE"""),2978.3)</f>
        <v>2978.3</v>
      </c>
      <c r="I2327" s="5">
        <f>IFERROR(__xludf.DUMMYFUNCTION("""COMPUTED_VALUE"""),8052.55)</f>
        <v>8052.55</v>
      </c>
      <c r="J2327" s="5">
        <f>IFERROR(__xludf.DUMMYFUNCTION("""COMPUTED_VALUE"""),8483.12)</f>
        <v>8483.12</v>
      </c>
      <c r="K2327" s="5">
        <f>IFERROR(__xludf.DUMMYFUNCTION("""COMPUTED_VALUE"""),4104.42)</f>
        <v>4104.42</v>
      </c>
      <c r="L2327" s="4">
        <f>IFERROR(__xludf.DUMMYFUNCTION("""COMPUTED_VALUE"""),12.0)</f>
        <v>12</v>
      </c>
      <c r="M2327" s="4">
        <f>IFERROR(__xludf.DUMMYFUNCTION("""COMPUTED_VALUE"""),42.0)</f>
        <v>42</v>
      </c>
      <c r="N2327" s="2" t="b">
        <f>IFERROR(__xludf.DUMMYFUNCTION("""COMPUTED_VALUE"""),TRUE)</f>
        <v>1</v>
      </c>
    </row>
    <row r="2328">
      <c r="A2328" s="2">
        <f>IFERROR(__xludf.DUMMYFUNCTION("""COMPUTED_VALUE"""),2327.0)</f>
        <v>2327</v>
      </c>
      <c r="B2328" s="2" t="str">
        <f>IFERROR(__xludf.DUMMYFUNCTION("""COMPUTED_VALUE"""),"Atlanta Salvadori")</f>
        <v>Atlanta Salvadori</v>
      </c>
      <c r="C2328" s="2"/>
      <c r="D2328" s="4">
        <f>IFERROR(__xludf.DUMMYFUNCTION("""COMPUTED_VALUE"""),107.0)</f>
        <v>107</v>
      </c>
      <c r="E2328" s="4">
        <f>IFERROR(__xludf.DUMMYFUNCTION("""COMPUTED_VALUE"""),122.0)</f>
        <v>122</v>
      </c>
      <c r="F2328" s="4">
        <f>IFERROR(__xludf.DUMMYFUNCTION("""COMPUTED_VALUE"""),13.0)</f>
        <v>13</v>
      </c>
      <c r="G2328" s="4">
        <f>IFERROR(__xludf.DUMMYFUNCTION("""COMPUTED_VALUE"""),222.0)</f>
        <v>222</v>
      </c>
      <c r="H2328" s="5">
        <f>IFERROR(__xludf.DUMMYFUNCTION("""COMPUTED_VALUE"""),3205.5)</f>
        <v>3205.5</v>
      </c>
      <c r="I2328" s="5">
        <f>IFERROR(__xludf.DUMMYFUNCTION("""COMPUTED_VALUE"""),1697.1)</f>
        <v>1697.1</v>
      </c>
      <c r="J2328" s="5">
        <f>IFERROR(__xludf.DUMMYFUNCTION("""COMPUTED_VALUE"""),3781.18)</f>
        <v>3781.18</v>
      </c>
      <c r="K2328" s="5">
        <f>IFERROR(__xludf.DUMMYFUNCTION("""COMPUTED_VALUE"""),5939.41)</f>
        <v>5939.41</v>
      </c>
      <c r="L2328" s="4">
        <f>IFERROR(__xludf.DUMMYFUNCTION("""COMPUTED_VALUE"""),11.0)</f>
        <v>11</v>
      </c>
      <c r="M2328" s="4">
        <f>IFERROR(__xludf.DUMMYFUNCTION("""COMPUTED_VALUE"""),74.0)</f>
        <v>74</v>
      </c>
      <c r="N2328" s="2" t="b">
        <f>IFERROR(__xludf.DUMMYFUNCTION("""COMPUTED_VALUE"""),FALSE)</f>
        <v>0</v>
      </c>
    </row>
    <row r="2329">
      <c r="A2329" s="2">
        <f>IFERROR(__xludf.DUMMYFUNCTION("""COMPUTED_VALUE"""),2328.0)</f>
        <v>2328</v>
      </c>
      <c r="B2329" s="2" t="str">
        <f>IFERROR(__xludf.DUMMYFUNCTION("""COMPUTED_VALUE"""),"Dalia Curds")</f>
        <v>Dalia Curds</v>
      </c>
      <c r="C2329" s="2"/>
      <c r="D2329" s="4">
        <f>IFERROR(__xludf.DUMMYFUNCTION("""COMPUTED_VALUE"""),159.0)</f>
        <v>159</v>
      </c>
      <c r="E2329" s="4">
        <f>IFERROR(__xludf.DUMMYFUNCTION("""COMPUTED_VALUE"""),12.0)</f>
        <v>12</v>
      </c>
      <c r="F2329" s="4">
        <f>IFERROR(__xludf.DUMMYFUNCTION("""COMPUTED_VALUE"""),13.0)</f>
        <v>13</v>
      </c>
      <c r="G2329" s="4">
        <f>IFERROR(__xludf.DUMMYFUNCTION("""COMPUTED_VALUE"""),1208.0)</f>
        <v>1208</v>
      </c>
      <c r="H2329" s="5">
        <f>IFERROR(__xludf.DUMMYFUNCTION("""COMPUTED_VALUE"""),7185.1)</f>
        <v>7185.1</v>
      </c>
      <c r="I2329" s="5">
        <f>IFERROR(__xludf.DUMMYFUNCTION("""COMPUTED_VALUE"""),4559.09)</f>
        <v>4559.09</v>
      </c>
      <c r="J2329" s="5">
        <f>IFERROR(__xludf.DUMMYFUNCTION("""COMPUTED_VALUE"""),7079.66)</f>
        <v>7079.66</v>
      </c>
      <c r="K2329" s="5">
        <f>IFERROR(__xludf.DUMMYFUNCTION("""COMPUTED_VALUE"""),6762.25)</f>
        <v>6762.25</v>
      </c>
      <c r="L2329" s="4">
        <f>IFERROR(__xludf.DUMMYFUNCTION("""COMPUTED_VALUE"""),20.0)</f>
        <v>20</v>
      </c>
      <c r="M2329" s="4">
        <f>IFERROR(__xludf.DUMMYFUNCTION("""COMPUTED_VALUE"""),30.0)</f>
        <v>30</v>
      </c>
      <c r="N2329" s="2" t="b">
        <f>IFERROR(__xludf.DUMMYFUNCTION("""COMPUTED_VALUE"""),TRUE)</f>
        <v>1</v>
      </c>
    </row>
    <row r="2330">
      <c r="A2330" s="2">
        <f>IFERROR(__xludf.DUMMYFUNCTION("""COMPUTED_VALUE"""),2329.0)</f>
        <v>2329</v>
      </c>
      <c r="B2330" s="2" t="str">
        <f>IFERROR(__xludf.DUMMYFUNCTION("""COMPUTED_VALUE"""),"Sherill Willimont")</f>
        <v>Sherill Willimont</v>
      </c>
      <c r="C2330" s="2" t="str">
        <f>IFERROR(__xludf.DUMMYFUNCTION("""COMPUTED_VALUE"""),"swillimont95@narod.ru")</f>
        <v>swillimont95@narod.ru</v>
      </c>
      <c r="D2330" s="4">
        <f>IFERROR(__xludf.DUMMYFUNCTION("""COMPUTED_VALUE"""),129.0)</f>
        <v>129</v>
      </c>
      <c r="E2330" s="4">
        <f>IFERROR(__xludf.DUMMYFUNCTION("""COMPUTED_VALUE"""),112.0)</f>
        <v>112</v>
      </c>
      <c r="F2330" s="4">
        <f>IFERROR(__xludf.DUMMYFUNCTION("""COMPUTED_VALUE"""),1.0)</f>
        <v>1</v>
      </c>
      <c r="G2330" s="4">
        <f>IFERROR(__xludf.DUMMYFUNCTION("""COMPUTED_VALUE"""),21.0)</f>
        <v>21</v>
      </c>
      <c r="H2330" s="5">
        <f>IFERROR(__xludf.DUMMYFUNCTION("""COMPUTED_VALUE"""),2680.21)</f>
        <v>2680.21</v>
      </c>
      <c r="I2330" s="5">
        <f>IFERROR(__xludf.DUMMYFUNCTION("""COMPUTED_VALUE"""),1062.42)</f>
        <v>1062.42</v>
      </c>
      <c r="J2330" s="5">
        <f>IFERROR(__xludf.DUMMYFUNCTION("""COMPUTED_VALUE"""),8636.3)</f>
        <v>8636.3</v>
      </c>
      <c r="K2330" s="5">
        <f>IFERROR(__xludf.DUMMYFUNCTION("""COMPUTED_VALUE"""),2709.32)</f>
        <v>2709.32</v>
      </c>
      <c r="L2330" s="4">
        <f>IFERROR(__xludf.DUMMYFUNCTION("""COMPUTED_VALUE"""),1.0)</f>
        <v>1</v>
      </c>
      <c r="M2330" s="4">
        <f>IFERROR(__xludf.DUMMYFUNCTION("""COMPUTED_VALUE"""),99.0)</f>
        <v>99</v>
      </c>
      <c r="N2330" s="2" t="b">
        <f>IFERROR(__xludf.DUMMYFUNCTION("""COMPUTED_VALUE"""),FALSE)</f>
        <v>0</v>
      </c>
    </row>
    <row r="2331">
      <c r="A2331" s="2">
        <f>IFERROR(__xludf.DUMMYFUNCTION("""COMPUTED_VALUE"""),2330.0)</f>
        <v>2330</v>
      </c>
      <c r="B2331" s="2" t="str">
        <f>IFERROR(__xludf.DUMMYFUNCTION("""COMPUTED_VALUE"""),"Von Side")</f>
        <v>Von Side</v>
      </c>
      <c r="C2331" s="2"/>
      <c r="D2331" s="4">
        <f>IFERROR(__xludf.DUMMYFUNCTION("""COMPUTED_VALUE"""),46.0)</f>
        <v>46</v>
      </c>
      <c r="E2331" s="4">
        <f>IFERROR(__xludf.DUMMYFUNCTION("""COMPUTED_VALUE"""),73.0)</f>
        <v>73</v>
      </c>
      <c r="F2331" s="4">
        <f>IFERROR(__xludf.DUMMYFUNCTION("""COMPUTED_VALUE"""),5.0)</f>
        <v>5</v>
      </c>
      <c r="G2331" s="4">
        <f>IFERROR(__xludf.DUMMYFUNCTION("""COMPUTED_VALUE"""),943.0)</f>
        <v>943</v>
      </c>
      <c r="H2331" s="5">
        <f>IFERROR(__xludf.DUMMYFUNCTION("""COMPUTED_VALUE"""),4135.69)</f>
        <v>4135.69</v>
      </c>
      <c r="I2331" s="5">
        <f>IFERROR(__xludf.DUMMYFUNCTION("""COMPUTED_VALUE"""),1196.39)</f>
        <v>1196.39</v>
      </c>
      <c r="J2331" s="5">
        <f>IFERROR(__xludf.DUMMYFUNCTION("""COMPUTED_VALUE"""),5727.8)</f>
        <v>5727.8</v>
      </c>
      <c r="K2331" s="5">
        <f>IFERROR(__xludf.DUMMYFUNCTION("""COMPUTED_VALUE"""),791.68)</f>
        <v>791.68</v>
      </c>
      <c r="L2331" s="4">
        <f>IFERROR(__xludf.DUMMYFUNCTION("""COMPUTED_VALUE"""),5.0)</f>
        <v>5</v>
      </c>
      <c r="M2331" s="4">
        <f>IFERROR(__xludf.DUMMYFUNCTION("""COMPUTED_VALUE"""),45.0)</f>
        <v>45</v>
      </c>
      <c r="N2331" s="2" t="b">
        <f>IFERROR(__xludf.DUMMYFUNCTION("""COMPUTED_VALUE"""),TRUE)</f>
        <v>1</v>
      </c>
    </row>
    <row r="2332">
      <c r="A2332" s="2">
        <f>IFERROR(__xludf.DUMMYFUNCTION("""COMPUTED_VALUE"""),2331.0)</f>
        <v>2331</v>
      </c>
      <c r="B2332" s="2" t="str">
        <f>IFERROR(__xludf.DUMMYFUNCTION("""COMPUTED_VALUE"""),"Rourke Crosham")</f>
        <v>Rourke Crosham</v>
      </c>
      <c r="C2332" s="2"/>
      <c r="D2332" s="4">
        <f>IFERROR(__xludf.DUMMYFUNCTION("""COMPUTED_VALUE"""),50.0)</f>
        <v>50</v>
      </c>
      <c r="E2332" s="4">
        <f>IFERROR(__xludf.DUMMYFUNCTION("""COMPUTED_VALUE"""),117.0)</f>
        <v>117</v>
      </c>
      <c r="F2332" s="4">
        <f>IFERROR(__xludf.DUMMYFUNCTION("""COMPUTED_VALUE"""),12.0)</f>
        <v>12</v>
      </c>
      <c r="G2332" s="4">
        <f>IFERROR(__xludf.DUMMYFUNCTION("""COMPUTED_VALUE"""),148.0)</f>
        <v>148</v>
      </c>
      <c r="H2332" s="5">
        <f>IFERROR(__xludf.DUMMYFUNCTION("""COMPUTED_VALUE"""),9509.13)</f>
        <v>9509.13</v>
      </c>
      <c r="I2332" s="5">
        <f>IFERROR(__xludf.DUMMYFUNCTION("""COMPUTED_VALUE"""),2391.37)</f>
        <v>2391.37</v>
      </c>
      <c r="J2332" s="5">
        <f>IFERROR(__xludf.DUMMYFUNCTION("""COMPUTED_VALUE"""),6298.76)</f>
        <v>6298.76</v>
      </c>
      <c r="K2332" s="5">
        <f>IFERROR(__xludf.DUMMYFUNCTION("""COMPUTED_VALUE"""),9175.85)</f>
        <v>9175.85</v>
      </c>
      <c r="L2332" s="4">
        <f>IFERROR(__xludf.DUMMYFUNCTION("""COMPUTED_VALUE"""),2.0)</f>
        <v>2</v>
      </c>
      <c r="M2332" s="4">
        <f>IFERROR(__xludf.DUMMYFUNCTION("""COMPUTED_VALUE"""),81.0)</f>
        <v>81</v>
      </c>
      <c r="N2332" s="2" t="b">
        <f>IFERROR(__xludf.DUMMYFUNCTION("""COMPUTED_VALUE"""),TRUE)</f>
        <v>1</v>
      </c>
    </row>
    <row r="2333">
      <c r="A2333" s="2">
        <f>IFERROR(__xludf.DUMMYFUNCTION("""COMPUTED_VALUE"""),2332.0)</f>
        <v>2332</v>
      </c>
      <c r="B2333" s="2" t="str">
        <f>IFERROR(__xludf.DUMMYFUNCTION("""COMPUTED_VALUE"""),"Jody Lilliman")</f>
        <v>Jody Lilliman</v>
      </c>
      <c r="C2333" s="2"/>
      <c r="D2333" s="4">
        <f>IFERROR(__xludf.DUMMYFUNCTION("""COMPUTED_VALUE"""),27.0)</f>
        <v>27</v>
      </c>
      <c r="E2333" s="4">
        <f>IFERROR(__xludf.DUMMYFUNCTION("""COMPUTED_VALUE"""),57.0)</f>
        <v>57</v>
      </c>
      <c r="F2333" s="4">
        <f>IFERROR(__xludf.DUMMYFUNCTION("""COMPUTED_VALUE"""),3.0)</f>
        <v>3</v>
      </c>
      <c r="G2333" s="4">
        <f>IFERROR(__xludf.DUMMYFUNCTION("""COMPUTED_VALUE"""),1529.0)</f>
        <v>1529</v>
      </c>
      <c r="H2333" s="5">
        <f>IFERROR(__xludf.DUMMYFUNCTION("""COMPUTED_VALUE"""),9577.65)</f>
        <v>9577.65</v>
      </c>
      <c r="I2333" s="5">
        <f>IFERROR(__xludf.DUMMYFUNCTION("""COMPUTED_VALUE"""),1201.37)</f>
        <v>1201.37</v>
      </c>
      <c r="J2333" s="5">
        <f>IFERROR(__xludf.DUMMYFUNCTION("""COMPUTED_VALUE"""),7617.65)</f>
        <v>7617.65</v>
      </c>
      <c r="K2333" s="5">
        <f>IFERROR(__xludf.DUMMYFUNCTION("""COMPUTED_VALUE"""),6795.5)</f>
        <v>6795.5</v>
      </c>
      <c r="L2333" s="4">
        <f>IFERROR(__xludf.DUMMYFUNCTION("""COMPUTED_VALUE"""),17.0)</f>
        <v>17</v>
      </c>
      <c r="M2333" s="4">
        <f>IFERROR(__xludf.DUMMYFUNCTION("""COMPUTED_VALUE"""),10.0)</f>
        <v>10</v>
      </c>
      <c r="N2333" s="2" t="b">
        <f>IFERROR(__xludf.DUMMYFUNCTION("""COMPUTED_VALUE"""),TRUE)</f>
        <v>1</v>
      </c>
    </row>
    <row r="2334">
      <c r="A2334" s="2">
        <f>IFERROR(__xludf.DUMMYFUNCTION("""COMPUTED_VALUE"""),2333.0)</f>
        <v>2333</v>
      </c>
      <c r="B2334" s="2" t="str">
        <f>IFERROR(__xludf.DUMMYFUNCTION("""COMPUTED_VALUE"""),"Elvera Belk")</f>
        <v>Elvera Belk</v>
      </c>
      <c r="C2334" s="2"/>
      <c r="D2334" s="4">
        <f>IFERROR(__xludf.DUMMYFUNCTION("""COMPUTED_VALUE"""),105.0)</f>
        <v>105</v>
      </c>
      <c r="E2334" s="4">
        <f>IFERROR(__xludf.DUMMYFUNCTION("""COMPUTED_VALUE"""),124.0)</f>
        <v>124</v>
      </c>
      <c r="F2334" s="4">
        <f>IFERROR(__xludf.DUMMYFUNCTION("""COMPUTED_VALUE"""),2.0)</f>
        <v>2</v>
      </c>
      <c r="G2334" s="4">
        <f>IFERROR(__xludf.DUMMYFUNCTION("""COMPUTED_VALUE"""),507.0)</f>
        <v>507</v>
      </c>
      <c r="H2334" s="5">
        <f>IFERROR(__xludf.DUMMYFUNCTION("""COMPUTED_VALUE"""),8077.5)</f>
        <v>8077.5</v>
      </c>
      <c r="I2334" s="5">
        <f>IFERROR(__xludf.DUMMYFUNCTION("""COMPUTED_VALUE"""),1573.66)</f>
        <v>1573.66</v>
      </c>
      <c r="J2334" s="5">
        <f>IFERROR(__xludf.DUMMYFUNCTION("""COMPUTED_VALUE"""),8385.69)</f>
        <v>8385.69</v>
      </c>
      <c r="K2334" s="5">
        <f>IFERROR(__xludf.DUMMYFUNCTION("""COMPUTED_VALUE"""),6957.75)</f>
        <v>6957.75</v>
      </c>
      <c r="L2334" s="4">
        <f>IFERROR(__xludf.DUMMYFUNCTION("""COMPUTED_VALUE"""),7.0)</f>
        <v>7</v>
      </c>
      <c r="M2334" s="4">
        <f>IFERROR(__xludf.DUMMYFUNCTION("""COMPUTED_VALUE"""),38.0)</f>
        <v>38</v>
      </c>
      <c r="N2334" s="2" t="b">
        <f>IFERROR(__xludf.DUMMYFUNCTION("""COMPUTED_VALUE"""),TRUE)</f>
        <v>1</v>
      </c>
    </row>
    <row r="2335">
      <c r="A2335" s="2">
        <f>IFERROR(__xludf.DUMMYFUNCTION("""COMPUTED_VALUE"""),2334.0)</f>
        <v>2334</v>
      </c>
      <c r="B2335" s="2" t="str">
        <f>IFERROR(__xludf.DUMMYFUNCTION("""COMPUTED_VALUE"""),"Padgett Duquesnay")</f>
        <v>Padgett Duquesnay</v>
      </c>
      <c r="C2335" s="2" t="str">
        <f>IFERROR(__xludf.DUMMYFUNCTION("""COMPUTED_VALUE"""),"pduquesnay9a@foxnews.com")</f>
        <v>pduquesnay9a@foxnews.com</v>
      </c>
      <c r="D2335" s="4">
        <f>IFERROR(__xludf.DUMMYFUNCTION("""COMPUTED_VALUE"""),66.0)</f>
        <v>66</v>
      </c>
      <c r="E2335" s="4">
        <f>IFERROR(__xludf.DUMMYFUNCTION("""COMPUTED_VALUE"""),7.0)</f>
        <v>7</v>
      </c>
      <c r="F2335" s="4">
        <f>IFERROR(__xludf.DUMMYFUNCTION("""COMPUTED_VALUE"""),12.0)</f>
        <v>12</v>
      </c>
      <c r="G2335" s="4">
        <f>IFERROR(__xludf.DUMMYFUNCTION("""COMPUTED_VALUE"""),164.0)</f>
        <v>164</v>
      </c>
      <c r="H2335" s="5">
        <f>IFERROR(__xludf.DUMMYFUNCTION("""COMPUTED_VALUE"""),1561.5)</f>
        <v>1561.5</v>
      </c>
      <c r="I2335" s="5">
        <f>IFERROR(__xludf.DUMMYFUNCTION("""COMPUTED_VALUE"""),1239.33)</f>
        <v>1239.33</v>
      </c>
      <c r="J2335" s="5">
        <f>IFERROR(__xludf.DUMMYFUNCTION("""COMPUTED_VALUE"""),1835.3)</f>
        <v>1835.3</v>
      </c>
      <c r="K2335" s="5">
        <f>IFERROR(__xludf.DUMMYFUNCTION("""COMPUTED_VALUE"""),941.93)</f>
        <v>941.93</v>
      </c>
      <c r="L2335" s="4">
        <f>IFERROR(__xludf.DUMMYFUNCTION("""COMPUTED_VALUE"""),2.0)</f>
        <v>2</v>
      </c>
      <c r="M2335" s="4">
        <f>IFERROR(__xludf.DUMMYFUNCTION("""COMPUTED_VALUE"""),44.0)</f>
        <v>44</v>
      </c>
      <c r="N2335" s="2" t="b">
        <f>IFERROR(__xludf.DUMMYFUNCTION("""COMPUTED_VALUE"""),FALSE)</f>
        <v>0</v>
      </c>
    </row>
    <row r="2336">
      <c r="A2336" s="2">
        <f>IFERROR(__xludf.DUMMYFUNCTION("""COMPUTED_VALUE"""),2335.0)</f>
        <v>2335</v>
      </c>
      <c r="B2336" s="2" t="str">
        <f>IFERROR(__xludf.DUMMYFUNCTION("""COMPUTED_VALUE"""),"Gwendolin Pearce")</f>
        <v>Gwendolin Pearce</v>
      </c>
      <c r="C2336" s="2"/>
      <c r="D2336" s="4">
        <f>IFERROR(__xludf.DUMMYFUNCTION("""COMPUTED_VALUE"""),55.0)</f>
        <v>55</v>
      </c>
      <c r="E2336" s="4">
        <f>IFERROR(__xludf.DUMMYFUNCTION("""COMPUTED_VALUE"""),22.0)</f>
        <v>22</v>
      </c>
      <c r="F2336" s="4">
        <f>IFERROR(__xludf.DUMMYFUNCTION("""COMPUTED_VALUE"""),3.0)</f>
        <v>3</v>
      </c>
      <c r="G2336" s="4">
        <f>IFERROR(__xludf.DUMMYFUNCTION("""COMPUTED_VALUE"""),628.0)</f>
        <v>628</v>
      </c>
      <c r="H2336" s="5">
        <f>IFERROR(__xludf.DUMMYFUNCTION("""COMPUTED_VALUE"""),5229.59)</f>
        <v>5229.59</v>
      </c>
      <c r="I2336" s="5">
        <f>IFERROR(__xludf.DUMMYFUNCTION("""COMPUTED_VALUE"""),1837.03)</f>
        <v>1837.03</v>
      </c>
      <c r="J2336" s="5">
        <f>IFERROR(__xludf.DUMMYFUNCTION("""COMPUTED_VALUE"""),6661.98)</f>
        <v>6661.98</v>
      </c>
      <c r="K2336" s="5">
        <f>IFERROR(__xludf.DUMMYFUNCTION("""COMPUTED_VALUE"""),3794.57)</f>
        <v>3794.57</v>
      </c>
      <c r="L2336" s="4">
        <f>IFERROR(__xludf.DUMMYFUNCTION("""COMPUTED_VALUE"""),1.0)</f>
        <v>1</v>
      </c>
      <c r="M2336" s="4">
        <f>IFERROR(__xludf.DUMMYFUNCTION("""COMPUTED_VALUE"""),66.0)</f>
        <v>66</v>
      </c>
      <c r="N2336" s="2" t="b">
        <f>IFERROR(__xludf.DUMMYFUNCTION("""COMPUTED_VALUE"""),FALSE)</f>
        <v>0</v>
      </c>
    </row>
    <row r="2337">
      <c r="A2337" s="2">
        <f>IFERROR(__xludf.DUMMYFUNCTION("""COMPUTED_VALUE"""),2336.0)</f>
        <v>2336</v>
      </c>
      <c r="B2337" s="2" t="str">
        <f>IFERROR(__xludf.DUMMYFUNCTION("""COMPUTED_VALUE"""),"Winnie Sandy")</f>
        <v>Winnie Sandy</v>
      </c>
      <c r="C2337" s="2" t="str">
        <f>IFERROR(__xludf.DUMMYFUNCTION("""COMPUTED_VALUE"""),"wsandy9c@4shared.com")</f>
        <v>wsandy9c@4shared.com</v>
      </c>
      <c r="D2337" s="4">
        <f>IFERROR(__xludf.DUMMYFUNCTION("""COMPUTED_VALUE"""),144.0)</f>
        <v>144</v>
      </c>
      <c r="E2337" s="4">
        <f>IFERROR(__xludf.DUMMYFUNCTION("""COMPUTED_VALUE"""),65.0)</f>
        <v>65</v>
      </c>
      <c r="F2337" s="4">
        <f>IFERROR(__xludf.DUMMYFUNCTION("""COMPUTED_VALUE"""),3.0)</f>
        <v>3</v>
      </c>
      <c r="G2337" s="4">
        <f>IFERROR(__xludf.DUMMYFUNCTION("""COMPUTED_VALUE"""),187.0)</f>
        <v>187</v>
      </c>
      <c r="H2337" s="5">
        <f>IFERROR(__xludf.DUMMYFUNCTION("""COMPUTED_VALUE"""),5441.06)</f>
        <v>5441.06</v>
      </c>
      <c r="I2337" s="5">
        <f>IFERROR(__xludf.DUMMYFUNCTION("""COMPUTED_VALUE"""),6928.23)</f>
        <v>6928.23</v>
      </c>
      <c r="J2337" s="5">
        <f>IFERROR(__xludf.DUMMYFUNCTION("""COMPUTED_VALUE"""),7620.52)</f>
        <v>7620.52</v>
      </c>
      <c r="K2337" s="5">
        <f>IFERROR(__xludf.DUMMYFUNCTION("""COMPUTED_VALUE"""),3158.29)</f>
        <v>3158.29</v>
      </c>
      <c r="L2337" s="4">
        <f>IFERROR(__xludf.DUMMYFUNCTION("""COMPUTED_VALUE"""),4.0)</f>
        <v>4</v>
      </c>
      <c r="M2337" s="4">
        <f>IFERROR(__xludf.DUMMYFUNCTION("""COMPUTED_VALUE"""),94.0)</f>
        <v>94</v>
      </c>
      <c r="N2337" s="2" t="b">
        <f>IFERROR(__xludf.DUMMYFUNCTION("""COMPUTED_VALUE"""),TRUE)</f>
        <v>1</v>
      </c>
    </row>
    <row r="2338">
      <c r="A2338" s="2">
        <f>IFERROR(__xludf.DUMMYFUNCTION("""COMPUTED_VALUE"""),2337.0)</f>
        <v>2337</v>
      </c>
      <c r="B2338" s="2" t="str">
        <f>IFERROR(__xludf.DUMMYFUNCTION("""COMPUTED_VALUE"""),"Kin Meritt")</f>
        <v>Kin Meritt</v>
      </c>
      <c r="C2338" s="2" t="str">
        <f>IFERROR(__xludf.DUMMYFUNCTION("""COMPUTED_VALUE"""),"kmeritt9d@google.nl")</f>
        <v>kmeritt9d@google.nl</v>
      </c>
      <c r="D2338" s="4">
        <f>IFERROR(__xludf.DUMMYFUNCTION("""COMPUTED_VALUE"""),143.0)</f>
        <v>143</v>
      </c>
      <c r="E2338" s="4">
        <f>IFERROR(__xludf.DUMMYFUNCTION("""COMPUTED_VALUE"""),83.0)</f>
        <v>83</v>
      </c>
      <c r="F2338" s="4">
        <f>IFERROR(__xludf.DUMMYFUNCTION("""COMPUTED_VALUE"""),7.0)</f>
        <v>7</v>
      </c>
      <c r="G2338" s="4">
        <f>IFERROR(__xludf.DUMMYFUNCTION("""COMPUTED_VALUE"""),120.0)</f>
        <v>120</v>
      </c>
      <c r="H2338" s="5">
        <f>IFERROR(__xludf.DUMMYFUNCTION("""COMPUTED_VALUE"""),3840.92)</f>
        <v>3840.92</v>
      </c>
      <c r="I2338" s="5">
        <f>IFERROR(__xludf.DUMMYFUNCTION("""COMPUTED_VALUE"""),429.29)</f>
        <v>429.29</v>
      </c>
      <c r="J2338" s="5">
        <f>IFERROR(__xludf.DUMMYFUNCTION("""COMPUTED_VALUE"""),3788.0)</f>
        <v>3788</v>
      </c>
      <c r="K2338" s="5">
        <f>IFERROR(__xludf.DUMMYFUNCTION("""COMPUTED_VALUE"""),9084.57)</f>
        <v>9084.57</v>
      </c>
      <c r="L2338" s="4">
        <f>IFERROR(__xludf.DUMMYFUNCTION("""COMPUTED_VALUE"""),4.0)</f>
        <v>4</v>
      </c>
      <c r="M2338" s="4">
        <f>IFERROR(__xludf.DUMMYFUNCTION("""COMPUTED_VALUE"""),5.0)</f>
        <v>5</v>
      </c>
      <c r="N2338" s="2" t="b">
        <f>IFERROR(__xludf.DUMMYFUNCTION("""COMPUTED_VALUE"""),FALSE)</f>
        <v>0</v>
      </c>
    </row>
    <row r="2339">
      <c r="A2339" s="2">
        <f>IFERROR(__xludf.DUMMYFUNCTION("""COMPUTED_VALUE"""),2338.0)</f>
        <v>2338</v>
      </c>
      <c r="B2339" s="2" t="str">
        <f>IFERROR(__xludf.DUMMYFUNCTION("""COMPUTED_VALUE"""),"Myrtia Mucklow")</f>
        <v>Myrtia Mucklow</v>
      </c>
      <c r="C2339" s="2" t="str">
        <f>IFERROR(__xludf.DUMMYFUNCTION("""COMPUTED_VALUE"""),"mmucklow9e@thetimes.co.uk")</f>
        <v>mmucklow9e@thetimes.co.uk</v>
      </c>
      <c r="D2339" s="4">
        <f>IFERROR(__xludf.DUMMYFUNCTION("""COMPUTED_VALUE"""),120.0)</f>
        <v>120</v>
      </c>
      <c r="E2339" s="4">
        <f>IFERROR(__xludf.DUMMYFUNCTION("""COMPUTED_VALUE"""),48.0)</f>
        <v>48</v>
      </c>
      <c r="F2339" s="4">
        <f>IFERROR(__xludf.DUMMYFUNCTION("""COMPUTED_VALUE"""),3.0)</f>
        <v>3</v>
      </c>
      <c r="G2339" s="4">
        <f>IFERROR(__xludf.DUMMYFUNCTION("""COMPUTED_VALUE"""),410.0)</f>
        <v>410</v>
      </c>
      <c r="H2339" s="5">
        <f>IFERROR(__xludf.DUMMYFUNCTION("""COMPUTED_VALUE"""),9720.64)</f>
        <v>9720.64</v>
      </c>
      <c r="I2339" s="5">
        <f>IFERROR(__xludf.DUMMYFUNCTION("""COMPUTED_VALUE"""),3614.59)</f>
        <v>3614.59</v>
      </c>
      <c r="J2339" s="5">
        <f>IFERROR(__xludf.DUMMYFUNCTION("""COMPUTED_VALUE"""),6116.43)</f>
        <v>6116.43</v>
      </c>
      <c r="K2339" s="5">
        <f>IFERROR(__xludf.DUMMYFUNCTION("""COMPUTED_VALUE"""),3596.13)</f>
        <v>3596.13</v>
      </c>
      <c r="L2339" s="4">
        <f>IFERROR(__xludf.DUMMYFUNCTION("""COMPUTED_VALUE"""),6.0)</f>
        <v>6</v>
      </c>
      <c r="M2339" s="4">
        <f>IFERROR(__xludf.DUMMYFUNCTION("""COMPUTED_VALUE"""),43.0)</f>
        <v>43</v>
      </c>
      <c r="N2339" s="2" t="b">
        <f>IFERROR(__xludf.DUMMYFUNCTION("""COMPUTED_VALUE"""),TRUE)</f>
        <v>1</v>
      </c>
    </row>
    <row r="2340">
      <c r="A2340" s="2">
        <f>IFERROR(__xludf.DUMMYFUNCTION("""COMPUTED_VALUE"""),2339.0)</f>
        <v>2339</v>
      </c>
      <c r="B2340" s="2" t="str">
        <f>IFERROR(__xludf.DUMMYFUNCTION("""COMPUTED_VALUE"""),"Erik Esselin")</f>
        <v>Erik Esselin</v>
      </c>
      <c r="C2340" s="2"/>
      <c r="D2340" s="4">
        <f>IFERROR(__xludf.DUMMYFUNCTION("""COMPUTED_VALUE"""),29.0)</f>
        <v>29</v>
      </c>
      <c r="E2340" s="4">
        <f>IFERROR(__xludf.DUMMYFUNCTION("""COMPUTED_VALUE"""),99.0)</f>
        <v>99</v>
      </c>
      <c r="F2340" s="4">
        <f>IFERROR(__xludf.DUMMYFUNCTION("""COMPUTED_VALUE"""),11.0)</f>
        <v>11</v>
      </c>
      <c r="G2340" s="4">
        <f>IFERROR(__xludf.DUMMYFUNCTION("""COMPUTED_VALUE"""),584.0)</f>
        <v>584</v>
      </c>
      <c r="H2340" s="5">
        <f>IFERROR(__xludf.DUMMYFUNCTION("""COMPUTED_VALUE"""),5545.55)</f>
        <v>5545.55</v>
      </c>
      <c r="I2340" s="5">
        <f>IFERROR(__xludf.DUMMYFUNCTION("""COMPUTED_VALUE"""),5750.24)</f>
        <v>5750.24</v>
      </c>
      <c r="J2340" s="5">
        <f>IFERROR(__xludf.DUMMYFUNCTION("""COMPUTED_VALUE"""),1662.02)</f>
        <v>1662.02</v>
      </c>
      <c r="K2340" s="5">
        <f>IFERROR(__xludf.DUMMYFUNCTION("""COMPUTED_VALUE"""),7507.09)</f>
        <v>7507.09</v>
      </c>
      <c r="L2340" s="4">
        <f>IFERROR(__xludf.DUMMYFUNCTION("""COMPUTED_VALUE"""),17.0)</f>
        <v>17</v>
      </c>
      <c r="M2340" s="4">
        <f>IFERROR(__xludf.DUMMYFUNCTION("""COMPUTED_VALUE"""),89.0)</f>
        <v>89</v>
      </c>
      <c r="N2340" s="2" t="b">
        <f>IFERROR(__xludf.DUMMYFUNCTION("""COMPUTED_VALUE"""),FALSE)</f>
        <v>0</v>
      </c>
    </row>
    <row r="2341">
      <c r="A2341" s="2">
        <f>IFERROR(__xludf.DUMMYFUNCTION("""COMPUTED_VALUE"""),2340.0)</f>
        <v>2340</v>
      </c>
      <c r="B2341" s="2" t="str">
        <f>IFERROR(__xludf.DUMMYFUNCTION("""COMPUTED_VALUE"""),"Barthel Frake")</f>
        <v>Barthel Frake</v>
      </c>
      <c r="C2341" s="2" t="str">
        <f>IFERROR(__xludf.DUMMYFUNCTION("""COMPUTED_VALUE"""),"bfrake9g@cam.ac.uk")</f>
        <v>bfrake9g@cam.ac.uk</v>
      </c>
      <c r="D2341" s="4">
        <f>IFERROR(__xludf.DUMMYFUNCTION("""COMPUTED_VALUE"""),99.0)</f>
        <v>99</v>
      </c>
      <c r="E2341" s="4">
        <f>IFERROR(__xludf.DUMMYFUNCTION("""COMPUTED_VALUE"""),98.0)</f>
        <v>98</v>
      </c>
      <c r="F2341" s="4">
        <f>IFERROR(__xludf.DUMMYFUNCTION("""COMPUTED_VALUE"""),5.0)</f>
        <v>5</v>
      </c>
      <c r="G2341" s="4">
        <f>IFERROR(__xludf.DUMMYFUNCTION("""COMPUTED_VALUE"""),629.0)</f>
        <v>629</v>
      </c>
      <c r="H2341" s="5">
        <f>IFERROR(__xludf.DUMMYFUNCTION("""COMPUTED_VALUE"""),2035.52)</f>
        <v>2035.52</v>
      </c>
      <c r="I2341" s="5">
        <f>IFERROR(__xludf.DUMMYFUNCTION("""COMPUTED_VALUE"""),6556.41)</f>
        <v>6556.41</v>
      </c>
      <c r="J2341" s="5">
        <f>IFERROR(__xludf.DUMMYFUNCTION("""COMPUTED_VALUE"""),8038.9)</f>
        <v>8038.9</v>
      </c>
      <c r="K2341" s="5">
        <f>IFERROR(__xludf.DUMMYFUNCTION("""COMPUTED_VALUE"""),7471.85)</f>
        <v>7471.85</v>
      </c>
      <c r="L2341" s="4">
        <f>IFERROR(__xludf.DUMMYFUNCTION("""COMPUTED_VALUE"""),17.0)</f>
        <v>17</v>
      </c>
      <c r="M2341" s="4">
        <f>IFERROR(__xludf.DUMMYFUNCTION("""COMPUTED_VALUE"""),8.0)</f>
        <v>8</v>
      </c>
      <c r="N2341" s="2" t="b">
        <f>IFERROR(__xludf.DUMMYFUNCTION("""COMPUTED_VALUE"""),FALSE)</f>
        <v>0</v>
      </c>
    </row>
    <row r="2342">
      <c r="A2342" s="2">
        <f>IFERROR(__xludf.DUMMYFUNCTION("""COMPUTED_VALUE"""),2341.0)</f>
        <v>2341</v>
      </c>
      <c r="B2342" s="2" t="str">
        <f>IFERROR(__xludf.DUMMYFUNCTION("""COMPUTED_VALUE"""),"Isabella Radbone")</f>
        <v>Isabella Radbone</v>
      </c>
      <c r="C2342" s="2" t="str">
        <f>IFERROR(__xludf.DUMMYFUNCTION("""COMPUTED_VALUE"""),"iradbone9h@java.com")</f>
        <v>iradbone9h@java.com</v>
      </c>
      <c r="D2342" s="4">
        <f>IFERROR(__xludf.DUMMYFUNCTION("""COMPUTED_VALUE"""),98.0)</f>
        <v>98</v>
      </c>
      <c r="E2342" s="4">
        <f>IFERROR(__xludf.DUMMYFUNCTION("""COMPUTED_VALUE"""),16.0)</f>
        <v>16</v>
      </c>
      <c r="F2342" s="4">
        <f>IFERROR(__xludf.DUMMYFUNCTION("""COMPUTED_VALUE"""),8.0)</f>
        <v>8</v>
      </c>
      <c r="G2342" s="4">
        <f>IFERROR(__xludf.DUMMYFUNCTION("""COMPUTED_VALUE"""),492.0)</f>
        <v>492</v>
      </c>
      <c r="H2342" s="5">
        <f>IFERROR(__xludf.DUMMYFUNCTION("""COMPUTED_VALUE"""),5637.24)</f>
        <v>5637.24</v>
      </c>
      <c r="I2342" s="5">
        <f>IFERROR(__xludf.DUMMYFUNCTION("""COMPUTED_VALUE"""),2833.92)</f>
        <v>2833.92</v>
      </c>
      <c r="J2342" s="5">
        <f>IFERROR(__xludf.DUMMYFUNCTION("""COMPUTED_VALUE"""),4689.17)</f>
        <v>4689.17</v>
      </c>
      <c r="K2342" s="5">
        <f>IFERROR(__xludf.DUMMYFUNCTION("""COMPUTED_VALUE"""),6467.24)</f>
        <v>6467.24</v>
      </c>
      <c r="L2342" s="4">
        <f>IFERROR(__xludf.DUMMYFUNCTION("""COMPUTED_VALUE"""),15.0)</f>
        <v>15</v>
      </c>
      <c r="M2342" s="4">
        <f>IFERROR(__xludf.DUMMYFUNCTION("""COMPUTED_VALUE"""),14.0)</f>
        <v>14</v>
      </c>
      <c r="N2342" s="2" t="b">
        <f>IFERROR(__xludf.DUMMYFUNCTION("""COMPUTED_VALUE"""),FALSE)</f>
        <v>0</v>
      </c>
    </row>
    <row r="2343">
      <c r="A2343" s="2">
        <f>IFERROR(__xludf.DUMMYFUNCTION("""COMPUTED_VALUE"""),2342.0)</f>
        <v>2342</v>
      </c>
      <c r="B2343" s="2" t="str">
        <f>IFERROR(__xludf.DUMMYFUNCTION("""COMPUTED_VALUE"""),"Jamie Ausher")</f>
        <v>Jamie Ausher</v>
      </c>
      <c r="C2343" s="2" t="str">
        <f>IFERROR(__xludf.DUMMYFUNCTION("""COMPUTED_VALUE"""),"jausher9i@is.gd")</f>
        <v>jausher9i@is.gd</v>
      </c>
      <c r="D2343" s="4">
        <f>IFERROR(__xludf.DUMMYFUNCTION("""COMPUTED_VALUE"""),123.0)</f>
        <v>123</v>
      </c>
      <c r="E2343" s="4">
        <f>IFERROR(__xludf.DUMMYFUNCTION("""COMPUTED_VALUE"""),80.0)</f>
        <v>80</v>
      </c>
      <c r="F2343" s="4">
        <f>IFERROR(__xludf.DUMMYFUNCTION("""COMPUTED_VALUE"""),12.0)</f>
        <v>12</v>
      </c>
      <c r="G2343" s="4">
        <f>IFERROR(__xludf.DUMMYFUNCTION("""COMPUTED_VALUE"""),216.0)</f>
        <v>216</v>
      </c>
      <c r="H2343" s="5">
        <f>IFERROR(__xludf.DUMMYFUNCTION("""COMPUTED_VALUE"""),8488.0)</f>
        <v>8488</v>
      </c>
      <c r="I2343" s="5">
        <f>IFERROR(__xludf.DUMMYFUNCTION("""COMPUTED_VALUE"""),2483.45)</f>
        <v>2483.45</v>
      </c>
      <c r="J2343" s="5">
        <f>IFERROR(__xludf.DUMMYFUNCTION("""COMPUTED_VALUE"""),8466.53)</f>
        <v>8466.53</v>
      </c>
      <c r="K2343" s="5">
        <f>IFERROR(__xludf.DUMMYFUNCTION("""COMPUTED_VALUE"""),8172.19)</f>
        <v>8172.19</v>
      </c>
      <c r="L2343" s="4">
        <f>IFERROR(__xludf.DUMMYFUNCTION("""COMPUTED_VALUE"""),12.0)</f>
        <v>12</v>
      </c>
      <c r="M2343" s="4">
        <f>IFERROR(__xludf.DUMMYFUNCTION("""COMPUTED_VALUE"""),98.0)</f>
        <v>98</v>
      </c>
      <c r="N2343" s="2" t="b">
        <f>IFERROR(__xludf.DUMMYFUNCTION("""COMPUTED_VALUE"""),TRUE)</f>
        <v>1</v>
      </c>
    </row>
    <row r="2344">
      <c r="A2344" s="2">
        <f>IFERROR(__xludf.DUMMYFUNCTION("""COMPUTED_VALUE"""),2343.0)</f>
        <v>2343</v>
      </c>
      <c r="B2344" s="2" t="str">
        <f>IFERROR(__xludf.DUMMYFUNCTION("""COMPUTED_VALUE"""),"Farley Askham")</f>
        <v>Farley Askham</v>
      </c>
      <c r="C2344" s="2" t="str">
        <f>IFERROR(__xludf.DUMMYFUNCTION("""COMPUTED_VALUE"""),"faskham9j@weather.com")</f>
        <v>faskham9j@weather.com</v>
      </c>
      <c r="D2344" s="4">
        <f>IFERROR(__xludf.DUMMYFUNCTION("""COMPUTED_VALUE"""),124.0)</f>
        <v>124</v>
      </c>
      <c r="E2344" s="4">
        <f>IFERROR(__xludf.DUMMYFUNCTION("""COMPUTED_VALUE"""),74.0)</f>
        <v>74</v>
      </c>
      <c r="F2344" s="4">
        <f>IFERROR(__xludf.DUMMYFUNCTION("""COMPUTED_VALUE"""),9.0)</f>
        <v>9</v>
      </c>
      <c r="G2344" s="4">
        <f>IFERROR(__xludf.DUMMYFUNCTION("""COMPUTED_VALUE"""),1604.0)</f>
        <v>1604</v>
      </c>
      <c r="H2344" s="5">
        <f>IFERROR(__xludf.DUMMYFUNCTION("""COMPUTED_VALUE"""),5309.82)</f>
        <v>5309.82</v>
      </c>
      <c r="I2344" s="5">
        <f>IFERROR(__xludf.DUMMYFUNCTION("""COMPUTED_VALUE"""),190.87)</f>
        <v>190.87</v>
      </c>
      <c r="J2344" s="5">
        <f>IFERROR(__xludf.DUMMYFUNCTION("""COMPUTED_VALUE"""),8970.54)</f>
        <v>8970.54</v>
      </c>
      <c r="K2344" s="5">
        <f>IFERROR(__xludf.DUMMYFUNCTION("""COMPUTED_VALUE"""),9189.66)</f>
        <v>9189.66</v>
      </c>
      <c r="L2344" s="4">
        <f>IFERROR(__xludf.DUMMYFUNCTION("""COMPUTED_VALUE"""),19.0)</f>
        <v>19</v>
      </c>
      <c r="M2344" s="4">
        <f>IFERROR(__xludf.DUMMYFUNCTION("""COMPUTED_VALUE"""),85.0)</f>
        <v>85</v>
      </c>
      <c r="N2344" s="2" t="b">
        <f>IFERROR(__xludf.DUMMYFUNCTION("""COMPUTED_VALUE"""),TRUE)</f>
        <v>1</v>
      </c>
    </row>
    <row r="2345">
      <c r="A2345" s="2">
        <f>IFERROR(__xludf.DUMMYFUNCTION("""COMPUTED_VALUE"""),2344.0)</f>
        <v>2344</v>
      </c>
      <c r="B2345" s="2" t="str">
        <f>IFERROR(__xludf.DUMMYFUNCTION("""COMPUTED_VALUE"""),"Emlynne Linny")</f>
        <v>Emlynne Linny</v>
      </c>
      <c r="C2345" s="2"/>
      <c r="D2345" s="4">
        <f>IFERROR(__xludf.DUMMYFUNCTION("""COMPUTED_VALUE"""),115.0)</f>
        <v>115</v>
      </c>
      <c r="E2345" s="4">
        <f>IFERROR(__xludf.DUMMYFUNCTION("""COMPUTED_VALUE"""),92.0)</f>
        <v>92</v>
      </c>
      <c r="F2345" s="4">
        <f>IFERROR(__xludf.DUMMYFUNCTION("""COMPUTED_VALUE"""),11.0)</f>
        <v>11</v>
      </c>
      <c r="G2345" s="4">
        <f>IFERROR(__xludf.DUMMYFUNCTION("""COMPUTED_VALUE"""),592.0)</f>
        <v>592</v>
      </c>
      <c r="H2345" s="5">
        <f>IFERROR(__xludf.DUMMYFUNCTION("""COMPUTED_VALUE"""),298.32)</f>
        <v>298.32</v>
      </c>
      <c r="I2345" s="5">
        <f>IFERROR(__xludf.DUMMYFUNCTION("""COMPUTED_VALUE"""),9608.0)</f>
        <v>9608</v>
      </c>
      <c r="J2345" s="5">
        <f>IFERROR(__xludf.DUMMYFUNCTION("""COMPUTED_VALUE"""),480.74)</f>
        <v>480.74</v>
      </c>
      <c r="K2345" s="5">
        <f>IFERROR(__xludf.DUMMYFUNCTION("""COMPUTED_VALUE"""),5887.42)</f>
        <v>5887.42</v>
      </c>
      <c r="L2345" s="4">
        <f>IFERROR(__xludf.DUMMYFUNCTION("""COMPUTED_VALUE"""),16.0)</f>
        <v>16</v>
      </c>
      <c r="M2345" s="4">
        <f>IFERROR(__xludf.DUMMYFUNCTION("""COMPUTED_VALUE"""),38.0)</f>
        <v>38</v>
      </c>
      <c r="N2345" s="2" t="b">
        <f>IFERROR(__xludf.DUMMYFUNCTION("""COMPUTED_VALUE"""),TRUE)</f>
        <v>1</v>
      </c>
    </row>
    <row r="2346">
      <c r="A2346" s="2">
        <f>IFERROR(__xludf.DUMMYFUNCTION("""COMPUTED_VALUE"""),2345.0)</f>
        <v>2345</v>
      </c>
      <c r="B2346" s="2" t="str">
        <f>IFERROR(__xludf.DUMMYFUNCTION("""COMPUTED_VALUE"""),"Claiborne McLernon")</f>
        <v>Claiborne McLernon</v>
      </c>
      <c r="C2346" s="2" t="str">
        <f>IFERROR(__xludf.DUMMYFUNCTION("""COMPUTED_VALUE"""),"cmclernon9l@51.la")</f>
        <v>cmclernon9l@51.la</v>
      </c>
      <c r="D2346" s="4">
        <f>IFERROR(__xludf.DUMMYFUNCTION("""COMPUTED_VALUE"""),158.0)</f>
        <v>158</v>
      </c>
      <c r="E2346" s="4">
        <f>IFERROR(__xludf.DUMMYFUNCTION("""COMPUTED_VALUE"""),21.0)</f>
        <v>21</v>
      </c>
      <c r="F2346" s="4">
        <f>IFERROR(__xludf.DUMMYFUNCTION("""COMPUTED_VALUE"""),9.0)</f>
        <v>9</v>
      </c>
      <c r="G2346" s="4">
        <f>IFERROR(__xludf.DUMMYFUNCTION("""COMPUTED_VALUE"""),477.0)</f>
        <v>477</v>
      </c>
      <c r="H2346" s="5">
        <f>IFERROR(__xludf.DUMMYFUNCTION("""COMPUTED_VALUE"""),4092.15)</f>
        <v>4092.15</v>
      </c>
      <c r="I2346" s="5">
        <f>IFERROR(__xludf.DUMMYFUNCTION("""COMPUTED_VALUE"""),8290.51)</f>
        <v>8290.51</v>
      </c>
      <c r="J2346" s="5">
        <f>IFERROR(__xludf.DUMMYFUNCTION("""COMPUTED_VALUE"""),9633.6)</f>
        <v>9633.6</v>
      </c>
      <c r="K2346" s="5">
        <f>IFERROR(__xludf.DUMMYFUNCTION("""COMPUTED_VALUE"""),6699.03)</f>
        <v>6699.03</v>
      </c>
      <c r="L2346" s="4">
        <f>IFERROR(__xludf.DUMMYFUNCTION("""COMPUTED_VALUE"""),20.0)</f>
        <v>20</v>
      </c>
      <c r="M2346" s="4">
        <f>IFERROR(__xludf.DUMMYFUNCTION("""COMPUTED_VALUE"""),23.0)</f>
        <v>23</v>
      </c>
      <c r="N2346" s="2" t="b">
        <f>IFERROR(__xludf.DUMMYFUNCTION("""COMPUTED_VALUE"""),TRUE)</f>
        <v>1</v>
      </c>
    </row>
    <row r="2347">
      <c r="A2347" s="2">
        <f>IFERROR(__xludf.DUMMYFUNCTION("""COMPUTED_VALUE"""),2346.0)</f>
        <v>2346</v>
      </c>
      <c r="B2347" s="2" t="str">
        <f>IFERROR(__xludf.DUMMYFUNCTION("""COMPUTED_VALUE"""),"Dianne Sharpin")</f>
        <v>Dianne Sharpin</v>
      </c>
      <c r="C2347" s="2" t="str">
        <f>IFERROR(__xludf.DUMMYFUNCTION("""COMPUTED_VALUE"""),"dsharpin9m@multiply.com")</f>
        <v>dsharpin9m@multiply.com</v>
      </c>
      <c r="D2347" s="4">
        <f>IFERROR(__xludf.DUMMYFUNCTION("""COMPUTED_VALUE"""),147.0)</f>
        <v>147</v>
      </c>
      <c r="E2347" s="4">
        <f>IFERROR(__xludf.DUMMYFUNCTION("""COMPUTED_VALUE"""),76.0)</f>
        <v>76</v>
      </c>
      <c r="F2347" s="4">
        <f>IFERROR(__xludf.DUMMYFUNCTION("""COMPUTED_VALUE"""),11.0)</f>
        <v>11</v>
      </c>
      <c r="G2347" s="4">
        <f>IFERROR(__xludf.DUMMYFUNCTION("""COMPUTED_VALUE"""),1327.0)</f>
        <v>1327</v>
      </c>
      <c r="H2347" s="5">
        <f>IFERROR(__xludf.DUMMYFUNCTION("""COMPUTED_VALUE"""),7363.82)</f>
        <v>7363.82</v>
      </c>
      <c r="I2347" s="5">
        <f>IFERROR(__xludf.DUMMYFUNCTION("""COMPUTED_VALUE"""),5334.92)</f>
        <v>5334.92</v>
      </c>
      <c r="J2347" s="5">
        <f>IFERROR(__xludf.DUMMYFUNCTION("""COMPUTED_VALUE"""),4111.58)</f>
        <v>4111.58</v>
      </c>
      <c r="K2347" s="5">
        <f>IFERROR(__xludf.DUMMYFUNCTION("""COMPUTED_VALUE"""),3187.87)</f>
        <v>3187.87</v>
      </c>
      <c r="L2347" s="4">
        <f>IFERROR(__xludf.DUMMYFUNCTION("""COMPUTED_VALUE"""),18.0)</f>
        <v>18</v>
      </c>
      <c r="M2347" s="4">
        <f>IFERROR(__xludf.DUMMYFUNCTION("""COMPUTED_VALUE"""),54.0)</f>
        <v>54</v>
      </c>
      <c r="N2347" s="2" t="b">
        <f>IFERROR(__xludf.DUMMYFUNCTION("""COMPUTED_VALUE"""),FALSE)</f>
        <v>0</v>
      </c>
    </row>
    <row r="2348">
      <c r="A2348" s="2">
        <f>IFERROR(__xludf.DUMMYFUNCTION("""COMPUTED_VALUE"""),2347.0)</f>
        <v>2347</v>
      </c>
      <c r="B2348" s="2" t="str">
        <f>IFERROR(__xludf.DUMMYFUNCTION("""COMPUTED_VALUE"""),"Dominic Berrygun")</f>
        <v>Dominic Berrygun</v>
      </c>
      <c r="C2348" s="2"/>
      <c r="D2348" s="4">
        <f>IFERROR(__xludf.DUMMYFUNCTION("""COMPUTED_VALUE"""),42.0)</f>
        <v>42</v>
      </c>
      <c r="E2348" s="4">
        <f>IFERROR(__xludf.DUMMYFUNCTION("""COMPUTED_VALUE"""),72.0)</f>
        <v>72</v>
      </c>
      <c r="F2348" s="4">
        <f>IFERROR(__xludf.DUMMYFUNCTION("""COMPUTED_VALUE"""),8.0)</f>
        <v>8</v>
      </c>
      <c r="G2348" s="4">
        <f>IFERROR(__xludf.DUMMYFUNCTION("""COMPUTED_VALUE"""),263.0)</f>
        <v>263</v>
      </c>
      <c r="H2348" s="5">
        <f>IFERROR(__xludf.DUMMYFUNCTION("""COMPUTED_VALUE"""),6888.45)</f>
        <v>6888.45</v>
      </c>
      <c r="I2348" s="5">
        <f>IFERROR(__xludf.DUMMYFUNCTION("""COMPUTED_VALUE"""),9969.85)</f>
        <v>9969.85</v>
      </c>
      <c r="J2348" s="5">
        <f>IFERROR(__xludf.DUMMYFUNCTION("""COMPUTED_VALUE"""),5142.2)</f>
        <v>5142.2</v>
      </c>
      <c r="K2348" s="5">
        <f>IFERROR(__xludf.DUMMYFUNCTION("""COMPUTED_VALUE"""),9716.98)</f>
        <v>9716.98</v>
      </c>
      <c r="L2348" s="4">
        <f>IFERROR(__xludf.DUMMYFUNCTION("""COMPUTED_VALUE"""),10.0)</f>
        <v>10</v>
      </c>
      <c r="M2348" s="4">
        <f>IFERROR(__xludf.DUMMYFUNCTION("""COMPUTED_VALUE"""),41.0)</f>
        <v>41</v>
      </c>
      <c r="N2348" s="2" t="b">
        <f>IFERROR(__xludf.DUMMYFUNCTION("""COMPUTED_VALUE"""),FALSE)</f>
        <v>0</v>
      </c>
    </row>
    <row r="2349">
      <c r="A2349" s="2">
        <f>IFERROR(__xludf.DUMMYFUNCTION("""COMPUTED_VALUE"""),2348.0)</f>
        <v>2348</v>
      </c>
      <c r="B2349" s="2" t="str">
        <f>IFERROR(__xludf.DUMMYFUNCTION("""COMPUTED_VALUE"""),"Pauletta Fipp")</f>
        <v>Pauletta Fipp</v>
      </c>
      <c r="C2349" s="2"/>
      <c r="D2349" s="4">
        <f>IFERROR(__xludf.DUMMYFUNCTION("""COMPUTED_VALUE"""),116.0)</f>
        <v>116</v>
      </c>
      <c r="E2349" s="4">
        <f>IFERROR(__xludf.DUMMYFUNCTION("""COMPUTED_VALUE"""),77.0)</f>
        <v>77</v>
      </c>
      <c r="F2349" s="4">
        <f>IFERROR(__xludf.DUMMYFUNCTION("""COMPUTED_VALUE"""),4.0)</f>
        <v>4</v>
      </c>
      <c r="G2349" s="4">
        <f>IFERROR(__xludf.DUMMYFUNCTION("""COMPUTED_VALUE"""),230.0)</f>
        <v>230</v>
      </c>
      <c r="H2349" s="5">
        <f>IFERROR(__xludf.DUMMYFUNCTION("""COMPUTED_VALUE"""),2175.92)</f>
        <v>2175.92</v>
      </c>
      <c r="I2349" s="5">
        <f>IFERROR(__xludf.DUMMYFUNCTION("""COMPUTED_VALUE"""),6001.24)</f>
        <v>6001.24</v>
      </c>
      <c r="J2349" s="5">
        <f>IFERROR(__xludf.DUMMYFUNCTION("""COMPUTED_VALUE"""),1604.13)</f>
        <v>1604.13</v>
      </c>
      <c r="K2349" s="5">
        <f>IFERROR(__xludf.DUMMYFUNCTION("""COMPUTED_VALUE"""),375.24)</f>
        <v>375.24</v>
      </c>
      <c r="L2349" s="4">
        <f>IFERROR(__xludf.DUMMYFUNCTION("""COMPUTED_VALUE"""),17.0)</f>
        <v>17</v>
      </c>
      <c r="M2349" s="4">
        <f>IFERROR(__xludf.DUMMYFUNCTION("""COMPUTED_VALUE"""),30.0)</f>
        <v>30</v>
      </c>
      <c r="N2349" s="2" t="b">
        <f>IFERROR(__xludf.DUMMYFUNCTION("""COMPUTED_VALUE"""),FALSE)</f>
        <v>0</v>
      </c>
    </row>
    <row r="2350">
      <c r="A2350" s="2">
        <f>IFERROR(__xludf.DUMMYFUNCTION("""COMPUTED_VALUE"""),2349.0)</f>
        <v>2349</v>
      </c>
      <c r="B2350" s="2" t="str">
        <f>IFERROR(__xludf.DUMMYFUNCTION("""COMPUTED_VALUE"""),"Pace Corradeschi")</f>
        <v>Pace Corradeschi</v>
      </c>
      <c r="C2350" s="2" t="str">
        <f>IFERROR(__xludf.DUMMYFUNCTION("""COMPUTED_VALUE"""),"pcorradeschi9p@webmd.com")</f>
        <v>pcorradeschi9p@webmd.com</v>
      </c>
      <c r="D2350" s="4">
        <f>IFERROR(__xludf.DUMMYFUNCTION("""COMPUTED_VALUE"""),64.0)</f>
        <v>64</v>
      </c>
      <c r="E2350" s="4">
        <f>IFERROR(__xludf.DUMMYFUNCTION("""COMPUTED_VALUE"""),22.0)</f>
        <v>22</v>
      </c>
      <c r="F2350" s="4">
        <f>IFERROR(__xludf.DUMMYFUNCTION("""COMPUTED_VALUE"""),7.0)</f>
        <v>7</v>
      </c>
      <c r="G2350" s="4">
        <f>IFERROR(__xludf.DUMMYFUNCTION("""COMPUTED_VALUE"""),1392.0)</f>
        <v>1392</v>
      </c>
      <c r="H2350" s="5">
        <f>IFERROR(__xludf.DUMMYFUNCTION("""COMPUTED_VALUE"""),3902.76)</f>
        <v>3902.76</v>
      </c>
      <c r="I2350" s="5">
        <f>IFERROR(__xludf.DUMMYFUNCTION("""COMPUTED_VALUE"""),6721.47)</f>
        <v>6721.47</v>
      </c>
      <c r="J2350" s="5">
        <f>IFERROR(__xludf.DUMMYFUNCTION("""COMPUTED_VALUE"""),8576.73)</f>
        <v>8576.73</v>
      </c>
      <c r="K2350" s="5">
        <f>IFERROR(__xludf.DUMMYFUNCTION("""COMPUTED_VALUE"""),4783.53)</f>
        <v>4783.53</v>
      </c>
      <c r="L2350" s="4">
        <f>IFERROR(__xludf.DUMMYFUNCTION("""COMPUTED_VALUE"""),3.0)</f>
        <v>3</v>
      </c>
      <c r="M2350" s="4">
        <f>IFERROR(__xludf.DUMMYFUNCTION("""COMPUTED_VALUE"""),38.0)</f>
        <v>38</v>
      </c>
      <c r="N2350" s="2" t="b">
        <f>IFERROR(__xludf.DUMMYFUNCTION("""COMPUTED_VALUE"""),TRUE)</f>
        <v>1</v>
      </c>
    </row>
    <row r="2351">
      <c r="A2351" s="2">
        <f>IFERROR(__xludf.DUMMYFUNCTION("""COMPUTED_VALUE"""),2350.0)</f>
        <v>2350</v>
      </c>
      <c r="B2351" s="2" t="str">
        <f>IFERROR(__xludf.DUMMYFUNCTION("""COMPUTED_VALUE"""),"Elly Giamitti")</f>
        <v>Elly Giamitti</v>
      </c>
      <c r="C2351" s="2" t="str">
        <f>IFERROR(__xludf.DUMMYFUNCTION("""COMPUTED_VALUE"""),"egiamitti9q@wordpress.com")</f>
        <v>egiamitti9q@wordpress.com</v>
      </c>
      <c r="D2351" s="4">
        <f>IFERROR(__xludf.DUMMYFUNCTION("""COMPUTED_VALUE"""),94.0)</f>
        <v>94</v>
      </c>
      <c r="E2351" s="4">
        <f>IFERROR(__xludf.DUMMYFUNCTION("""COMPUTED_VALUE"""),34.0)</f>
        <v>34</v>
      </c>
      <c r="F2351" s="4">
        <f>IFERROR(__xludf.DUMMYFUNCTION("""COMPUTED_VALUE"""),8.0)</f>
        <v>8</v>
      </c>
      <c r="G2351" s="4">
        <f>IFERROR(__xludf.DUMMYFUNCTION("""COMPUTED_VALUE"""),1504.0)</f>
        <v>1504</v>
      </c>
      <c r="H2351" s="5">
        <f>IFERROR(__xludf.DUMMYFUNCTION("""COMPUTED_VALUE"""),2534.52)</f>
        <v>2534.52</v>
      </c>
      <c r="I2351" s="5">
        <f>IFERROR(__xludf.DUMMYFUNCTION("""COMPUTED_VALUE"""),1658.98)</f>
        <v>1658.98</v>
      </c>
      <c r="J2351" s="5">
        <f>IFERROR(__xludf.DUMMYFUNCTION("""COMPUTED_VALUE"""),9355.61)</f>
        <v>9355.61</v>
      </c>
      <c r="K2351" s="5">
        <f>IFERROR(__xludf.DUMMYFUNCTION("""COMPUTED_VALUE"""),8473.66)</f>
        <v>8473.66</v>
      </c>
      <c r="L2351" s="4">
        <f>IFERROR(__xludf.DUMMYFUNCTION("""COMPUTED_VALUE"""),3.0)</f>
        <v>3</v>
      </c>
      <c r="M2351" s="4">
        <f>IFERROR(__xludf.DUMMYFUNCTION("""COMPUTED_VALUE"""),91.0)</f>
        <v>91</v>
      </c>
      <c r="N2351" s="2" t="b">
        <f>IFERROR(__xludf.DUMMYFUNCTION("""COMPUTED_VALUE"""),TRUE)</f>
        <v>1</v>
      </c>
    </row>
    <row r="2352">
      <c r="A2352" s="2">
        <f>IFERROR(__xludf.DUMMYFUNCTION("""COMPUTED_VALUE"""),2351.0)</f>
        <v>2351</v>
      </c>
      <c r="B2352" s="2" t="str">
        <f>IFERROR(__xludf.DUMMYFUNCTION("""COMPUTED_VALUE"""),"Preston Legrice")</f>
        <v>Preston Legrice</v>
      </c>
      <c r="C2352" s="2"/>
      <c r="D2352" s="4">
        <f>IFERROR(__xludf.DUMMYFUNCTION("""COMPUTED_VALUE"""),83.0)</f>
        <v>83</v>
      </c>
      <c r="E2352" s="4">
        <f>IFERROR(__xludf.DUMMYFUNCTION("""COMPUTED_VALUE"""),100.0)</f>
        <v>100</v>
      </c>
      <c r="F2352" s="4">
        <f>IFERROR(__xludf.DUMMYFUNCTION("""COMPUTED_VALUE"""),2.0)</f>
        <v>2</v>
      </c>
      <c r="G2352" s="4">
        <f>IFERROR(__xludf.DUMMYFUNCTION("""COMPUTED_VALUE"""),54.0)</f>
        <v>54</v>
      </c>
      <c r="H2352" s="5">
        <f>IFERROR(__xludf.DUMMYFUNCTION("""COMPUTED_VALUE"""),1230.26)</f>
        <v>1230.26</v>
      </c>
      <c r="I2352" s="5">
        <f>IFERROR(__xludf.DUMMYFUNCTION("""COMPUTED_VALUE"""),2986.93)</f>
        <v>2986.93</v>
      </c>
      <c r="J2352" s="5">
        <f>IFERROR(__xludf.DUMMYFUNCTION("""COMPUTED_VALUE"""),3392.17)</f>
        <v>3392.17</v>
      </c>
      <c r="K2352" s="5">
        <f>IFERROR(__xludf.DUMMYFUNCTION("""COMPUTED_VALUE"""),3691.01)</f>
        <v>3691.01</v>
      </c>
      <c r="L2352" s="4">
        <f>IFERROR(__xludf.DUMMYFUNCTION("""COMPUTED_VALUE"""),11.0)</f>
        <v>11</v>
      </c>
      <c r="M2352" s="4">
        <f>IFERROR(__xludf.DUMMYFUNCTION("""COMPUTED_VALUE"""),21.0)</f>
        <v>21</v>
      </c>
      <c r="N2352" s="2" t="b">
        <f>IFERROR(__xludf.DUMMYFUNCTION("""COMPUTED_VALUE"""),TRUE)</f>
        <v>1</v>
      </c>
    </row>
    <row r="2353">
      <c r="A2353" s="2">
        <f>IFERROR(__xludf.DUMMYFUNCTION("""COMPUTED_VALUE"""),2352.0)</f>
        <v>2352</v>
      </c>
      <c r="B2353" s="2" t="str">
        <f>IFERROR(__xludf.DUMMYFUNCTION("""COMPUTED_VALUE"""),"Nissie Vosse")</f>
        <v>Nissie Vosse</v>
      </c>
      <c r="C2353" s="2" t="str">
        <f>IFERROR(__xludf.DUMMYFUNCTION("""COMPUTED_VALUE"""),"nvosse9s@domainmarket.com")</f>
        <v>nvosse9s@domainmarket.com</v>
      </c>
      <c r="D2353" s="4">
        <f>IFERROR(__xludf.DUMMYFUNCTION("""COMPUTED_VALUE"""),67.0)</f>
        <v>67</v>
      </c>
      <c r="E2353" s="4">
        <f>IFERROR(__xludf.DUMMYFUNCTION("""COMPUTED_VALUE"""),48.0)</f>
        <v>48</v>
      </c>
      <c r="F2353" s="4">
        <f>IFERROR(__xludf.DUMMYFUNCTION("""COMPUTED_VALUE"""),2.0)</f>
        <v>2</v>
      </c>
      <c r="G2353" s="4">
        <f>IFERROR(__xludf.DUMMYFUNCTION("""COMPUTED_VALUE"""),955.0)</f>
        <v>955</v>
      </c>
      <c r="H2353" s="5">
        <f>IFERROR(__xludf.DUMMYFUNCTION("""COMPUTED_VALUE"""),8074.28)</f>
        <v>8074.28</v>
      </c>
      <c r="I2353" s="5">
        <f>IFERROR(__xludf.DUMMYFUNCTION("""COMPUTED_VALUE"""),513.82)</f>
        <v>513.82</v>
      </c>
      <c r="J2353" s="5">
        <f>IFERROR(__xludf.DUMMYFUNCTION("""COMPUTED_VALUE"""),3499.58)</f>
        <v>3499.58</v>
      </c>
      <c r="K2353" s="5">
        <f>IFERROR(__xludf.DUMMYFUNCTION("""COMPUTED_VALUE"""),366.03)</f>
        <v>366.03</v>
      </c>
      <c r="L2353" s="4">
        <f>IFERROR(__xludf.DUMMYFUNCTION("""COMPUTED_VALUE"""),13.0)</f>
        <v>13</v>
      </c>
      <c r="M2353" s="4">
        <f>IFERROR(__xludf.DUMMYFUNCTION("""COMPUTED_VALUE"""),77.0)</f>
        <v>77</v>
      </c>
      <c r="N2353" s="2" t="b">
        <f>IFERROR(__xludf.DUMMYFUNCTION("""COMPUTED_VALUE"""),FALSE)</f>
        <v>0</v>
      </c>
    </row>
    <row r="2354">
      <c r="A2354" s="2">
        <f>IFERROR(__xludf.DUMMYFUNCTION("""COMPUTED_VALUE"""),2353.0)</f>
        <v>2353</v>
      </c>
      <c r="B2354" s="2" t="str">
        <f>IFERROR(__xludf.DUMMYFUNCTION("""COMPUTED_VALUE"""),"Ceciley Strowger")</f>
        <v>Ceciley Strowger</v>
      </c>
      <c r="C2354" s="2"/>
      <c r="D2354" s="4">
        <f>IFERROR(__xludf.DUMMYFUNCTION("""COMPUTED_VALUE"""),47.0)</f>
        <v>47</v>
      </c>
      <c r="E2354" s="4">
        <f>IFERROR(__xludf.DUMMYFUNCTION("""COMPUTED_VALUE"""),38.0)</f>
        <v>38</v>
      </c>
      <c r="F2354" s="4">
        <f>IFERROR(__xludf.DUMMYFUNCTION("""COMPUTED_VALUE"""),12.0)</f>
        <v>12</v>
      </c>
      <c r="G2354" s="4">
        <f>IFERROR(__xludf.DUMMYFUNCTION("""COMPUTED_VALUE"""),25.0)</f>
        <v>25</v>
      </c>
      <c r="H2354" s="5">
        <f>IFERROR(__xludf.DUMMYFUNCTION("""COMPUTED_VALUE"""),1731.72)</f>
        <v>1731.72</v>
      </c>
      <c r="I2354" s="5">
        <f>IFERROR(__xludf.DUMMYFUNCTION("""COMPUTED_VALUE"""),2877.06)</f>
        <v>2877.06</v>
      </c>
      <c r="J2354" s="5">
        <f>IFERROR(__xludf.DUMMYFUNCTION("""COMPUTED_VALUE"""),8630.45)</f>
        <v>8630.45</v>
      </c>
      <c r="K2354" s="5">
        <f>IFERROR(__xludf.DUMMYFUNCTION("""COMPUTED_VALUE"""),5474.01)</f>
        <v>5474.01</v>
      </c>
      <c r="L2354" s="4">
        <f>IFERROR(__xludf.DUMMYFUNCTION("""COMPUTED_VALUE"""),9.0)</f>
        <v>9</v>
      </c>
      <c r="M2354" s="4">
        <f>IFERROR(__xludf.DUMMYFUNCTION("""COMPUTED_VALUE"""),68.0)</f>
        <v>68</v>
      </c>
      <c r="N2354" s="2" t="b">
        <f>IFERROR(__xludf.DUMMYFUNCTION("""COMPUTED_VALUE"""),TRUE)</f>
        <v>1</v>
      </c>
    </row>
    <row r="2355">
      <c r="A2355" s="2">
        <f>IFERROR(__xludf.DUMMYFUNCTION("""COMPUTED_VALUE"""),2354.0)</f>
        <v>2354</v>
      </c>
      <c r="B2355" s="2" t="str">
        <f>IFERROR(__xludf.DUMMYFUNCTION("""COMPUTED_VALUE"""),"Haily Punch")</f>
        <v>Haily Punch</v>
      </c>
      <c r="C2355" s="2"/>
      <c r="D2355" s="4">
        <f>IFERROR(__xludf.DUMMYFUNCTION("""COMPUTED_VALUE"""),30.0)</f>
        <v>30</v>
      </c>
      <c r="E2355" s="4">
        <f>IFERROR(__xludf.DUMMYFUNCTION("""COMPUTED_VALUE"""),14.0)</f>
        <v>14</v>
      </c>
      <c r="F2355" s="4">
        <f>IFERROR(__xludf.DUMMYFUNCTION("""COMPUTED_VALUE"""),11.0)</f>
        <v>11</v>
      </c>
      <c r="G2355" s="4">
        <f>IFERROR(__xludf.DUMMYFUNCTION("""COMPUTED_VALUE"""),1262.0)</f>
        <v>1262</v>
      </c>
      <c r="H2355" s="5">
        <f>IFERROR(__xludf.DUMMYFUNCTION("""COMPUTED_VALUE"""),9225.01)</f>
        <v>9225.01</v>
      </c>
      <c r="I2355" s="5">
        <f>IFERROR(__xludf.DUMMYFUNCTION("""COMPUTED_VALUE"""),972.98)</f>
        <v>972.98</v>
      </c>
      <c r="J2355" s="5">
        <f>IFERROR(__xludf.DUMMYFUNCTION("""COMPUTED_VALUE"""),2398.37)</f>
        <v>2398.37</v>
      </c>
      <c r="K2355" s="5">
        <f>IFERROR(__xludf.DUMMYFUNCTION("""COMPUTED_VALUE"""),1138.48)</f>
        <v>1138.48</v>
      </c>
      <c r="L2355" s="4">
        <f>IFERROR(__xludf.DUMMYFUNCTION("""COMPUTED_VALUE"""),11.0)</f>
        <v>11</v>
      </c>
      <c r="M2355" s="4">
        <f>IFERROR(__xludf.DUMMYFUNCTION("""COMPUTED_VALUE"""),98.0)</f>
        <v>98</v>
      </c>
      <c r="N2355" s="2" t="b">
        <f>IFERROR(__xludf.DUMMYFUNCTION("""COMPUTED_VALUE"""),TRUE)</f>
        <v>1</v>
      </c>
    </row>
    <row r="2356">
      <c r="A2356" s="2">
        <f>IFERROR(__xludf.DUMMYFUNCTION("""COMPUTED_VALUE"""),2355.0)</f>
        <v>2355</v>
      </c>
      <c r="B2356" s="2" t="str">
        <f>IFERROR(__xludf.DUMMYFUNCTION("""COMPUTED_VALUE"""),"Anni Labon")</f>
        <v>Anni Labon</v>
      </c>
      <c r="C2356" s="2" t="str">
        <f>IFERROR(__xludf.DUMMYFUNCTION("""COMPUTED_VALUE"""),"alabon9v@businesswire.com")</f>
        <v>alabon9v@businesswire.com</v>
      </c>
      <c r="D2356" s="4">
        <f>IFERROR(__xludf.DUMMYFUNCTION("""COMPUTED_VALUE"""),116.0)</f>
        <v>116</v>
      </c>
      <c r="E2356" s="4">
        <f>IFERROR(__xludf.DUMMYFUNCTION("""COMPUTED_VALUE"""),31.0)</f>
        <v>31</v>
      </c>
      <c r="F2356" s="4">
        <f>IFERROR(__xludf.DUMMYFUNCTION("""COMPUTED_VALUE"""),11.0)</f>
        <v>11</v>
      </c>
      <c r="G2356" s="4">
        <f>IFERROR(__xludf.DUMMYFUNCTION("""COMPUTED_VALUE"""),1542.0)</f>
        <v>1542</v>
      </c>
      <c r="H2356" s="5">
        <f>IFERROR(__xludf.DUMMYFUNCTION("""COMPUTED_VALUE"""),4446.98)</f>
        <v>4446.98</v>
      </c>
      <c r="I2356" s="5">
        <f>IFERROR(__xludf.DUMMYFUNCTION("""COMPUTED_VALUE"""),5214.43)</f>
        <v>5214.43</v>
      </c>
      <c r="J2356" s="5">
        <f>IFERROR(__xludf.DUMMYFUNCTION("""COMPUTED_VALUE"""),2577.76)</f>
        <v>2577.76</v>
      </c>
      <c r="K2356" s="5">
        <f>IFERROR(__xludf.DUMMYFUNCTION("""COMPUTED_VALUE"""),623.94)</f>
        <v>623.94</v>
      </c>
      <c r="L2356" s="4">
        <f>IFERROR(__xludf.DUMMYFUNCTION("""COMPUTED_VALUE"""),13.0)</f>
        <v>13</v>
      </c>
      <c r="M2356" s="4">
        <f>IFERROR(__xludf.DUMMYFUNCTION("""COMPUTED_VALUE"""),13.0)</f>
        <v>13</v>
      </c>
      <c r="N2356" s="2" t="b">
        <f>IFERROR(__xludf.DUMMYFUNCTION("""COMPUTED_VALUE"""),FALSE)</f>
        <v>0</v>
      </c>
    </row>
    <row r="2357">
      <c r="A2357" s="2">
        <f>IFERROR(__xludf.DUMMYFUNCTION("""COMPUTED_VALUE"""),2356.0)</f>
        <v>2356</v>
      </c>
      <c r="B2357" s="2" t="str">
        <f>IFERROR(__xludf.DUMMYFUNCTION("""COMPUTED_VALUE"""),"Evonne Pafford")</f>
        <v>Evonne Pafford</v>
      </c>
      <c r="C2357" s="2"/>
      <c r="D2357" s="4">
        <f>IFERROR(__xludf.DUMMYFUNCTION("""COMPUTED_VALUE"""),151.0)</f>
        <v>151</v>
      </c>
      <c r="E2357" s="4">
        <f>IFERROR(__xludf.DUMMYFUNCTION("""COMPUTED_VALUE"""),40.0)</f>
        <v>40</v>
      </c>
      <c r="F2357" s="4">
        <f>IFERROR(__xludf.DUMMYFUNCTION("""COMPUTED_VALUE"""),10.0)</f>
        <v>10</v>
      </c>
      <c r="G2357" s="4">
        <f>IFERROR(__xludf.DUMMYFUNCTION("""COMPUTED_VALUE"""),327.0)</f>
        <v>327</v>
      </c>
      <c r="H2357" s="5">
        <f>IFERROR(__xludf.DUMMYFUNCTION("""COMPUTED_VALUE"""),5368.79)</f>
        <v>5368.79</v>
      </c>
      <c r="I2357" s="5">
        <f>IFERROR(__xludf.DUMMYFUNCTION("""COMPUTED_VALUE"""),8185.55)</f>
        <v>8185.55</v>
      </c>
      <c r="J2357" s="5">
        <f>IFERROR(__xludf.DUMMYFUNCTION("""COMPUTED_VALUE"""),9460.04)</f>
        <v>9460.04</v>
      </c>
      <c r="K2357" s="5">
        <f>IFERROR(__xludf.DUMMYFUNCTION("""COMPUTED_VALUE"""),3147.05)</f>
        <v>3147.05</v>
      </c>
      <c r="L2357" s="4">
        <f>IFERROR(__xludf.DUMMYFUNCTION("""COMPUTED_VALUE"""),4.0)</f>
        <v>4</v>
      </c>
      <c r="M2357" s="4">
        <f>IFERROR(__xludf.DUMMYFUNCTION("""COMPUTED_VALUE"""),74.0)</f>
        <v>74</v>
      </c>
      <c r="N2357" s="2" t="b">
        <f>IFERROR(__xludf.DUMMYFUNCTION("""COMPUTED_VALUE"""),FALSE)</f>
        <v>0</v>
      </c>
    </row>
    <row r="2358">
      <c r="A2358" s="2">
        <f>IFERROR(__xludf.DUMMYFUNCTION("""COMPUTED_VALUE"""),2357.0)</f>
        <v>2357</v>
      </c>
      <c r="B2358" s="2" t="str">
        <f>IFERROR(__xludf.DUMMYFUNCTION("""COMPUTED_VALUE"""),"Jeniece Dudding")</f>
        <v>Jeniece Dudding</v>
      </c>
      <c r="C2358" s="2" t="str">
        <f>IFERROR(__xludf.DUMMYFUNCTION("""COMPUTED_VALUE"""),"jdudding9x@army.mil")</f>
        <v>jdudding9x@army.mil</v>
      </c>
      <c r="D2358" s="4">
        <f>IFERROR(__xludf.DUMMYFUNCTION("""COMPUTED_VALUE"""),20.0)</f>
        <v>20</v>
      </c>
      <c r="E2358" s="4">
        <f>IFERROR(__xludf.DUMMYFUNCTION("""COMPUTED_VALUE"""),41.0)</f>
        <v>41</v>
      </c>
      <c r="F2358" s="4">
        <f>IFERROR(__xludf.DUMMYFUNCTION("""COMPUTED_VALUE"""),2.0)</f>
        <v>2</v>
      </c>
      <c r="G2358" s="4">
        <f>IFERROR(__xludf.DUMMYFUNCTION("""COMPUTED_VALUE"""),1286.0)</f>
        <v>1286</v>
      </c>
      <c r="H2358" s="5">
        <f>IFERROR(__xludf.DUMMYFUNCTION("""COMPUTED_VALUE"""),369.15)</f>
        <v>369.15</v>
      </c>
      <c r="I2358" s="5">
        <f>IFERROR(__xludf.DUMMYFUNCTION("""COMPUTED_VALUE"""),8908.46)</f>
        <v>8908.46</v>
      </c>
      <c r="J2358" s="5">
        <f>IFERROR(__xludf.DUMMYFUNCTION("""COMPUTED_VALUE"""),6228.99)</f>
        <v>6228.99</v>
      </c>
      <c r="K2358" s="5">
        <f>IFERROR(__xludf.DUMMYFUNCTION("""COMPUTED_VALUE"""),4179.01)</f>
        <v>4179.01</v>
      </c>
      <c r="L2358" s="4">
        <f>IFERROR(__xludf.DUMMYFUNCTION("""COMPUTED_VALUE"""),17.0)</f>
        <v>17</v>
      </c>
      <c r="M2358" s="4">
        <f>IFERROR(__xludf.DUMMYFUNCTION("""COMPUTED_VALUE"""),78.0)</f>
        <v>78</v>
      </c>
      <c r="N2358" s="2" t="b">
        <f>IFERROR(__xludf.DUMMYFUNCTION("""COMPUTED_VALUE"""),FALSE)</f>
        <v>0</v>
      </c>
    </row>
    <row r="2359">
      <c r="A2359" s="2">
        <f>IFERROR(__xludf.DUMMYFUNCTION("""COMPUTED_VALUE"""),2358.0)</f>
        <v>2358</v>
      </c>
      <c r="B2359" s="2" t="str">
        <f>IFERROR(__xludf.DUMMYFUNCTION("""COMPUTED_VALUE"""),"Tamera Ferrarello")</f>
        <v>Tamera Ferrarello</v>
      </c>
      <c r="C2359" s="2" t="str">
        <f>IFERROR(__xludf.DUMMYFUNCTION("""COMPUTED_VALUE"""),"tferrarello9y@ask.com")</f>
        <v>tferrarello9y@ask.com</v>
      </c>
      <c r="D2359" s="4">
        <f>IFERROR(__xludf.DUMMYFUNCTION("""COMPUTED_VALUE"""),158.0)</f>
        <v>158</v>
      </c>
      <c r="E2359" s="4">
        <f>IFERROR(__xludf.DUMMYFUNCTION("""COMPUTED_VALUE"""),4.0)</f>
        <v>4</v>
      </c>
      <c r="F2359" s="4">
        <f>IFERROR(__xludf.DUMMYFUNCTION("""COMPUTED_VALUE"""),1.0)</f>
        <v>1</v>
      </c>
      <c r="G2359" s="4">
        <f>IFERROR(__xludf.DUMMYFUNCTION("""COMPUTED_VALUE"""),1604.0)</f>
        <v>1604</v>
      </c>
      <c r="H2359" s="5">
        <f>IFERROR(__xludf.DUMMYFUNCTION("""COMPUTED_VALUE"""),49.58)</f>
        <v>49.58</v>
      </c>
      <c r="I2359" s="5">
        <f>IFERROR(__xludf.DUMMYFUNCTION("""COMPUTED_VALUE"""),9111.49)</f>
        <v>9111.49</v>
      </c>
      <c r="J2359" s="5">
        <f>IFERROR(__xludf.DUMMYFUNCTION("""COMPUTED_VALUE"""),4262.62)</f>
        <v>4262.62</v>
      </c>
      <c r="K2359" s="5">
        <f>IFERROR(__xludf.DUMMYFUNCTION("""COMPUTED_VALUE"""),2939.55)</f>
        <v>2939.55</v>
      </c>
      <c r="L2359" s="4">
        <f>IFERROR(__xludf.DUMMYFUNCTION("""COMPUTED_VALUE"""),14.0)</f>
        <v>14</v>
      </c>
      <c r="M2359" s="4">
        <f>IFERROR(__xludf.DUMMYFUNCTION("""COMPUTED_VALUE"""),41.0)</f>
        <v>41</v>
      </c>
      <c r="N2359" s="2" t="b">
        <f>IFERROR(__xludf.DUMMYFUNCTION("""COMPUTED_VALUE"""),TRUE)</f>
        <v>1</v>
      </c>
    </row>
    <row r="2360">
      <c r="A2360" s="2">
        <f>IFERROR(__xludf.DUMMYFUNCTION("""COMPUTED_VALUE"""),2359.0)</f>
        <v>2359</v>
      </c>
      <c r="B2360" s="2" t="str">
        <f>IFERROR(__xludf.DUMMYFUNCTION("""COMPUTED_VALUE"""),"Florance Kitson")</f>
        <v>Florance Kitson</v>
      </c>
      <c r="C2360" s="2" t="str">
        <f>IFERROR(__xludf.DUMMYFUNCTION("""COMPUTED_VALUE"""),"fkitson9z@ezinearticles.com")</f>
        <v>fkitson9z@ezinearticles.com</v>
      </c>
      <c r="D2360" s="4">
        <f>IFERROR(__xludf.DUMMYFUNCTION("""COMPUTED_VALUE"""),38.0)</f>
        <v>38</v>
      </c>
      <c r="E2360" s="4">
        <f>IFERROR(__xludf.DUMMYFUNCTION("""COMPUTED_VALUE"""),90.0)</f>
        <v>90</v>
      </c>
      <c r="F2360" s="4">
        <f>IFERROR(__xludf.DUMMYFUNCTION("""COMPUTED_VALUE"""),2.0)</f>
        <v>2</v>
      </c>
      <c r="G2360" s="4">
        <f>IFERROR(__xludf.DUMMYFUNCTION("""COMPUTED_VALUE"""),1026.0)</f>
        <v>1026</v>
      </c>
      <c r="H2360" s="5">
        <f>IFERROR(__xludf.DUMMYFUNCTION("""COMPUTED_VALUE"""),2926.1)</f>
        <v>2926.1</v>
      </c>
      <c r="I2360" s="5">
        <f>IFERROR(__xludf.DUMMYFUNCTION("""COMPUTED_VALUE"""),1843.55)</f>
        <v>1843.55</v>
      </c>
      <c r="J2360" s="5">
        <f>IFERROR(__xludf.DUMMYFUNCTION("""COMPUTED_VALUE"""),6560.45)</f>
        <v>6560.45</v>
      </c>
      <c r="K2360" s="5">
        <f>IFERROR(__xludf.DUMMYFUNCTION("""COMPUTED_VALUE"""),7760.0)</f>
        <v>7760</v>
      </c>
      <c r="L2360" s="4">
        <f>IFERROR(__xludf.DUMMYFUNCTION("""COMPUTED_VALUE"""),11.0)</f>
        <v>11</v>
      </c>
      <c r="M2360" s="4">
        <f>IFERROR(__xludf.DUMMYFUNCTION("""COMPUTED_VALUE"""),100.0)</f>
        <v>100</v>
      </c>
      <c r="N2360" s="2" t="b">
        <f>IFERROR(__xludf.DUMMYFUNCTION("""COMPUTED_VALUE"""),TRUE)</f>
        <v>1</v>
      </c>
    </row>
    <row r="2361">
      <c r="A2361" s="2">
        <f>IFERROR(__xludf.DUMMYFUNCTION("""COMPUTED_VALUE"""),2360.0)</f>
        <v>2360</v>
      </c>
      <c r="B2361" s="2" t="str">
        <f>IFERROR(__xludf.DUMMYFUNCTION("""COMPUTED_VALUE"""),"Rik Dockray")</f>
        <v>Rik Dockray</v>
      </c>
      <c r="C2361" s="2" t="str">
        <f>IFERROR(__xludf.DUMMYFUNCTION("""COMPUTED_VALUE"""),"rdockraya0@biglobe.ne.jp")</f>
        <v>rdockraya0@biglobe.ne.jp</v>
      </c>
      <c r="D2361" s="4">
        <f>IFERROR(__xludf.DUMMYFUNCTION("""COMPUTED_VALUE"""),102.0)</f>
        <v>102</v>
      </c>
      <c r="E2361" s="4">
        <f>IFERROR(__xludf.DUMMYFUNCTION("""COMPUTED_VALUE"""),84.0)</f>
        <v>84</v>
      </c>
      <c r="F2361" s="4">
        <f>IFERROR(__xludf.DUMMYFUNCTION("""COMPUTED_VALUE"""),8.0)</f>
        <v>8</v>
      </c>
      <c r="G2361" s="4">
        <f>IFERROR(__xludf.DUMMYFUNCTION("""COMPUTED_VALUE"""),157.0)</f>
        <v>157</v>
      </c>
      <c r="H2361" s="5">
        <f>IFERROR(__xludf.DUMMYFUNCTION("""COMPUTED_VALUE"""),8398.06)</f>
        <v>8398.06</v>
      </c>
      <c r="I2361" s="5">
        <f>IFERROR(__xludf.DUMMYFUNCTION("""COMPUTED_VALUE"""),9227.48)</f>
        <v>9227.48</v>
      </c>
      <c r="J2361" s="5">
        <f>IFERROR(__xludf.DUMMYFUNCTION("""COMPUTED_VALUE"""),6609.47)</f>
        <v>6609.47</v>
      </c>
      <c r="K2361" s="5">
        <f>IFERROR(__xludf.DUMMYFUNCTION("""COMPUTED_VALUE"""),7807.72)</f>
        <v>7807.72</v>
      </c>
      <c r="L2361" s="4">
        <f>IFERROR(__xludf.DUMMYFUNCTION("""COMPUTED_VALUE"""),14.0)</f>
        <v>14</v>
      </c>
      <c r="M2361" s="4">
        <f>IFERROR(__xludf.DUMMYFUNCTION("""COMPUTED_VALUE"""),53.0)</f>
        <v>53</v>
      </c>
      <c r="N2361" s="2" t="b">
        <f>IFERROR(__xludf.DUMMYFUNCTION("""COMPUTED_VALUE"""),FALSE)</f>
        <v>0</v>
      </c>
    </row>
    <row r="2362">
      <c r="A2362" s="2">
        <f>IFERROR(__xludf.DUMMYFUNCTION("""COMPUTED_VALUE"""),2361.0)</f>
        <v>2361</v>
      </c>
      <c r="B2362" s="2" t="str">
        <f>IFERROR(__xludf.DUMMYFUNCTION("""COMPUTED_VALUE"""),"Alexandre Yanuk")</f>
        <v>Alexandre Yanuk</v>
      </c>
      <c r="C2362" s="2"/>
      <c r="D2362" s="4">
        <f>IFERROR(__xludf.DUMMYFUNCTION("""COMPUTED_VALUE"""),122.0)</f>
        <v>122</v>
      </c>
      <c r="E2362" s="4">
        <f>IFERROR(__xludf.DUMMYFUNCTION("""COMPUTED_VALUE"""),61.0)</f>
        <v>61</v>
      </c>
      <c r="F2362" s="4">
        <f>IFERROR(__xludf.DUMMYFUNCTION("""COMPUTED_VALUE"""),11.0)</f>
        <v>11</v>
      </c>
      <c r="G2362" s="4">
        <f>IFERROR(__xludf.DUMMYFUNCTION("""COMPUTED_VALUE"""),776.0)</f>
        <v>776</v>
      </c>
      <c r="H2362" s="5">
        <f>IFERROR(__xludf.DUMMYFUNCTION("""COMPUTED_VALUE"""),3483.63)</f>
        <v>3483.63</v>
      </c>
      <c r="I2362" s="5">
        <f>IFERROR(__xludf.DUMMYFUNCTION("""COMPUTED_VALUE"""),2243.78)</f>
        <v>2243.78</v>
      </c>
      <c r="J2362" s="5">
        <f>IFERROR(__xludf.DUMMYFUNCTION("""COMPUTED_VALUE"""),6442.91)</f>
        <v>6442.91</v>
      </c>
      <c r="K2362" s="5">
        <f>IFERROR(__xludf.DUMMYFUNCTION("""COMPUTED_VALUE"""),8942.62)</f>
        <v>8942.62</v>
      </c>
      <c r="L2362" s="4">
        <f>IFERROR(__xludf.DUMMYFUNCTION("""COMPUTED_VALUE"""),9.0)</f>
        <v>9</v>
      </c>
      <c r="M2362" s="4">
        <f>IFERROR(__xludf.DUMMYFUNCTION("""COMPUTED_VALUE"""),52.0)</f>
        <v>52</v>
      </c>
      <c r="N2362" s="2" t="b">
        <f>IFERROR(__xludf.DUMMYFUNCTION("""COMPUTED_VALUE"""),FALSE)</f>
        <v>0</v>
      </c>
    </row>
    <row r="2363">
      <c r="A2363" s="2">
        <f>IFERROR(__xludf.DUMMYFUNCTION("""COMPUTED_VALUE"""),2362.0)</f>
        <v>2362</v>
      </c>
      <c r="B2363" s="2" t="str">
        <f>IFERROR(__xludf.DUMMYFUNCTION("""COMPUTED_VALUE"""),"Gardy Djurkovic")</f>
        <v>Gardy Djurkovic</v>
      </c>
      <c r="C2363" s="2" t="str">
        <f>IFERROR(__xludf.DUMMYFUNCTION("""COMPUTED_VALUE"""),"gdjurkovica2@jugem.jp")</f>
        <v>gdjurkovica2@jugem.jp</v>
      </c>
      <c r="D2363" s="4">
        <f>IFERROR(__xludf.DUMMYFUNCTION("""COMPUTED_VALUE"""),22.0)</f>
        <v>22</v>
      </c>
      <c r="E2363" s="4">
        <f>IFERROR(__xludf.DUMMYFUNCTION("""COMPUTED_VALUE"""),22.0)</f>
        <v>22</v>
      </c>
      <c r="F2363" s="4">
        <f>IFERROR(__xludf.DUMMYFUNCTION("""COMPUTED_VALUE"""),4.0)</f>
        <v>4</v>
      </c>
      <c r="G2363" s="4">
        <f>IFERROR(__xludf.DUMMYFUNCTION("""COMPUTED_VALUE"""),112.0)</f>
        <v>112</v>
      </c>
      <c r="H2363" s="5">
        <f>IFERROR(__xludf.DUMMYFUNCTION("""COMPUTED_VALUE"""),6289.41)</f>
        <v>6289.41</v>
      </c>
      <c r="I2363" s="5">
        <f>IFERROR(__xludf.DUMMYFUNCTION("""COMPUTED_VALUE"""),2592.61)</f>
        <v>2592.61</v>
      </c>
      <c r="J2363" s="5">
        <f>IFERROR(__xludf.DUMMYFUNCTION("""COMPUTED_VALUE"""),6972.6)</f>
        <v>6972.6</v>
      </c>
      <c r="K2363" s="5">
        <f>IFERROR(__xludf.DUMMYFUNCTION("""COMPUTED_VALUE"""),8212.08)</f>
        <v>8212.08</v>
      </c>
      <c r="L2363" s="4">
        <f>IFERROR(__xludf.DUMMYFUNCTION("""COMPUTED_VALUE"""),11.0)</f>
        <v>11</v>
      </c>
      <c r="M2363" s="4">
        <f>IFERROR(__xludf.DUMMYFUNCTION("""COMPUTED_VALUE"""),98.0)</f>
        <v>98</v>
      </c>
      <c r="N2363" s="2" t="b">
        <f>IFERROR(__xludf.DUMMYFUNCTION("""COMPUTED_VALUE"""),FALSE)</f>
        <v>0</v>
      </c>
    </row>
    <row r="2364">
      <c r="A2364" s="2">
        <f>IFERROR(__xludf.DUMMYFUNCTION("""COMPUTED_VALUE"""),2363.0)</f>
        <v>2363</v>
      </c>
      <c r="B2364" s="2" t="str">
        <f>IFERROR(__xludf.DUMMYFUNCTION("""COMPUTED_VALUE"""),"Hakeem Kenealy")</f>
        <v>Hakeem Kenealy</v>
      </c>
      <c r="C2364" s="2" t="str">
        <f>IFERROR(__xludf.DUMMYFUNCTION("""COMPUTED_VALUE"""),"hkenealya3@uiuc.edu")</f>
        <v>hkenealya3@uiuc.edu</v>
      </c>
      <c r="D2364" s="4">
        <f>IFERROR(__xludf.DUMMYFUNCTION("""COMPUTED_VALUE"""),118.0)</f>
        <v>118</v>
      </c>
      <c r="E2364" s="4">
        <f>IFERROR(__xludf.DUMMYFUNCTION("""COMPUTED_VALUE"""),79.0)</f>
        <v>79</v>
      </c>
      <c r="F2364" s="4">
        <f>IFERROR(__xludf.DUMMYFUNCTION("""COMPUTED_VALUE"""),12.0)</f>
        <v>12</v>
      </c>
      <c r="G2364" s="4">
        <f>IFERROR(__xludf.DUMMYFUNCTION("""COMPUTED_VALUE"""),497.0)</f>
        <v>497</v>
      </c>
      <c r="H2364" s="5">
        <f>IFERROR(__xludf.DUMMYFUNCTION("""COMPUTED_VALUE"""),5126.06)</f>
        <v>5126.06</v>
      </c>
      <c r="I2364" s="5">
        <f>IFERROR(__xludf.DUMMYFUNCTION("""COMPUTED_VALUE"""),9408.41)</f>
        <v>9408.41</v>
      </c>
      <c r="J2364" s="5">
        <f>IFERROR(__xludf.DUMMYFUNCTION("""COMPUTED_VALUE"""),1536.01)</f>
        <v>1536.01</v>
      </c>
      <c r="K2364" s="5">
        <f>IFERROR(__xludf.DUMMYFUNCTION("""COMPUTED_VALUE"""),9873.06)</f>
        <v>9873.06</v>
      </c>
      <c r="L2364" s="4">
        <f>IFERROR(__xludf.DUMMYFUNCTION("""COMPUTED_VALUE"""),7.0)</f>
        <v>7</v>
      </c>
      <c r="M2364" s="4">
        <f>IFERROR(__xludf.DUMMYFUNCTION("""COMPUTED_VALUE"""),15.0)</f>
        <v>15</v>
      </c>
      <c r="N2364" s="2" t="b">
        <f>IFERROR(__xludf.DUMMYFUNCTION("""COMPUTED_VALUE"""),TRUE)</f>
        <v>1</v>
      </c>
    </row>
    <row r="2365">
      <c r="A2365" s="2">
        <f>IFERROR(__xludf.DUMMYFUNCTION("""COMPUTED_VALUE"""),2364.0)</f>
        <v>2364</v>
      </c>
      <c r="B2365" s="2" t="str">
        <f>IFERROR(__xludf.DUMMYFUNCTION("""COMPUTED_VALUE"""),"Alli Maryott")</f>
        <v>Alli Maryott</v>
      </c>
      <c r="C2365" s="2"/>
      <c r="D2365" s="4">
        <f>IFERROR(__xludf.DUMMYFUNCTION("""COMPUTED_VALUE"""),9.0)</f>
        <v>9</v>
      </c>
      <c r="E2365" s="4">
        <f>IFERROR(__xludf.DUMMYFUNCTION("""COMPUTED_VALUE"""),76.0)</f>
        <v>76</v>
      </c>
      <c r="F2365" s="4">
        <f>IFERROR(__xludf.DUMMYFUNCTION("""COMPUTED_VALUE"""),2.0)</f>
        <v>2</v>
      </c>
      <c r="G2365" s="4">
        <f>IFERROR(__xludf.DUMMYFUNCTION("""COMPUTED_VALUE"""),824.0)</f>
        <v>824</v>
      </c>
      <c r="H2365" s="5">
        <f>IFERROR(__xludf.DUMMYFUNCTION("""COMPUTED_VALUE"""),4707.36)</f>
        <v>4707.36</v>
      </c>
      <c r="I2365" s="5">
        <f>IFERROR(__xludf.DUMMYFUNCTION("""COMPUTED_VALUE"""),4741.28)</f>
        <v>4741.28</v>
      </c>
      <c r="J2365" s="5">
        <f>IFERROR(__xludf.DUMMYFUNCTION("""COMPUTED_VALUE"""),1689.82)</f>
        <v>1689.82</v>
      </c>
      <c r="K2365" s="5">
        <f>IFERROR(__xludf.DUMMYFUNCTION("""COMPUTED_VALUE"""),9373.88)</f>
        <v>9373.88</v>
      </c>
      <c r="L2365" s="4">
        <f>IFERROR(__xludf.DUMMYFUNCTION("""COMPUTED_VALUE"""),10.0)</f>
        <v>10</v>
      </c>
      <c r="M2365" s="4">
        <f>IFERROR(__xludf.DUMMYFUNCTION("""COMPUTED_VALUE"""),18.0)</f>
        <v>18</v>
      </c>
      <c r="N2365" s="2" t="b">
        <f>IFERROR(__xludf.DUMMYFUNCTION("""COMPUTED_VALUE"""),TRUE)</f>
        <v>1</v>
      </c>
    </row>
    <row r="2366">
      <c r="A2366" s="2">
        <f>IFERROR(__xludf.DUMMYFUNCTION("""COMPUTED_VALUE"""),2365.0)</f>
        <v>2365</v>
      </c>
      <c r="B2366" s="2" t="str">
        <f>IFERROR(__xludf.DUMMYFUNCTION("""COMPUTED_VALUE"""),"Farrell Shipway")</f>
        <v>Farrell Shipway</v>
      </c>
      <c r="C2366" s="2"/>
      <c r="D2366" s="4">
        <f>IFERROR(__xludf.DUMMYFUNCTION("""COMPUTED_VALUE"""),97.0)</f>
        <v>97</v>
      </c>
      <c r="E2366" s="4">
        <f>IFERROR(__xludf.DUMMYFUNCTION("""COMPUTED_VALUE"""),8.0)</f>
        <v>8</v>
      </c>
      <c r="F2366" s="4">
        <f>IFERROR(__xludf.DUMMYFUNCTION("""COMPUTED_VALUE"""),6.0)</f>
        <v>6</v>
      </c>
      <c r="G2366" s="4">
        <f>IFERROR(__xludf.DUMMYFUNCTION("""COMPUTED_VALUE"""),193.0)</f>
        <v>193</v>
      </c>
      <c r="H2366" s="5">
        <f>IFERROR(__xludf.DUMMYFUNCTION("""COMPUTED_VALUE"""),9080.56)</f>
        <v>9080.56</v>
      </c>
      <c r="I2366" s="5">
        <f>IFERROR(__xludf.DUMMYFUNCTION("""COMPUTED_VALUE"""),9425.79)</f>
        <v>9425.79</v>
      </c>
      <c r="J2366" s="5">
        <f>IFERROR(__xludf.DUMMYFUNCTION("""COMPUTED_VALUE"""),119.26)</f>
        <v>119.26</v>
      </c>
      <c r="K2366" s="5">
        <f>IFERROR(__xludf.DUMMYFUNCTION("""COMPUTED_VALUE"""),686.54)</f>
        <v>686.54</v>
      </c>
      <c r="L2366" s="4">
        <f>IFERROR(__xludf.DUMMYFUNCTION("""COMPUTED_VALUE"""),2.0)</f>
        <v>2</v>
      </c>
      <c r="M2366" s="4">
        <f>IFERROR(__xludf.DUMMYFUNCTION("""COMPUTED_VALUE"""),2.0)</f>
        <v>2</v>
      </c>
      <c r="N2366" s="2" t="b">
        <f>IFERROR(__xludf.DUMMYFUNCTION("""COMPUTED_VALUE"""),FALSE)</f>
        <v>0</v>
      </c>
    </row>
    <row r="2367">
      <c r="A2367" s="2">
        <f>IFERROR(__xludf.DUMMYFUNCTION("""COMPUTED_VALUE"""),2366.0)</f>
        <v>2366</v>
      </c>
      <c r="B2367" s="2" t="str">
        <f>IFERROR(__xludf.DUMMYFUNCTION("""COMPUTED_VALUE"""),"Lorelle Yorkston")</f>
        <v>Lorelle Yorkston</v>
      </c>
      <c r="C2367" s="2" t="str">
        <f>IFERROR(__xludf.DUMMYFUNCTION("""COMPUTED_VALUE"""),"lyorkstona6@gizmodo.com")</f>
        <v>lyorkstona6@gizmodo.com</v>
      </c>
      <c r="D2367" s="4">
        <f>IFERROR(__xludf.DUMMYFUNCTION("""COMPUTED_VALUE"""),119.0)</f>
        <v>119</v>
      </c>
      <c r="E2367" s="4">
        <f>IFERROR(__xludf.DUMMYFUNCTION("""COMPUTED_VALUE"""),6.0)</f>
        <v>6</v>
      </c>
      <c r="F2367" s="4">
        <f>IFERROR(__xludf.DUMMYFUNCTION("""COMPUTED_VALUE"""),3.0)</f>
        <v>3</v>
      </c>
      <c r="G2367" s="4">
        <f>IFERROR(__xludf.DUMMYFUNCTION("""COMPUTED_VALUE"""),724.0)</f>
        <v>724</v>
      </c>
      <c r="H2367" s="5">
        <f>IFERROR(__xludf.DUMMYFUNCTION("""COMPUTED_VALUE"""),6476.56)</f>
        <v>6476.56</v>
      </c>
      <c r="I2367" s="5">
        <f>IFERROR(__xludf.DUMMYFUNCTION("""COMPUTED_VALUE"""),8860.41)</f>
        <v>8860.41</v>
      </c>
      <c r="J2367" s="5">
        <f>IFERROR(__xludf.DUMMYFUNCTION("""COMPUTED_VALUE"""),6426.91)</f>
        <v>6426.91</v>
      </c>
      <c r="K2367" s="5">
        <f>IFERROR(__xludf.DUMMYFUNCTION("""COMPUTED_VALUE"""),924.76)</f>
        <v>924.76</v>
      </c>
      <c r="L2367" s="4">
        <f>IFERROR(__xludf.DUMMYFUNCTION("""COMPUTED_VALUE"""),15.0)</f>
        <v>15</v>
      </c>
      <c r="M2367" s="4">
        <f>IFERROR(__xludf.DUMMYFUNCTION("""COMPUTED_VALUE"""),33.0)</f>
        <v>33</v>
      </c>
      <c r="N2367" s="2" t="b">
        <f>IFERROR(__xludf.DUMMYFUNCTION("""COMPUTED_VALUE"""),FALSE)</f>
        <v>0</v>
      </c>
    </row>
    <row r="2368">
      <c r="A2368" s="2">
        <f>IFERROR(__xludf.DUMMYFUNCTION("""COMPUTED_VALUE"""),2367.0)</f>
        <v>2367</v>
      </c>
      <c r="B2368" s="2" t="str">
        <f>IFERROR(__xludf.DUMMYFUNCTION("""COMPUTED_VALUE"""),"Jody Eberst")</f>
        <v>Jody Eberst</v>
      </c>
      <c r="C2368" s="2" t="str">
        <f>IFERROR(__xludf.DUMMYFUNCTION("""COMPUTED_VALUE"""),"jebersta7@epa.gov")</f>
        <v>jebersta7@epa.gov</v>
      </c>
      <c r="D2368" s="4">
        <f>IFERROR(__xludf.DUMMYFUNCTION("""COMPUTED_VALUE"""),24.0)</f>
        <v>24</v>
      </c>
      <c r="E2368" s="4">
        <f>IFERROR(__xludf.DUMMYFUNCTION("""COMPUTED_VALUE"""),91.0)</f>
        <v>91</v>
      </c>
      <c r="F2368" s="4">
        <f>IFERROR(__xludf.DUMMYFUNCTION("""COMPUTED_VALUE"""),3.0)</f>
        <v>3</v>
      </c>
      <c r="G2368" s="4">
        <f>IFERROR(__xludf.DUMMYFUNCTION("""COMPUTED_VALUE"""),1586.0)</f>
        <v>1586</v>
      </c>
      <c r="H2368" s="5">
        <f>IFERROR(__xludf.DUMMYFUNCTION("""COMPUTED_VALUE"""),6161.34)</f>
        <v>6161.34</v>
      </c>
      <c r="I2368" s="5">
        <f>IFERROR(__xludf.DUMMYFUNCTION("""COMPUTED_VALUE"""),9447.09)</f>
        <v>9447.09</v>
      </c>
      <c r="J2368" s="5">
        <f>IFERROR(__xludf.DUMMYFUNCTION("""COMPUTED_VALUE"""),9652.76)</f>
        <v>9652.76</v>
      </c>
      <c r="K2368" s="5">
        <f>IFERROR(__xludf.DUMMYFUNCTION("""COMPUTED_VALUE"""),7997.36)</f>
        <v>7997.36</v>
      </c>
      <c r="L2368" s="4">
        <f>IFERROR(__xludf.DUMMYFUNCTION("""COMPUTED_VALUE"""),7.0)</f>
        <v>7</v>
      </c>
      <c r="M2368" s="4">
        <f>IFERROR(__xludf.DUMMYFUNCTION("""COMPUTED_VALUE"""),76.0)</f>
        <v>76</v>
      </c>
      <c r="N2368" s="2" t="b">
        <f>IFERROR(__xludf.DUMMYFUNCTION("""COMPUTED_VALUE"""),FALSE)</f>
        <v>0</v>
      </c>
    </row>
    <row r="2369">
      <c r="A2369" s="2">
        <f>IFERROR(__xludf.DUMMYFUNCTION("""COMPUTED_VALUE"""),2368.0)</f>
        <v>2368</v>
      </c>
      <c r="B2369" s="2" t="str">
        <f>IFERROR(__xludf.DUMMYFUNCTION("""COMPUTED_VALUE"""),"Cyrillus Cahill")</f>
        <v>Cyrillus Cahill</v>
      </c>
      <c r="C2369" s="2" t="str">
        <f>IFERROR(__xludf.DUMMYFUNCTION("""COMPUTED_VALUE"""),"ccahilla8@census.gov")</f>
        <v>ccahilla8@census.gov</v>
      </c>
      <c r="D2369" s="4">
        <f>IFERROR(__xludf.DUMMYFUNCTION("""COMPUTED_VALUE"""),47.0)</f>
        <v>47</v>
      </c>
      <c r="E2369" s="4">
        <f>IFERROR(__xludf.DUMMYFUNCTION("""COMPUTED_VALUE"""),104.0)</f>
        <v>104</v>
      </c>
      <c r="F2369" s="4">
        <f>IFERROR(__xludf.DUMMYFUNCTION("""COMPUTED_VALUE"""),10.0)</f>
        <v>10</v>
      </c>
      <c r="G2369" s="4">
        <f>IFERROR(__xludf.DUMMYFUNCTION("""COMPUTED_VALUE"""),1335.0)</f>
        <v>1335</v>
      </c>
      <c r="H2369" s="5">
        <f>IFERROR(__xludf.DUMMYFUNCTION("""COMPUTED_VALUE"""),2417.99)</f>
        <v>2417.99</v>
      </c>
      <c r="I2369" s="5">
        <f>IFERROR(__xludf.DUMMYFUNCTION("""COMPUTED_VALUE"""),5716.15)</f>
        <v>5716.15</v>
      </c>
      <c r="J2369" s="5">
        <f>IFERROR(__xludf.DUMMYFUNCTION("""COMPUTED_VALUE"""),8730.6)</f>
        <v>8730.6</v>
      </c>
      <c r="K2369" s="5">
        <f>IFERROR(__xludf.DUMMYFUNCTION("""COMPUTED_VALUE"""),9097.77)</f>
        <v>9097.77</v>
      </c>
      <c r="L2369" s="4">
        <f>IFERROR(__xludf.DUMMYFUNCTION("""COMPUTED_VALUE"""),2.0)</f>
        <v>2</v>
      </c>
      <c r="M2369" s="4">
        <f>IFERROR(__xludf.DUMMYFUNCTION("""COMPUTED_VALUE"""),13.0)</f>
        <v>13</v>
      </c>
      <c r="N2369" s="2" t="b">
        <f>IFERROR(__xludf.DUMMYFUNCTION("""COMPUTED_VALUE"""),TRUE)</f>
        <v>1</v>
      </c>
    </row>
    <row r="2370">
      <c r="A2370" s="2">
        <f>IFERROR(__xludf.DUMMYFUNCTION("""COMPUTED_VALUE"""),2369.0)</f>
        <v>2369</v>
      </c>
      <c r="B2370" s="2" t="str">
        <f>IFERROR(__xludf.DUMMYFUNCTION("""COMPUTED_VALUE"""),"Jeremias Algy")</f>
        <v>Jeremias Algy</v>
      </c>
      <c r="C2370" s="2" t="str">
        <f>IFERROR(__xludf.DUMMYFUNCTION("""COMPUTED_VALUE"""),"jalgya9@joomla.org")</f>
        <v>jalgya9@joomla.org</v>
      </c>
      <c r="D2370" s="4">
        <f>IFERROR(__xludf.DUMMYFUNCTION("""COMPUTED_VALUE"""),113.0)</f>
        <v>113</v>
      </c>
      <c r="E2370" s="4">
        <f>IFERROR(__xludf.DUMMYFUNCTION("""COMPUTED_VALUE"""),40.0)</f>
        <v>40</v>
      </c>
      <c r="F2370" s="4">
        <f>IFERROR(__xludf.DUMMYFUNCTION("""COMPUTED_VALUE"""),6.0)</f>
        <v>6</v>
      </c>
      <c r="G2370" s="4">
        <f>IFERROR(__xludf.DUMMYFUNCTION("""COMPUTED_VALUE"""),826.0)</f>
        <v>826</v>
      </c>
      <c r="H2370" s="5">
        <f>IFERROR(__xludf.DUMMYFUNCTION("""COMPUTED_VALUE"""),1754.86)</f>
        <v>1754.86</v>
      </c>
      <c r="I2370" s="5">
        <f>IFERROR(__xludf.DUMMYFUNCTION("""COMPUTED_VALUE"""),101.59)</f>
        <v>101.59</v>
      </c>
      <c r="J2370" s="5">
        <f>IFERROR(__xludf.DUMMYFUNCTION("""COMPUTED_VALUE"""),5147.31)</f>
        <v>5147.31</v>
      </c>
      <c r="K2370" s="5">
        <f>IFERROR(__xludf.DUMMYFUNCTION("""COMPUTED_VALUE"""),748.88)</f>
        <v>748.88</v>
      </c>
      <c r="L2370" s="4">
        <f>IFERROR(__xludf.DUMMYFUNCTION("""COMPUTED_VALUE"""),5.0)</f>
        <v>5</v>
      </c>
      <c r="M2370" s="4">
        <f>IFERROR(__xludf.DUMMYFUNCTION("""COMPUTED_VALUE"""),53.0)</f>
        <v>53</v>
      </c>
      <c r="N2370" s="2" t="b">
        <f>IFERROR(__xludf.DUMMYFUNCTION("""COMPUTED_VALUE"""),FALSE)</f>
        <v>0</v>
      </c>
    </row>
    <row r="2371">
      <c r="A2371" s="2">
        <f>IFERROR(__xludf.DUMMYFUNCTION("""COMPUTED_VALUE"""),2370.0)</f>
        <v>2370</v>
      </c>
      <c r="B2371" s="2" t="str">
        <f>IFERROR(__xludf.DUMMYFUNCTION("""COMPUTED_VALUE"""),"Tildie Sallery")</f>
        <v>Tildie Sallery</v>
      </c>
      <c r="C2371" s="2"/>
      <c r="D2371" s="4">
        <f>IFERROR(__xludf.DUMMYFUNCTION("""COMPUTED_VALUE"""),101.0)</f>
        <v>101</v>
      </c>
      <c r="E2371" s="4">
        <f>IFERROR(__xludf.DUMMYFUNCTION("""COMPUTED_VALUE"""),6.0)</f>
        <v>6</v>
      </c>
      <c r="F2371" s="4">
        <f>IFERROR(__xludf.DUMMYFUNCTION("""COMPUTED_VALUE"""),8.0)</f>
        <v>8</v>
      </c>
      <c r="G2371" s="4">
        <f>IFERROR(__xludf.DUMMYFUNCTION("""COMPUTED_VALUE"""),1129.0)</f>
        <v>1129</v>
      </c>
      <c r="H2371" s="5">
        <f>IFERROR(__xludf.DUMMYFUNCTION("""COMPUTED_VALUE"""),9421.58)</f>
        <v>9421.58</v>
      </c>
      <c r="I2371" s="5">
        <f>IFERROR(__xludf.DUMMYFUNCTION("""COMPUTED_VALUE"""),7447.69)</f>
        <v>7447.69</v>
      </c>
      <c r="J2371" s="5">
        <f>IFERROR(__xludf.DUMMYFUNCTION("""COMPUTED_VALUE"""),5725.41)</f>
        <v>5725.41</v>
      </c>
      <c r="K2371" s="5">
        <f>IFERROR(__xludf.DUMMYFUNCTION("""COMPUTED_VALUE"""),6888.84)</f>
        <v>6888.84</v>
      </c>
      <c r="L2371" s="4">
        <f>IFERROR(__xludf.DUMMYFUNCTION("""COMPUTED_VALUE"""),16.0)</f>
        <v>16</v>
      </c>
      <c r="M2371" s="4">
        <f>IFERROR(__xludf.DUMMYFUNCTION("""COMPUTED_VALUE"""),21.0)</f>
        <v>21</v>
      </c>
      <c r="N2371" s="2" t="b">
        <f>IFERROR(__xludf.DUMMYFUNCTION("""COMPUTED_VALUE"""),TRUE)</f>
        <v>1</v>
      </c>
    </row>
    <row r="2372">
      <c r="A2372" s="2">
        <f>IFERROR(__xludf.DUMMYFUNCTION("""COMPUTED_VALUE"""),2371.0)</f>
        <v>2371</v>
      </c>
      <c r="B2372" s="2" t="str">
        <f>IFERROR(__xludf.DUMMYFUNCTION("""COMPUTED_VALUE"""),"Freeland Dalwood")</f>
        <v>Freeland Dalwood</v>
      </c>
      <c r="C2372" s="2"/>
      <c r="D2372" s="4">
        <f>IFERROR(__xludf.DUMMYFUNCTION("""COMPUTED_VALUE"""),149.0)</f>
        <v>149</v>
      </c>
      <c r="E2372" s="4">
        <f>IFERROR(__xludf.DUMMYFUNCTION("""COMPUTED_VALUE"""),101.0)</f>
        <v>101</v>
      </c>
      <c r="F2372" s="4">
        <f>IFERROR(__xludf.DUMMYFUNCTION("""COMPUTED_VALUE"""),2.0)</f>
        <v>2</v>
      </c>
      <c r="G2372" s="4">
        <f>IFERROR(__xludf.DUMMYFUNCTION("""COMPUTED_VALUE"""),504.0)</f>
        <v>504</v>
      </c>
      <c r="H2372" s="5">
        <f>IFERROR(__xludf.DUMMYFUNCTION("""COMPUTED_VALUE"""),8984.39)</f>
        <v>8984.39</v>
      </c>
      <c r="I2372" s="5">
        <f>IFERROR(__xludf.DUMMYFUNCTION("""COMPUTED_VALUE"""),6300.07)</f>
        <v>6300.07</v>
      </c>
      <c r="J2372" s="5">
        <f>IFERROR(__xludf.DUMMYFUNCTION("""COMPUTED_VALUE"""),8563.36)</f>
        <v>8563.36</v>
      </c>
      <c r="K2372" s="5">
        <f>IFERROR(__xludf.DUMMYFUNCTION("""COMPUTED_VALUE"""),891.08)</f>
        <v>891.08</v>
      </c>
      <c r="L2372" s="4">
        <f>IFERROR(__xludf.DUMMYFUNCTION("""COMPUTED_VALUE"""),15.0)</f>
        <v>15</v>
      </c>
      <c r="M2372" s="4">
        <f>IFERROR(__xludf.DUMMYFUNCTION("""COMPUTED_VALUE"""),61.0)</f>
        <v>61</v>
      </c>
      <c r="N2372" s="2" t="b">
        <f>IFERROR(__xludf.DUMMYFUNCTION("""COMPUTED_VALUE"""),TRUE)</f>
        <v>1</v>
      </c>
    </row>
    <row r="2373">
      <c r="A2373" s="2">
        <f>IFERROR(__xludf.DUMMYFUNCTION("""COMPUTED_VALUE"""),2372.0)</f>
        <v>2372</v>
      </c>
      <c r="B2373" s="2" t="str">
        <f>IFERROR(__xludf.DUMMYFUNCTION("""COMPUTED_VALUE"""),"Ingelbert Lettice")</f>
        <v>Ingelbert Lettice</v>
      </c>
      <c r="C2373" s="2"/>
      <c r="D2373" s="4">
        <f>IFERROR(__xludf.DUMMYFUNCTION("""COMPUTED_VALUE"""),122.0)</f>
        <v>122</v>
      </c>
      <c r="E2373" s="4">
        <f>IFERROR(__xludf.DUMMYFUNCTION("""COMPUTED_VALUE"""),92.0)</f>
        <v>92</v>
      </c>
      <c r="F2373" s="4">
        <f>IFERROR(__xludf.DUMMYFUNCTION("""COMPUTED_VALUE"""),7.0)</f>
        <v>7</v>
      </c>
      <c r="G2373" s="4">
        <f>IFERROR(__xludf.DUMMYFUNCTION("""COMPUTED_VALUE"""),1148.0)</f>
        <v>1148</v>
      </c>
      <c r="H2373" s="5">
        <f>IFERROR(__xludf.DUMMYFUNCTION("""COMPUTED_VALUE"""),1671.8)</f>
        <v>1671.8</v>
      </c>
      <c r="I2373" s="5">
        <f>IFERROR(__xludf.DUMMYFUNCTION("""COMPUTED_VALUE"""),1006.99)</f>
        <v>1006.99</v>
      </c>
      <c r="J2373" s="5">
        <f>IFERROR(__xludf.DUMMYFUNCTION("""COMPUTED_VALUE"""),9736.22)</f>
        <v>9736.22</v>
      </c>
      <c r="K2373" s="5">
        <f>IFERROR(__xludf.DUMMYFUNCTION("""COMPUTED_VALUE"""),8190.45)</f>
        <v>8190.45</v>
      </c>
      <c r="L2373" s="4">
        <f>IFERROR(__xludf.DUMMYFUNCTION("""COMPUTED_VALUE"""),9.0)</f>
        <v>9</v>
      </c>
      <c r="M2373" s="4">
        <f>IFERROR(__xludf.DUMMYFUNCTION("""COMPUTED_VALUE"""),78.0)</f>
        <v>78</v>
      </c>
      <c r="N2373" s="2" t="b">
        <f>IFERROR(__xludf.DUMMYFUNCTION("""COMPUTED_VALUE"""),FALSE)</f>
        <v>0</v>
      </c>
    </row>
    <row r="2374">
      <c r="A2374" s="2">
        <f>IFERROR(__xludf.DUMMYFUNCTION("""COMPUTED_VALUE"""),2373.0)</f>
        <v>2373</v>
      </c>
      <c r="B2374" s="2" t="str">
        <f>IFERROR(__xludf.DUMMYFUNCTION("""COMPUTED_VALUE"""),"Lora Loines")</f>
        <v>Lora Loines</v>
      </c>
      <c r="C2374" s="2"/>
      <c r="D2374" s="4">
        <f>IFERROR(__xludf.DUMMYFUNCTION("""COMPUTED_VALUE"""),81.0)</f>
        <v>81</v>
      </c>
      <c r="E2374" s="4">
        <f>IFERROR(__xludf.DUMMYFUNCTION("""COMPUTED_VALUE"""),124.0)</f>
        <v>124</v>
      </c>
      <c r="F2374" s="4">
        <f>IFERROR(__xludf.DUMMYFUNCTION("""COMPUTED_VALUE"""),2.0)</f>
        <v>2</v>
      </c>
      <c r="G2374" s="4">
        <f>IFERROR(__xludf.DUMMYFUNCTION("""COMPUTED_VALUE"""),1227.0)</f>
        <v>1227</v>
      </c>
      <c r="H2374" s="5">
        <f>IFERROR(__xludf.DUMMYFUNCTION("""COMPUTED_VALUE"""),1376.26)</f>
        <v>1376.26</v>
      </c>
      <c r="I2374" s="5">
        <f>IFERROR(__xludf.DUMMYFUNCTION("""COMPUTED_VALUE"""),7202.3)</f>
        <v>7202.3</v>
      </c>
      <c r="J2374" s="5">
        <f>IFERROR(__xludf.DUMMYFUNCTION("""COMPUTED_VALUE"""),7323.14)</f>
        <v>7323.14</v>
      </c>
      <c r="K2374" s="5">
        <f>IFERROR(__xludf.DUMMYFUNCTION("""COMPUTED_VALUE"""),5333.7)</f>
        <v>5333.7</v>
      </c>
      <c r="L2374" s="4">
        <f>IFERROR(__xludf.DUMMYFUNCTION("""COMPUTED_VALUE"""),3.0)</f>
        <v>3</v>
      </c>
      <c r="M2374" s="4">
        <f>IFERROR(__xludf.DUMMYFUNCTION("""COMPUTED_VALUE"""),83.0)</f>
        <v>83</v>
      </c>
      <c r="N2374" s="2" t="b">
        <f>IFERROR(__xludf.DUMMYFUNCTION("""COMPUTED_VALUE"""),FALSE)</f>
        <v>0</v>
      </c>
    </row>
    <row r="2375">
      <c r="A2375" s="2">
        <f>IFERROR(__xludf.DUMMYFUNCTION("""COMPUTED_VALUE"""),2374.0)</f>
        <v>2374</v>
      </c>
      <c r="B2375" s="2" t="str">
        <f>IFERROR(__xludf.DUMMYFUNCTION("""COMPUTED_VALUE"""),"Trey Clynman")</f>
        <v>Trey Clynman</v>
      </c>
      <c r="C2375" s="2"/>
      <c r="D2375" s="4">
        <f>IFERROR(__xludf.DUMMYFUNCTION("""COMPUTED_VALUE"""),19.0)</f>
        <v>19</v>
      </c>
      <c r="E2375" s="4">
        <f>IFERROR(__xludf.DUMMYFUNCTION("""COMPUTED_VALUE"""),106.0)</f>
        <v>106</v>
      </c>
      <c r="F2375" s="4">
        <f>IFERROR(__xludf.DUMMYFUNCTION("""COMPUTED_VALUE"""),7.0)</f>
        <v>7</v>
      </c>
      <c r="G2375" s="4">
        <f>IFERROR(__xludf.DUMMYFUNCTION("""COMPUTED_VALUE"""),279.0)</f>
        <v>279</v>
      </c>
      <c r="H2375" s="5">
        <f>IFERROR(__xludf.DUMMYFUNCTION("""COMPUTED_VALUE"""),1559.88)</f>
        <v>1559.88</v>
      </c>
      <c r="I2375" s="5">
        <f>IFERROR(__xludf.DUMMYFUNCTION("""COMPUTED_VALUE"""),2994.59)</f>
        <v>2994.59</v>
      </c>
      <c r="J2375" s="5">
        <f>IFERROR(__xludf.DUMMYFUNCTION("""COMPUTED_VALUE"""),7071.97)</f>
        <v>7071.97</v>
      </c>
      <c r="K2375" s="5">
        <f>IFERROR(__xludf.DUMMYFUNCTION("""COMPUTED_VALUE"""),3749.39)</f>
        <v>3749.39</v>
      </c>
      <c r="L2375" s="4">
        <f>IFERROR(__xludf.DUMMYFUNCTION("""COMPUTED_VALUE"""),19.0)</f>
        <v>19</v>
      </c>
      <c r="M2375" s="4">
        <f>IFERROR(__xludf.DUMMYFUNCTION("""COMPUTED_VALUE"""),92.0)</f>
        <v>92</v>
      </c>
      <c r="N2375" s="2" t="b">
        <f>IFERROR(__xludf.DUMMYFUNCTION("""COMPUTED_VALUE"""),FALSE)</f>
        <v>0</v>
      </c>
    </row>
    <row r="2376">
      <c r="A2376" s="2">
        <f>IFERROR(__xludf.DUMMYFUNCTION("""COMPUTED_VALUE"""),2375.0)</f>
        <v>2375</v>
      </c>
      <c r="B2376" s="2" t="str">
        <f>IFERROR(__xludf.DUMMYFUNCTION("""COMPUTED_VALUE"""),"Veriee Peggrem")</f>
        <v>Veriee Peggrem</v>
      </c>
      <c r="C2376" s="2"/>
      <c r="D2376" s="4">
        <f>IFERROR(__xludf.DUMMYFUNCTION("""COMPUTED_VALUE"""),86.0)</f>
        <v>86</v>
      </c>
      <c r="E2376" s="4">
        <f>IFERROR(__xludf.DUMMYFUNCTION("""COMPUTED_VALUE"""),47.0)</f>
        <v>47</v>
      </c>
      <c r="F2376" s="4">
        <f>IFERROR(__xludf.DUMMYFUNCTION("""COMPUTED_VALUE"""),1.0)</f>
        <v>1</v>
      </c>
      <c r="G2376" s="4">
        <f>IFERROR(__xludf.DUMMYFUNCTION("""COMPUTED_VALUE"""),185.0)</f>
        <v>185</v>
      </c>
      <c r="H2376" s="5">
        <f>IFERROR(__xludf.DUMMYFUNCTION("""COMPUTED_VALUE"""),2358.21)</f>
        <v>2358.21</v>
      </c>
      <c r="I2376" s="5">
        <f>IFERROR(__xludf.DUMMYFUNCTION("""COMPUTED_VALUE"""),223.13)</f>
        <v>223.13</v>
      </c>
      <c r="J2376" s="5">
        <f>IFERROR(__xludf.DUMMYFUNCTION("""COMPUTED_VALUE"""),4979.57)</f>
        <v>4979.57</v>
      </c>
      <c r="K2376" s="5">
        <f>IFERROR(__xludf.DUMMYFUNCTION("""COMPUTED_VALUE"""),9666.87)</f>
        <v>9666.87</v>
      </c>
      <c r="L2376" s="4">
        <f>IFERROR(__xludf.DUMMYFUNCTION("""COMPUTED_VALUE"""),3.0)</f>
        <v>3</v>
      </c>
      <c r="M2376" s="4">
        <f>IFERROR(__xludf.DUMMYFUNCTION("""COMPUTED_VALUE"""),38.0)</f>
        <v>38</v>
      </c>
      <c r="N2376" s="2" t="b">
        <f>IFERROR(__xludf.DUMMYFUNCTION("""COMPUTED_VALUE"""),FALSE)</f>
        <v>0</v>
      </c>
    </row>
    <row r="2377">
      <c r="A2377" s="2">
        <f>IFERROR(__xludf.DUMMYFUNCTION("""COMPUTED_VALUE"""),2376.0)</f>
        <v>2376</v>
      </c>
      <c r="B2377" s="2" t="str">
        <f>IFERROR(__xludf.DUMMYFUNCTION("""COMPUTED_VALUE"""),"Anastasia Cundy")</f>
        <v>Anastasia Cundy</v>
      </c>
      <c r="C2377" s="2" t="str">
        <f>IFERROR(__xludf.DUMMYFUNCTION("""COMPUTED_VALUE"""),"acundyag@umich.edu")</f>
        <v>acundyag@umich.edu</v>
      </c>
      <c r="D2377" s="4">
        <f>IFERROR(__xludf.DUMMYFUNCTION("""COMPUTED_VALUE"""),137.0)</f>
        <v>137</v>
      </c>
      <c r="E2377" s="4">
        <f>IFERROR(__xludf.DUMMYFUNCTION("""COMPUTED_VALUE"""),66.0)</f>
        <v>66</v>
      </c>
      <c r="F2377" s="4">
        <f>IFERROR(__xludf.DUMMYFUNCTION("""COMPUTED_VALUE"""),3.0)</f>
        <v>3</v>
      </c>
      <c r="G2377" s="4">
        <f>IFERROR(__xludf.DUMMYFUNCTION("""COMPUTED_VALUE"""),804.0)</f>
        <v>804</v>
      </c>
      <c r="H2377" s="5">
        <f>IFERROR(__xludf.DUMMYFUNCTION("""COMPUTED_VALUE"""),3174.94)</f>
        <v>3174.94</v>
      </c>
      <c r="I2377" s="5">
        <f>IFERROR(__xludf.DUMMYFUNCTION("""COMPUTED_VALUE"""),3300.87)</f>
        <v>3300.87</v>
      </c>
      <c r="J2377" s="5">
        <f>IFERROR(__xludf.DUMMYFUNCTION("""COMPUTED_VALUE"""),6834.03)</f>
        <v>6834.03</v>
      </c>
      <c r="K2377" s="5">
        <f>IFERROR(__xludf.DUMMYFUNCTION("""COMPUTED_VALUE"""),4826.31)</f>
        <v>4826.31</v>
      </c>
      <c r="L2377" s="4">
        <f>IFERROR(__xludf.DUMMYFUNCTION("""COMPUTED_VALUE"""),18.0)</f>
        <v>18</v>
      </c>
      <c r="M2377" s="4">
        <f>IFERROR(__xludf.DUMMYFUNCTION("""COMPUTED_VALUE"""),55.0)</f>
        <v>55</v>
      </c>
      <c r="N2377" s="2" t="b">
        <f>IFERROR(__xludf.DUMMYFUNCTION("""COMPUTED_VALUE"""),TRUE)</f>
        <v>1</v>
      </c>
    </row>
    <row r="2378">
      <c r="A2378" s="2">
        <f>IFERROR(__xludf.DUMMYFUNCTION("""COMPUTED_VALUE"""),2377.0)</f>
        <v>2377</v>
      </c>
      <c r="B2378" s="2" t="str">
        <f>IFERROR(__xludf.DUMMYFUNCTION("""COMPUTED_VALUE"""),"Cherianne Manser")</f>
        <v>Cherianne Manser</v>
      </c>
      <c r="C2378" s="2" t="str">
        <f>IFERROR(__xludf.DUMMYFUNCTION("""COMPUTED_VALUE"""),"cmanserah@soup.io")</f>
        <v>cmanserah@soup.io</v>
      </c>
      <c r="D2378" s="4">
        <f>IFERROR(__xludf.DUMMYFUNCTION("""COMPUTED_VALUE"""),154.0)</f>
        <v>154</v>
      </c>
      <c r="E2378" s="4">
        <f>IFERROR(__xludf.DUMMYFUNCTION("""COMPUTED_VALUE"""),23.0)</f>
        <v>23</v>
      </c>
      <c r="F2378" s="4">
        <f>IFERROR(__xludf.DUMMYFUNCTION("""COMPUTED_VALUE"""),10.0)</f>
        <v>10</v>
      </c>
      <c r="G2378" s="4">
        <f>IFERROR(__xludf.DUMMYFUNCTION("""COMPUTED_VALUE"""),381.0)</f>
        <v>381</v>
      </c>
      <c r="H2378" s="5">
        <f>IFERROR(__xludf.DUMMYFUNCTION("""COMPUTED_VALUE"""),7746.26)</f>
        <v>7746.26</v>
      </c>
      <c r="I2378" s="5">
        <f>IFERROR(__xludf.DUMMYFUNCTION("""COMPUTED_VALUE"""),2683.11)</f>
        <v>2683.11</v>
      </c>
      <c r="J2378" s="5">
        <f>IFERROR(__xludf.DUMMYFUNCTION("""COMPUTED_VALUE"""),9311.61)</f>
        <v>9311.61</v>
      </c>
      <c r="K2378" s="5">
        <f>IFERROR(__xludf.DUMMYFUNCTION("""COMPUTED_VALUE"""),3036.25)</f>
        <v>3036.25</v>
      </c>
      <c r="L2378" s="4">
        <f>IFERROR(__xludf.DUMMYFUNCTION("""COMPUTED_VALUE"""),14.0)</f>
        <v>14</v>
      </c>
      <c r="M2378" s="4">
        <f>IFERROR(__xludf.DUMMYFUNCTION("""COMPUTED_VALUE"""),4.0)</f>
        <v>4</v>
      </c>
      <c r="N2378" s="2" t="b">
        <f>IFERROR(__xludf.DUMMYFUNCTION("""COMPUTED_VALUE"""),TRUE)</f>
        <v>1</v>
      </c>
    </row>
    <row r="2379">
      <c r="A2379" s="2">
        <f>IFERROR(__xludf.DUMMYFUNCTION("""COMPUTED_VALUE"""),2378.0)</f>
        <v>2378</v>
      </c>
      <c r="B2379" s="2" t="str">
        <f>IFERROR(__xludf.DUMMYFUNCTION("""COMPUTED_VALUE"""),"Inness Dishmon")</f>
        <v>Inness Dishmon</v>
      </c>
      <c r="C2379" s="2"/>
      <c r="D2379" s="4">
        <f>IFERROR(__xludf.DUMMYFUNCTION("""COMPUTED_VALUE"""),129.0)</f>
        <v>129</v>
      </c>
      <c r="E2379" s="4">
        <f>IFERROR(__xludf.DUMMYFUNCTION("""COMPUTED_VALUE"""),5.0)</f>
        <v>5</v>
      </c>
      <c r="F2379" s="4">
        <f>IFERROR(__xludf.DUMMYFUNCTION("""COMPUTED_VALUE"""),2.0)</f>
        <v>2</v>
      </c>
      <c r="G2379" s="4">
        <f>IFERROR(__xludf.DUMMYFUNCTION("""COMPUTED_VALUE"""),16.0)</f>
        <v>16</v>
      </c>
      <c r="H2379" s="5">
        <f>IFERROR(__xludf.DUMMYFUNCTION("""COMPUTED_VALUE"""),2799.3)</f>
        <v>2799.3</v>
      </c>
      <c r="I2379" s="5">
        <f>IFERROR(__xludf.DUMMYFUNCTION("""COMPUTED_VALUE"""),7180.87)</f>
        <v>7180.87</v>
      </c>
      <c r="J2379" s="5">
        <f>IFERROR(__xludf.DUMMYFUNCTION("""COMPUTED_VALUE"""),8622.89)</f>
        <v>8622.89</v>
      </c>
      <c r="K2379" s="5">
        <f>IFERROR(__xludf.DUMMYFUNCTION("""COMPUTED_VALUE"""),222.74)</f>
        <v>222.74</v>
      </c>
      <c r="L2379" s="4">
        <f>IFERROR(__xludf.DUMMYFUNCTION("""COMPUTED_VALUE"""),7.0)</f>
        <v>7</v>
      </c>
      <c r="M2379" s="4">
        <f>IFERROR(__xludf.DUMMYFUNCTION("""COMPUTED_VALUE"""),43.0)</f>
        <v>43</v>
      </c>
      <c r="N2379" s="2" t="b">
        <f>IFERROR(__xludf.DUMMYFUNCTION("""COMPUTED_VALUE"""),TRUE)</f>
        <v>1</v>
      </c>
    </row>
    <row r="2380">
      <c r="A2380" s="2">
        <f>IFERROR(__xludf.DUMMYFUNCTION("""COMPUTED_VALUE"""),2379.0)</f>
        <v>2379</v>
      </c>
      <c r="B2380" s="2" t="str">
        <f>IFERROR(__xludf.DUMMYFUNCTION("""COMPUTED_VALUE"""),"Roma Charrett")</f>
        <v>Roma Charrett</v>
      </c>
      <c r="C2380" s="2"/>
      <c r="D2380" s="4">
        <f>IFERROR(__xludf.DUMMYFUNCTION("""COMPUTED_VALUE"""),75.0)</f>
        <v>75</v>
      </c>
      <c r="E2380" s="4">
        <f>IFERROR(__xludf.DUMMYFUNCTION("""COMPUTED_VALUE"""),79.0)</f>
        <v>79</v>
      </c>
      <c r="F2380" s="4">
        <f>IFERROR(__xludf.DUMMYFUNCTION("""COMPUTED_VALUE"""),1.0)</f>
        <v>1</v>
      </c>
      <c r="G2380" s="4">
        <f>IFERROR(__xludf.DUMMYFUNCTION("""COMPUTED_VALUE"""),1480.0)</f>
        <v>1480</v>
      </c>
      <c r="H2380" s="5">
        <f>IFERROR(__xludf.DUMMYFUNCTION("""COMPUTED_VALUE"""),5634.18)</f>
        <v>5634.18</v>
      </c>
      <c r="I2380" s="5">
        <f>IFERROR(__xludf.DUMMYFUNCTION("""COMPUTED_VALUE"""),5843.47)</f>
        <v>5843.47</v>
      </c>
      <c r="J2380" s="5">
        <f>IFERROR(__xludf.DUMMYFUNCTION("""COMPUTED_VALUE"""),2822.47)</f>
        <v>2822.47</v>
      </c>
      <c r="K2380" s="5">
        <f>IFERROR(__xludf.DUMMYFUNCTION("""COMPUTED_VALUE"""),9290.27)</f>
        <v>9290.27</v>
      </c>
      <c r="L2380" s="4">
        <f>IFERROR(__xludf.DUMMYFUNCTION("""COMPUTED_VALUE"""),7.0)</f>
        <v>7</v>
      </c>
      <c r="M2380" s="4">
        <f>IFERROR(__xludf.DUMMYFUNCTION("""COMPUTED_VALUE"""),25.0)</f>
        <v>25</v>
      </c>
      <c r="N2380" s="2" t="b">
        <f>IFERROR(__xludf.DUMMYFUNCTION("""COMPUTED_VALUE"""),FALSE)</f>
        <v>0</v>
      </c>
    </row>
    <row r="2381">
      <c r="A2381" s="2">
        <f>IFERROR(__xludf.DUMMYFUNCTION("""COMPUTED_VALUE"""),2380.0)</f>
        <v>2380</v>
      </c>
      <c r="B2381" s="2" t="str">
        <f>IFERROR(__xludf.DUMMYFUNCTION("""COMPUTED_VALUE"""),"Lotta Fehely")</f>
        <v>Lotta Fehely</v>
      </c>
      <c r="C2381" s="2" t="str">
        <f>IFERROR(__xludf.DUMMYFUNCTION("""COMPUTED_VALUE"""),"lfehelyak@toplist.cz")</f>
        <v>lfehelyak@toplist.cz</v>
      </c>
      <c r="D2381" s="4">
        <f>IFERROR(__xludf.DUMMYFUNCTION("""COMPUTED_VALUE"""),19.0)</f>
        <v>19</v>
      </c>
      <c r="E2381" s="4">
        <f>IFERROR(__xludf.DUMMYFUNCTION("""COMPUTED_VALUE"""),64.0)</f>
        <v>64</v>
      </c>
      <c r="F2381" s="4">
        <f>IFERROR(__xludf.DUMMYFUNCTION("""COMPUTED_VALUE"""),9.0)</f>
        <v>9</v>
      </c>
      <c r="G2381" s="4">
        <f>IFERROR(__xludf.DUMMYFUNCTION("""COMPUTED_VALUE"""),35.0)</f>
        <v>35</v>
      </c>
      <c r="H2381" s="5">
        <f>IFERROR(__xludf.DUMMYFUNCTION("""COMPUTED_VALUE"""),6714.3)</f>
        <v>6714.3</v>
      </c>
      <c r="I2381" s="5">
        <f>IFERROR(__xludf.DUMMYFUNCTION("""COMPUTED_VALUE"""),5290.51)</f>
        <v>5290.51</v>
      </c>
      <c r="J2381" s="5">
        <f>IFERROR(__xludf.DUMMYFUNCTION("""COMPUTED_VALUE"""),4243.69)</f>
        <v>4243.69</v>
      </c>
      <c r="K2381" s="5">
        <f>IFERROR(__xludf.DUMMYFUNCTION("""COMPUTED_VALUE"""),5784.8)</f>
        <v>5784.8</v>
      </c>
      <c r="L2381" s="4">
        <f>IFERROR(__xludf.DUMMYFUNCTION("""COMPUTED_VALUE"""),15.0)</f>
        <v>15</v>
      </c>
      <c r="M2381" s="4">
        <f>IFERROR(__xludf.DUMMYFUNCTION("""COMPUTED_VALUE"""),75.0)</f>
        <v>75</v>
      </c>
      <c r="N2381" s="2" t="b">
        <f>IFERROR(__xludf.DUMMYFUNCTION("""COMPUTED_VALUE"""),TRUE)</f>
        <v>1</v>
      </c>
    </row>
    <row r="2382">
      <c r="A2382" s="2">
        <f>IFERROR(__xludf.DUMMYFUNCTION("""COMPUTED_VALUE"""),2381.0)</f>
        <v>2381</v>
      </c>
      <c r="B2382" s="2" t="str">
        <f>IFERROR(__xludf.DUMMYFUNCTION("""COMPUTED_VALUE"""),"Denney Prestage")</f>
        <v>Denney Prestage</v>
      </c>
      <c r="C2382" s="2" t="str">
        <f>IFERROR(__xludf.DUMMYFUNCTION("""COMPUTED_VALUE"""),"dprestageal@sourceforge.net")</f>
        <v>dprestageal@sourceforge.net</v>
      </c>
      <c r="D2382" s="4">
        <f>IFERROR(__xludf.DUMMYFUNCTION("""COMPUTED_VALUE"""),76.0)</f>
        <v>76</v>
      </c>
      <c r="E2382" s="4">
        <f>IFERROR(__xludf.DUMMYFUNCTION("""COMPUTED_VALUE"""),50.0)</f>
        <v>50</v>
      </c>
      <c r="F2382" s="4">
        <f>IFERROR(__xludf.DUMMYFUNCTION("""COMPUTED_VALUE"""),3.0)</f>
        <v>3</v>
      </c>
      <c r="G2382" s="4">
        <f>IFERROR(__xludf.DUMMYFUNCTION("""COMPUTED_VALUE"""),1580.0)</f>
        <v>1580</v>
      </c>
      <c r="H2382" s="5">
        <f>IFERROR(__xludf.DUMMYFUNCTION("""COMPUTED_VALUE"""),4736.3)</f>
        <v>4736.3</v>
      </c>
      <c r="I2382" s="5">
        <f>IFERROR(__xludf.DUMMYFUNCTION("""COMPUTED_VALUE"""),2723.84)</f>
        <v>2723.84</v>
      </c>
      <c r="J2382" s="5">
        <f>IFERROR(__xludf.DUMMYFUNCTION("""COMPUTED_VALUE"""),877.87)</f>
        <v>877.87</v>
      </c>
      <c r="K2382" s="5">
        <f>IFERROR(__xludf.DUMMYFUNCTION("""COMPUTED_VALUE"""),9905.09)</f>
        <v>9905.09</v>
      </c>
      <c r="L2382" s="4">
        <f>IFERROR(__xludf.DUMMYFUNCTION("""COMPUTED_VALUE"""),4.0)</f>
        <v>4</v>
      </c>
      <c r="M2382" s="4">
        <f>IFERROR(__xludf.DUMMYFUNCTION("""COMPUTED_VALUE"""),36.0)</f>
        <v>36</v>
      </c>
      <c r="N2382" s="2" t="b">
        <f>IFERROR(__xludf.DUMMYFUNCTION("""COMPUTED_VALUE"""),TRUE)</f>
        <v>1</v>
      </c>
    </row>
    <row r="2383">
      <c r="A2383" s="2">
        <f>IFERROR(__xludf.DUMMYFUNCTION("""COMPUTED_VALUE"""),2382.0)</f>
        <v>2382</v>
      </c>
      <c r="B2383" s="2" t="str">
        <f>IFERROR(__xludf.DUMMYFUNCTION("""COMPUTED_VALUE"""),"Tucker Jacke")</f>
        <v>Tucker Jacke</v>
      </c>
      <c r="C2383" s="2" t="str">
        <f>IFERROR(__xludf.DUMMYFUNCTION("""COMPUTED_VALUE"""),"tjackeam@joomla.org")</f>
        <v>tjackeam@joomla.org</v>
      </c>
      <c r="D2383" s="4">
        <f>IFERROR(__xludf.DUMMYFUNCTION("""COMPUTED_VALUE"""),58.0)</f>
        <v>58</v>
      </c>
      <c r="E2383" s="4">
        <f>IFERROR(__xludf.DUMMYFUNCTION("""COMPUTED_VALUE"""),123.0)</f>
        <v>123</v>
      </c>
      <c r="F2383" s="4">
        <f>IFERROR(__xludf.DUMMYFUNCTION("""COMPUTED_VALUE"""),1.0)</f>
        <v>1</v>
      </c>
      <c r="G2383" s="4">
        <f>IFERROR(__xludf.DUMMYFUNCTION("""COMPUTED_VALUE"""),854.0)</f>
        <v>854</v>
      </c>
      <c r="H2383" s="5">
        <f>IFERROR(__xludf.DUMMYFUNCTION("""COMPUTED_VALUE"""),284.67)</f>
        <v>284.67</v>
      </c>
      <c r="I2383" s="5">
        <f>IFERROR(__xludf.DUMMYFUNCTION("""COMPUTED_VALUE"""),242.79)</f>
        <v>242.79</v>
      </c>
      <c r="J2383" s="5">
        <f>IFERROR(__xludf.DUMMYFUNCTION("""COMPUTED_VALUE"""),4619.27)</f>
        <v>4619.27</v>
      </c>
      <c r="K2383" s="5">
        <f>IFERROR(__xludf.DUMMYFUNCTION("""COMPUTED_VALUE"""),6121.61)</f>
        <v>6121.61</v>
      </c>
      <c r="L2383" s="4">
        <f>IFERROR(__xludf.DUMMYFUNCTION("""COMPUTED_VALUE"""),18.0)</f>
        <v>18</v>
      </c>
      <c r="M2383" s="4">
        <f>IFERROR(__xludf.DUMMYFUNCTION("""COMPUTED_VALUE"""),4.0)</f>
        <v>4</v>
      </c>
      <c r="N2383" s="2" t="b">
        <f>IFERROR(__xludf.DUMMYFUNCTION("""COMPUTED_VALUE"""),FALSE)</f>
        <v>0</v>
      </c>
    </row>
    <row r="2384">
      <c r="A2384" s="2">
        <f>IFERROR(__xludf.DUMMYFUNCTION("""COMPUTED_VALUE"""),2383.0)</f>
        <v>2383</v>
      </c>
      <c r="B2384" s="2" t="str">
        <f>IFERROR(__xludf.DUMMYFUNCTION("""COMPUTED_VALUE"""),"Serge Van der Veldt")</f>
        <v>Serge Van der Veldt</v>
      </c>
      <c r="C2384" s="2" t="str">
        <f>IFERROR(__xludf.DUMMYFUNCTION("""COMPUTED_VALUE"""),"svanan@census.gov")</f>
        <v>svanan@census.gov</v>
      </c>
      <c r="D2384" s="4">
        <f>IFERROR(__xludf.DUMMYFUNCTION("""COMPUTED_VALUE"""),16.0)</f>
        <v>16</v>
      </c>
      <c r="E2384" s="4">
        <f>IFERROR(__xludf.DUMMYFUNCTION("""COMPUTED_VALUE"""),37.0)</f>
        <v>37</v>
      </c>
      <c r="F2384" s="4">
        <f>IFERROR(__xludf.DUMMYFUNCTION("""COMPUTED_VALUE"""),2.0)</f>
        <v>2</v>
      </c>
      <c r="G2384" s="4">
        <f>IFERROR(__xludf.DUMMYFUNCTION("""COMPUTED_VALUE"""),515.0)</f>
        <v>515</v>
      </c>
      <c r="H2384" s="5">
        <f>IFERROR(__xludf.DUMMYFUNCTION("""COMPUTED_VALUE"""),5809.54)</f>
        <v>5809.54</v>
      </c>
      <c r="I2384" s="5">
        <f>IFERROR(__xludf.DUMMYFUNCTION("""COMPUTED_VALUE"""),1735.4)</f>
        <v>1735.4</v>
      </c>
      <c r="J2384" s="5">
        <f>IFERROR(__xludf.DUMMYFUNCTION("""COMPUTED_VALUE"""),9995.81)</f>
        <v>9995.81</v>
      </c>
      <c r="K2384" s="5">
        <f>IFERROR(__xludf.DUMMYFUNCTION("""COMPUTED_VALUE"""),1453.16)</f>
        <v>1453.16</v>
      </c>
      <c r="L2384" s="4">
        <f>IFERROR(__xludf.DUMMYFUNCTION("""COMPUTED_VALUE"""),16.0)</f>
        <v>16</v>
      </c>
      <c r="M2384" s="4">
        <f>IFERROR(__xludf.DUMMYFUNCTION("""COMPUTED_VALUE"""),40.0)</f>
        <v>40</v>
      </c>
      <c r="N2384" s="2" t="b">
        <f>IFERROR(__xludf.DUMMYFUNCTION("""COMPUTED_VALUE"""),FALSE)</f>
        <v>0</v>
      </c>
    </row>
    <row r="2385">
      <c r="A2385" s="2">
        <f>IFERROR(__xludf.DUMMYFUNCTION("""COMPUTED_VALUE"""),2384.0)</f>
        <v>2384</v>
      </c>
      <c r="B2385" s="2" t="str">
        <f>IFERROR(__xludf.DUMMYFUNCTION("""COMPUTED_VALUE"""),"Gabriel McFarlane")</f>
        <v>Gabriel McFarlane</v>
      </c>
      <c r="C2385" s="2"/>
      <c r="D2385" s="4">
        <f>IFERROR(__xludf.DUMMYFUNCTION("""COMPUTED_VALUE"""),107.0)</f>
        <v>107</v>
      </c>
      <c r="E2385" s="4">
        <f>IFERROR(__xludf.DUMMYFUNCTION("""COMPUTED_VALUE"""),19.0)</f>
        <v>19</v>
      </c>
      <c r="F2385" s="4">
        <f>IFERROR(__xludf.DUMMYFUNCTION("""COMPUTED_VALUE"""),2.0)</f>
        <v>2</v>
      </c>
      <c r="G2385" s="4">
        <f>IFERROR(__xludf.DUMMYFUNCTION("""COMPUTED_VALUE"""),679.0)</f>
        <v>679</v>
      </c>
      <c r="H2385" s="5">
        <f>IFERROR(__xludf.DUMMYFUNCTION("""COMPUTED_VALUE"""),9616.13)</f>
        <v>9616.13</v>
      </c>
      <c r="I2385" s="5">
        <f>IFERROR(__xludf.DUMMYFUNCTION("""COMPUTED_VALUE"""),3203.12)</f>
        <v>3203.12</v>
      </c>
      <c r="J2385" s="5">
        <f>IFERROR(__xludf.DUMMYFUNCTION("""COMPUTED_VALUE"""),5943.87)</f>
        <v>5943.87</v>
      </c>
      <c r="K2385" s="5">
        <f>IFERROR(__xludf.DUMMYFUNCTION("""COMPUTED_VALUE"""),6368.31)</f>
        <v>6368.31</v>
      </c>
      <c r="L2385" s="4">
        <f>IFERROR(__xludf.DUMMYFUNCTION("""COMPUTED_VALUE"""),9.0)</f>
        <v>9</v>
      </c>
      <c r="M2385" s="4">
        <f>IFERROR(__xludf.DUMMYFUNCTION("""COMPUTED_VALUE"""),98.0)</f>
        <v>98</v>
      </c>
      <c r="N2385" s="2" t="b">
        <f>IFERROR(__xludf.DUMMYFUNCTION("""COMPUTED_VALUE"""),TRUE)</f>
        <v>1</v>
      </c>
    </row>
    <row r="2386">
      <c r="A2386" s="2">
        <f>IFERROR(__xludf.DUMMYFUNCTION("""COMPUTED_VALUE"""),2385.0)</f>
        <v>2385</v>
      </c>
      <c r="B2386" s="2" t="str">
        <f>IFERROR(__xludf.DUMMYFUNCTION("""COMPUTED_VALUE"""),"Melloney Coke")</f>
        <v>Melloney Coke</v>
      </c>
      <c r="C2386" s="2"/>
      <c r="D2386" s="4">
        <f>IFERROR(__xludf.DUMMYFUNCTION("""COMPUTED_VALUE"""),106.0)</f>
        <v>106</v>
      </c>
      <c r="E2386" s="4">
        <f>IFERROR(__xludf.DUMMYFUNCTION("""COMPUTED_VALUE"""),27.0)</f>
        <v>27</v>
      </c>
      <c r="F2386" s="4">
        <f>IFERROR(__xludf.DUMMYFUNCTION("""COMPUTED_VALUE"""),5.0)</f>
        <v>5</v>
      </c>
      <c r="G2386" s="4">
        <f>IFERROR(__xludf.DUMMYFUNCTION("""COMPUTED_VALUE"""),677.0)</f>
        <v>677</v>
      </c>
      <c r="H2386" s="5">
        <f>IFERROR(__xludf.DUMMYFUNCTION("""COMPUTED_VALUE"""),1324.17)</f>
        <v>1324.17</v>
      </c>
      <c r="I2386" s="5">
        <f>IFERROR(__xludf.DUMMYFUNCTION("""COMPUTED_VALUE"""),9107.91)</f>
        <v>9107.91</v>
      </c>
      <c r="J2386" s="5">
        <f>IFERROR(__xludf.DUMMYFUNCTION("""COMPUTED_VALUE"""),7704.1)</f>
        <v>7704.1</v>
      </c>
      <c r="K2386" s="5">
        <f>IFERROR(__xludf.DUMMYFUNCTION("""COMPUTED_VALUE"""),966.88)</f>
        <v>966.88</v>
      </c>
      <c r="L2386" s="4">
        <f>IFERROR(__xludf.DUMMYFUNCTION("""COMPUTED_VALUE"""),14.0)</f>
        <v>14</v>
      </c>
      <c r="M2386" s="4">
        <f>IFERROR(__xludf.DUMMYFUNCTION("""COMPUTED_VALUE"""),27.0)</f>
        <v>27</v>
      </c>
      <c r="N2386" s="2" t="b">
        <f>IFERROR(__xludf.DUMMYFUNCTION("""COMPUTED_VALUE"""),TRUE)</f>
        <v>1</v>
      </c>
    </row>
    <row r="2387">
      <c r="A2387" s="2">
        <f>IFERROR(__xludf.DUMMYFUNCTION("""COMPUTED_VALUE"""),2386.0)</f>
        <v>2386</v>
      </c>
      <c r="B2387" s="2" t="str">
        <f>IFERROR(__xludf.DUMMYFUNCTION("""COMPUTED_VALUE"""),"Augustine Ewart")</f>
        <v>Augustine Ewart</v>
      </c>
      <c r="C2387" s="2"/>
      <c r="D2387" s="4">
        <f>IFERROR(__xludf.DUMMYFUNCTION("""COMPUTED_VALUE"""),45.0)</f>
        <v>45</v>
      </c>
      <c r="E2387" s="4">
        <f>IFERROR(__xludf.DUMMYFUNCTION("""COMPUTED_VALUE"""),110.0)</f>
        <v>110</v>
      </c>
      <c r="F2387" s="4">
        <f>IFERROR(__xludf.DUMMYFUNCTION("""COMPUTED_VALUE"""),4.0)</f>
        <v>4</v>
      </c>
      <c r="G2387" s="4">
        <f>IFERROR(__xludf.DUMMYFUNCTION("""COMPUTED_VALUE"""),819.0)</f>
        <v>819</v>
      </c>
      <c r="H2387" s="5">
        <f>IFERROR(__xludf.DUMMYFUNCTION("""COMPUTED_VALUE"""),9823.48)</f>
        <v>9823.48</v>
      </c>
      <c r="I2387" s="5">
        <f>IFERROR(__xludf.DUMMYFUNCTION("""COMPUTED_VALUE"""),5908.51)</f>
        <v>5908.51</v>
      </c>
      <c r="J2387" s="5">
        <f>IFERROR(__xludf.DUMMYFUNCTION("""COMPUTED_VALUE"""),788.08)</f>
        <v>788.08</v>
      </c>
      <c r="K2387" s="5">
        <f>IFERROR(__xludf.DUMMYFUNCTION("""COMPUTED_VALUE"""),4403.64)</f>
        <v>4403.64</v>
      </c>
      <c r="L2387" s="4">
        <f>IFERROR(__xludf.DUMMYFUNCTION("""COMPUTED_VALUE"""),15.0)</f>
        <v>15</v>
      </c>
      <c r="M2387" s="4">
        <f>IFERROR(__xludf.DUMMYFUNCTION("""COMPUTED_VALUE"""),31.0)</f>
        <v>31</v>
      </c>
      <c r="N2387" s="2" t="b">
        <f>IFERROR(__xludf.DUMMYFUNCTION("""COMPUTED_VALUE"""),TRUE)</f>
        <v>1</v>
      </c>
    </row>
    <row r="2388">
      <c r="A2388" s="2">
        <f>IFERROR(__xludf.DUMMYFUNCTION("""COMPUTED_VALUE"""),2387.0)</f>
        <v>2387</v>
      </c>
      <c r="B2388" s="2" t="str">
        <f>IFERROR(__xludf.DUMMYFUNCTION("""COMPUTED_VALUE"""),"Vally Kearn")</f>
        <v>Vally Kearn</v>
      </c>
      <c r="C2388" s="2" t="str">
        <f>IFERROR(__xludf.DUMMYFUNCTION("""COMPUTED_VALUE"""),"vkearnar@com.com")</f>
        <v>vkearnar@com.com</v>
      </c>
      <c r="D2388" s="4">
        <f>IFERROR(__xludf.DUMMYFUNCTION("""COMPUTED_VALUE"""),40.0)</f>
        <v>40</v>
      </c>
      <c r="E2388" s="4">
        <f>IFERROR(__xludf.DUMMYFUNCTION("""COMPUTED_VALUE"""),31.0)</f>
        <v>31</v>
      </c>
      <c r="F2388" s="4">
        <f>IFERROR(__xludf.DUMMYFUNCTION("""COMPUTED_VALUE"""),7.0)</f>
        <v>7</v>
      </c>
      <c r="G2388" s="4">
        <f>IFERROR(__xludf.DUMMYFUNCTION("""COMPUTED_VALUE"""),486.0)</f>
        <v>486</v>
      </c>
      <c r="H2388" s="5">
        <f>IFERROR(__xludf.DUMMYFUNCTION("""COMPUTED_VALUE"""),7482.32)</f>
        <v>7482.32</v>
      </c>
      <c r="I2388" s="5">
        <f>IFERROR(__xludf.DUMMYFUNCTION("""COMPUTED_VALUE"""),1529.89)</f>
        <v>1529.89</v>
      </c>
      <c r="J2388" s="5">
        <f>IFERROR(__xludf.DUMMYFUNCTION("""COMPUTED_VALUE"""),6897.32)</f>
        <v>6897.32</v>
      </c>
      <c r="K2388" s="5">
        <f>IFERROR(__xludf.DUMMYFUNCTION("""COMPUTED_VALUE"""),909.24)</f>
        <v>909.24</v>
      </c>
      <c r="L2388" s="4">
        <f>IFERROR(__xludf.DUMMYFUNCTION("""COMPUTED_VALUE"""),2.0)</f>
        <v>2</v>
      </c>
      <c r="M2388" s="4">
        <f>IFERROR(__xludf.DUMMYFUNCTION("""COMPUTED_VALUE"""),100.0)</f>
        <v>100</v>
      </c>
      <c r="N2388" s="2" t="b">
        <f>IFERROR(__xludf.DUMMYFUNCTION("""COMPUTED_VALUE"""),FALSE)</f>
        <v>0</v>
      </c>
    </row>
    <row r="2389">
      <c r="A2389" s="2">
        <f>IFERROR(__xludf.DUMMYFUNCTION("""COMPUTED_VALUE"""),2388.0)</f>
        <v>2388</v>
      </c>
      <c r="B2389" s="2" t="str">
        <f>IFERROR(__xludf.DUMMYFUNCTION("""COMPUTED_VALUE"""),"Jemie Matthesius")</f>
        <v>Jemie Matthesius</v>
      </c>
      <c r="C2389" s="2" t="str">
        <f>IFERROR(__xludf.DUMMYFUNCTION("""COMPUTED_VALUE"""),"jmatthesiusas@ftc.gov")</f>
        <v>jmatthesiusas@ftc.gov</v>
      </c>
      <c r="D2389" s="4">
        <f>IFERROR(__xludf.DUMMYFUNCTION("""COMPUTED_VALUE"""),120.0)</f>
        <v>120</v>
      </c>
      <c r="E2389" s="4">
        <f>IFERROR(__xludf.DUMMYFUNCTION("""COMPUTED_VALUE"""),115.0)</f>
        <v>115</v>
      </c>
      <c r="F2389" s="4">
        <f>IFERROR(__xludf.DUMMYFUNCTION("""COMPUTED_VALUE"""),6.0)</f>
        <v>6</v>
      </c>
      <c r="G2389" s="4">
        <f>IFERROR(__xludf.DUMMYFUNCTION("""COMPUTED_VALUE"""),142.0)</f>
        <v>142</v>
      </c>
      <c r="H2389" s="5">
        <f>IFERROR(__xludf.DUMMYFUNCTION("""COMPUTED_VALUE"""),4028.18)</f>
        <v>4028.18</v>
      </c>
      <c r="I2389" s="5">
        <f>IFERROR(__xludf.DUMMYFUNCTION("""COMPUTED_VALUE"""),2017.3)</f>
        <v>2017.3</v>
      </c>
      <c r="J2389" s="5">
        <f>IFERROR(__xludf.DUMMYFUNCTION("""COMPUTED_VALUE"""),9044.67)</f>
        <v>9044.67</v>
      </c>
      <c r="K2389" s="5">
        <f>IFERROR(__xludf.DUMMYFUNCTION("""COMPUTED_VALUE"""),2069.28)</f>
        <v>2069.28</v>
      </c>
      <c r="L2389" s="4">
        <f>IFERROR(__xludf.DUMMYFUNCTION("""COMPUTED_VALUE"""),2.0)</f>
        <v>2</v>
      </c>
      <c r="M2389" s="4">
        <f>IFERROR(__xludf.DUMMYFUNCTION("""COMPUTED_VALUE"""),70.0)</f>
        <v>70</v>
      </c>
      <c r="N2389" s="2" t="b">
        <f>IFERROR(__xludf.DUMMYFUNCTION("""COMPUTED_VALUE"""),FALSE)</f>
        <v>0</v>
      </c>
    </row>
    <row r="2390">
      <c r="A2390" s="2">
        <f>IFERROR(__xludf.DUMMYFUNCTION("""COMPUTED_VALUE"""),2389.0)</f>
        <v>2389</v>
      </c>
      <c r="B2390" s="2" t="str">
        <f>IFERROR(__xludf.DUMMYFUNCTION("""COMPUTED_VALUE"""),"Gavra Sellor")</f>
        <v>Gavra Sellor</v>
      </c>
      <c r="C2390" s="2" t="str">
        <f>IFERROR(__xludf.DUMMYFUNCTION("""COMPUTED_VALUE"""),"gsellorat@jalbum.net")</f>
        <v>gsellorat@jalbum.net</v>
      </c>
      <c r="D2390" s="4">
        <f>IFERROR(__xludf.DUMMYFUNCTION("""COMPUTED_VALUE"""),149.0)</f>
        <v>149</v>
      </c>
      <c r="E2390" s="4">
        <f>IFERROR(__xludf.DUMMYFUNCTION("""COMPUTED_VALUE"""),20.0)</f>
        <v>20</v>
      </c>
      <c r="F2390" s="4">
        <f>IFERROR(__xludf.DUMMYFUNCTION("""COMPUTED_VALUE"""),13.0)</f>
        <v>13</v>
      </c>
      <c r="G2390" s="4">
        <f>IFERROR(__xludf.DUMMYFUNCTION("""COMPUTED_VALUE"""),1473.0)</f>
        <v>1473</v>
      </c>
      <c r="H2390" s="5">
        <f>IFERROR(__xludf.DUMMYFUNCTION("""COMPUTED_VALUE"""),8514.8)</f>
        <v>8514.8</v>
      </c>
      <c r="I2390" s="5">
        <f>IFERROR(__xludf.DUMMYFUNCTION("""COMPUTED_VALUE"""),7326.53)</f>
        <v>7326.53</v>
      </c>
      <c r="J2390" s="5">
        <f>IFERROR(__xludf.DUMMYFUNCTION("""COMPUTED_VALUE"""),323.41)</f>
        <v>323.41</v>
      </c>
      <c r="K2390" s="5">
        <f>IFERROR(__xludf.DUMMYFUNCTION("""COMPUTED_VALUE"""),5931.35)</f>
        <v>5931.35</v>
      </c>
      <c r="L2390" s="4">
        <f>IFERROR(__xludf.DUMMYFUNCTION("""COMPUTED_VALUE"""),8.0)</f>
        <v>8</v>
      </c>
      <c r="M2390" s="4">
        <f>IFERROR(__xludf.DUMMYFUNCTION("""COMPUTED_VALUE"""),79.0)</f>
        <v>79</v>
      </c>
      <c r="N2390" s="2" t="b">
        <f>IFERROR(__xludf.DUMMYFUNCTION("""COMPUTED_VALUE"""),FALSE)</f>
        <v>0</v>
      </c>
    </row>
    <row r="2391">
      <c r="A2391" s="2">
        <f>IFERROR(__xludf.DUMMYFUNCTION("""COMPUTED_VALUE"""),2390.0)</f>
        <v>2390</v>
      </c>
      <c r="B2391" s="2" t="str">
        <f>IFERROR(__xludf.DUMMYFUNCTION("""COMPUTED_VALUE"""),"Duffie Quittonden")</f>
        <v>Duffie Quittonden</v>
      </c>
      <c r="C2391" s="2"/>
      <c r="D2391" s="4">
        <f>IFERROR(__xludf.DUMMYFUNCTION("""COMPUTED_VALUE"""),43.0)</f>
        <v>43</v>
      </c>
      <c r="E2391" s="4">
        <f>IFERROR(__xludf.DUMMYFUNCTION("""COMPUTED_VALUE"""),13.0)</f>
        <v>13</v>
      </c>
      <c r="F2391" s="4">
        <f>IFERROR(__xludf.DUMMYFUNCTION("""COMPUTED_VALUE"""),3.0)</f>
        <v>3</v>
      </c>
      <c r="G2391" s="4">
        <f>IFERROR(__xludf.DUMMYFUNCTION("""COMPUTED_VALUE"""),1249.0)</f>
        <v>1249</v>
      </c>
      <c r="H2391" s="5">
        <f>IFERROR(__xludf.DUMMYFUNCTION("""COMPUTED_VALUE"""),8018.54)</f>
        <v>8018.54</v>
      </c>
      <c r="I2391" s="5">
        <f>IFERROR(__xludf.DUMMYFUNCTION("""COMPUTED_VALUE"""),6453.63)</f>
        <v>6453.63</v>
      </c>
      <c r="J2391" s="5">
        <f>IFERROR(__xludf.DUMMYFUNCTION("""COMPUTED_VALUE"""),4605.18)</f>
        <v>4605.18</v>
      </c>
      <c r="K2391" s="5">
        <f>IFERROR(__xludf.DUMMYFUNCTION("""COMPUTED_VALUE"""),8105.13)</f>
        <v>8105.13</v>
      </c>
      <c r="L2391" s="4">
        <f>IFERROR(__xludf.DUMMYFUNCTION("""COMPUTED_VALUE"""),2.0)</f>
        <v>2</v>
      </c>
      <c r="M2391" s="4">
        <f>IFERROR(__xludf.DUMMYFUNCTION("""COMPUTED_VALUE"""),58.0)</f>
        <v>58</v>
      </c>
      <c r="N2391" s="2" t="b">
        <f>IFERROR(__xludf.DUMMYFUNCTION("""COMPUTED_VALUE"""),FALSE)</f>
        <v>0</v>
      </c>
    </row>
    <row r="2392">
      <c r="A2392" s="2">
        <f>IFERROR(__xludf.DUMMYFUNCTION("""COMPUTED_VALUE"""),2391.0)</f>
        <v>2391</v>
      </c>
      <c r="B2392" s="2" t="str">
        <f>IFERROR(__xludf.DUMMYFUNCTION("""COMPUTED_VALUE"""),"Fiona Bleackly")</f>
        <v>Fiona Bleackly</v>
      </c>
      <c r="C2392" s="2" t="str">
        <f>IFERROR(__xludf.DUMMYFUNCTION("""COMPUTED_VALUE"""),"fbleacklyav@nps.gov")</f>
        <v>fbleacklyav@nps.gov</v>
      </c>
      <c r="D2392" s="4">
        <f>IFERROR(__xludf.DUMMYFUNCTION("""COMPUTED_VALUE"""),11.0)</f>
        <v>11</v>
      </c>
      <c r="E2392" s="4">
        <f>IFERROR(__xludf.DUMMYFUNCTION("""COMPUTED_VALUE"""),32.0)</f>
        <v>32</v>
      </c>
      <c r="F2392" s="4">
        <f>IFERROR(__xludf.DUMMYFUNCTION("""COMPUTED_VALUE"""),3.0)</f>
        <v>3</v>
      </c>
      <c r="G2392" s="4">
        <f>IFERROR(__xludf.DUMMYFUNCTION("""COMPUTED_VALUE"""),329.0)</f>
        <v>329</v>
      </c>
      <c r="H2392" s="5">
        <f>IFERROR(__xludf.DUMMYFUNCTION("""COMPUTED_VALUE"""),296.81)</f>
        <v>296.81</v>
      </c>
      <c r="I2392" s="5">
        <f>IFERROR(__xludf.DUMMYFUNCTION("""COMPUTED_VALUE"""),9941.33)</f>
        <v>9941.33</v>
      </c>
      <c r="J2392" s="5">
        <f>IFERROR(__xludf.DUMMYFUNCTION("""COMPUTED_VALUE"""),6707.98)</f>
        <v>6707.98</v>
      </c>
      <c r="K2392" s="5">
        <f>IFERROR(__xludf.DUMMYFUNCTION("""COMPUTED_VALUE"""),374.53)</f>
        <v>374.53</v>
      </c>
      <c r="L2392" s="4">
        <f>IFERROR(__xludf.DUMMYFUNCTION("""COMPUTED_VALUE"""),5.0)</f>
        <v>5</v>
      </c>
      <c r="M2392" s="4">
        <f>IFERROR(__xludf.DUMMYFUNCTION("""COMPUTED_VALUE"""),3.0)</f>
        <v>3</v>
      </c>
      <c r="N2392" s="2" t="b">
        <f>IFERROR(__xludf.DUMMYFUNCTION("""COMPUTED_VALUE"""),TRUE)</f>
        <v>1</v>
      </c>
    </row>
    <row r="2393">
      <c r="A2393" s="2">
        <f>IFERROR(__xludf.DUMMYFUNCTION("""COMPUTED_VALUE"""),2392.0)</f>
        <v>2392</v>
      </c>
      <c r="B2393" s="2" t="str">
        <f>IFERROR(__xludf.DUMMYFUNCTION("""COMPUTED_VALUE"""),"Isac Mullord")</f>
        <v>Isac Mullord</v>
      </c>
      <c r="C2393" s="2"/>
      <c r="D2393" s="4">
        <f>IFERROR(__xludf.DUMMYFUNCTION("""COMPUTED_VALUE"""),29.0)</f>
        <v>29</v>
      </c>
      <c r="E2393" s="4">
        <f>IFERROR(__xludf.DUMMYFUNCTION("""COMPUTED_VALUE"""),8.0)</f>
        <v>8</v>
      </c>
      <c r="F2393" s="4">
        <f>IFERROR(__xludf.DUMMYFUNCTION("""COMPUTED_VALUE"""),10.0)</f>
        <v>10</v>
      </c>
      <c r="G2393" s="4">
        <f>IFERROR(__xludf.DUMMYFUNCTION("""COMPUTED_VALUE"""),892.0)</f>
        <v>892</v>
      </c>
      <c r="H2393" s="5">
        <f>IFERROR(__xludf.DUMMYFUNCTION("""COMPUTED_VALUE"""),1587.85)</f>
        <v>1587.85</v>
      </c>
      <c r="I2393" s="5">
        <f>IFERROR(__xludf.DUMMYFUNCTION("""COMPUTED_VALUE"""),5060.67)</f>
        <v>5060.67</v>
      </c>
      <c r="J2393" s="5">
        <f>IFERROR(__xludf.DUMMYFUNCTION("""COMPUTED_VALUE"""),8744.42)</f>
        <v>8744.42</v>
      </c>
      <c r="K2393" s="5">
        <f>IFERROR(__xludf.DUMMYFUNCTION("""COMPUTED_VALUE"""),686.48)</f>
        <v>686.48</v>
      </c>
      <c r="L2393" s="4">
        <f>IFERROR(__xludf.DUMMYFUNCTION("""COMPUTED_VALUE"""),19.0)</f>
        <v>19</v>
      </c>
      <c r="M2393" s="4">
        <f>IFERROR(__xludf.DUMMYFUNCTION("""COMPUTED_VALUE"""),25.0)</f>
        <v>25</v>
      </c>
      <c r="N2393" s="2" t="b">
        <f>IFERROR(__xludf.DUMMYFUNCTION("""COMPUTED_VALUE"""),FALSE)</f>
        <v>0</v>
      </c>
    </row>
    <row r="2394">
      <c r="A2394" s="2">
        <f>IFERROR(__xludf.DUMMYFUNCTION("""COMPUTED_VALUE"""),2393.0)</f>
        <v>2393</v>
      </c>
      <c r="B2394" s="2" t="str">
        <f>IFERROR(__xludf.DUMMYFUNCTION("""COMPUTED_VALUE"""),"Fields Fluger")</f>
        <v>Fields Fluger</v>
      </c>
      <c r="C2394" s="2" t="str">
        <f>IFERROR(__xludf.DUMMYFUNCTION("""COMPUTED_VALUE"""),"fflugerax@trellian.com")</f>
        <v>fflugerax@trellian.com</v>
      </c>
      <c r="D2394" s="4">
        <f>IFERROR(__xludf.DUMMYFUNCTION("""COMPUTED_VALUE"""),87.0)</f>
        <v>87</v>
      </c>
      <c r="E2394" s="4">
        <f>IFERROR(__xludf.DUMMYFUNCTION("""COMPUTED_VALUE"""),90.0)</f>
        <v>90</v>
      </c>
      <c r="F2394" s="4">
        <f>IFERROR(__xludf.DUMMYFUNCTION("""COMPUTED_VALUE"""),10.0)</f>
        <v>10</v>
      </c>
      <c r="G2394" s="4">
        <f>IFERROR(__xludf.DUMMYFUNCTION("""COMPUTED_VALUE"""),790.0)</f>
        <v>790</v>
      </c>
      <c r="H2394" s="5">
        <f>IFERROR(__xludf.DUMMYFUNCTION("""COMPUTED_VALUE"""),4386.49)</f>
        <v>4386.49</v>
      </c>
      <c r="I2394" s="5">
        <f>IFERROR(__xludf.DUMMYFUNCTION("""COMPUTED_VALUE"""),3276.28)</f>
        <v>3276.28</v>
      </c>
      <c r="J2394" s="5">
        <f>IFERROR(__xludf.DUMMYFUNCTION("""COMPUTED_VALUE"""),3676.24)</f>
        <v>3676.24</v>
      </c>
      <c r="K2394" s="5">
        <f>IFERROR(__xludf.DUMMYFUNCTION("""COMPUTED_VALUE"""),1208.31)</f>
        <v>1208.31</v>
      </c>
      <c r="L2394" s="4">
        <f>IFERROR(__xludf.DUMMYFUNCTION("""COMPUTED_VALUE"""),16.0)</f>
        <v>16</v>
      </c>
      <c r="M2394" s="4">
        <f>IFERROR(__xludf.DUMMYFUNCTION("""COMPUTED_VALUE"""),88.0)</f>
        <v>88</v>
      </c>
      <c r="N2394" s="2" t="b">
        <f>IFERROR(__xludf.DUMMYFUNCTION("""COMPUTED_VALUE"""),TRUE)</f>
        <v>1</v>
      </c>
    </row>
    <row r="2395">
      <c r="A2395" s="2">
        <f>IFERROR(__xludf.DUMMYFUNCTION("""COMPUTED_VALUE"""),2394.0)</f>
        <v>2394</v>
      </c>
      <c r="B2395" s="2" t="str">
        <f>IFERROR(__xludf.DUMMYFUNCTION("""COMPUTED_VALUE"""),"Dilan O'Cahey")</f>
        <v>Dilan O'Cahey</v>
      </c>
      <c r="C2395" s="2"/>
      <c r="D2395" s="4">
        <f>IFERROR(__xludf.DUMMYFUNCTION("""COMPUTED_VALUE"""),17.0)</f>
        <v>17</v>
      </c>
      <c r="E2395" s="4">
        <f>IFERROR(__xludf.DUMMYFUNCTION("""COMPUTED_VALUE"""),21.0)</f>
        <v>21</v>
      </c>
      <c r="F2395" s="4">
        <f>IFERROR(__xludf.DUMMYFUNCTION("""COMPUTED_VALUE"""),4.0)</f>
        <v>4</v>
      </c>
      <c r="G2395" s="4">
        <f>IFERROR(__xludf.DUMMYFUNCTION("""COMPUTED_VALUE"""),780.0)</f>
        <v>780</v>
      </c>
      <c r="H2395" s="5">
        <f>IFERROR(__xludf.DUMMYFUNCTION("""COMPUTED_VALUE"""),617.86)</f>
        <v>617.86</v>
      </c>
      <c r="I2395" s="5">
        <f>IFERROR(__xludf.DUMMYFUNCTION("""COMPUTED_VALUE"""),4099.44)</f>
        <v>4099.44</v>
      </c>
      <c r="J2395" s="5">
        <f>IFERROR(__xludf.DUMMYFUNCTION("""COMPUTED_VALUE"""),4658.04)</f>
        <v>4658.04</v>
      </c>
      <c r="K2395" s="5">
        <f>IFERROR(__xludf.DUMMYFUNCTION("""COMPUTED_VALUE"""),1887.61)</f>
        <v>1887.61</v>
      </c>
      <c r="L2395" s="4">
        <f>IFERROR(__xludf.DUMMYFUNCTION("""COMPUTED_VALUE"""),2.0)</f>
        <v>2</v>
      </c>
      <c r="M2395" s="4">
        <f>IFERROR(__xludf.DUMMYFUNCTION("""COMPUTED_VALUE"""),96.0)</f>
        <v>96</v>
      </c>
      <c r="N2395" s="2" t="b">
        <f>IFERROR(__xludf.DUMMYFUNCTION("""COMPUTED_VALUE"""),TRUE)</f>
        <v>1</v>
      </c>
    </row>
    <row r="2396">
      <c r="A2396" s="2">
        <f>IFERROR(__xludf.DUMMYFUNCTION("""COMPUTED_VALUE"""),2395.0)</f>
        <v>2395</v>
      </c>
      <c r="B2396" s="2" t="str">
        <f>IFERROR(__xludf.DUMMYFUNCTION("""COMPUTED_VALUE"""),"Kiele Wilcinskis")</f>
        <v>Kiele Wilcinskis</v>
      </c>
      <c r="C2396" s="2"/>
      <c r="D2396" s="4">
        <f>IFERROR(__xludf.DUMMYFUNCTION("""COMPUTED_VALUE"""),81.0)</f>
        <v>81</v>
      </c>
      <c r="E2396" s="4">
        <f>IFERROR(__xludf.DUMMYFUNCTION("""COMPUTED_VALUE"""),24.0)</f>
        <v>24</v>
      </c>
      <c r="F2396" s="4">
        <f>IFERROR(__xludf.DUMMYFUNCTION("""COMPUTED_VALUE"""),5.0)</f>
        <v>5</v>
      </c>
      <c r="G2396" s="4">
        <f>IFERROR(__xludf.DUMMYFUNCTION("""COMPUTED_VALUE"""),1071.0)</f>
        <v>1071</v>
      </c>
      <c r="H2396" s="5">
        <f>IFERROR(__xludf.DUMMYFUNCTION("""COMPUTED_VALUE"""),4983.76)</f>
        <v>4983.76</v>
      </c>
      <c r="I2396" s="5">
        <f>IFERROR(__xludf.DUMMYFUNCTION("""COMPUTED_VALUE"""),9579.12)</f>
        <v>9579.12</v>
      </c>
      <c r="J2396" s="5">
        <f>IFERROR(__xludf.DUMMYFUNCTION("""COMPUTED_VALUE"""),625.53)</f>
        <v>625.53</v>
      </c>
      <c r="K2396" s="5">
        <f>IFERROR(__xludf.DUMMYFUNCTION("""COMPUTED_VALUE"""),8303.72)</f>
        <v>8303.72</v>
      </c>
      <c r="L2396" s="4">
        <f>IFERROR(__xludf.DUMMYFUNCTION("""COMPUTED_VALUE"""),12.0)</f>
        <v>12</v>
      </c>
      <c r="M2396" s="4">
        <f>IFERROR(__xludf.DUMMYFUNCTION("""COMPUTED_VALUE"""),47.0)</f>
        <v>47</v>
      </c>
      <c r="N2396" s="2" t="b">
        <f>IFERROR(__xludf.DUMMYFUNCTION("""COMPUTED_VALUE"""),TRUE)</f>
        <v>1</v>
      </c>
    </row>
    <row r="2397">
      <c r="A2397" s="2">
        <f>IFERROR(__xludf.DUMMYFUNCTION("""COMPUTED_VALUE"""),2396.0)</f>
        <v>2396</v>
      </c>
      <c r="B2397" s="2" t="str">
        <f>IFERROR(__xludf.DUMMYFUNCTION("""COMPUTED_VALUE"""),"Robinett Duker")</f>
        <v>Robinett Duker</v>
      </c>
      <c r="C2397" s="2"/>
      <c r="D2397" s="4">
        <f>IFERROR(__xludf.DUMMYFUNCTION("""COMPUTED_VALUE"""),76.0)</f>
        <v>76</v>
      </c>
      <c r="E2397" s="4">
        <f>IFERROR(__xludf.DUMMYFUNCTION("""COMPUTED_VALUE"""),106.0)</f>
        <v>106</v>
      </c>
      <c r="F2397" s="4">
        <f>IFERROR(__xludf.DUMMYFUNCTION("""COMPUTED_VALUE"""),1.0)</f>
        <v>1</v>
      </c>
      <c r="G2397" s="4">
        <f>IFERROR(__xludf.DUMMYFUNCTION("""COMPUTED_VALUE"""),958.0)</f>
        <v>958</v>
      </c>
      <c r="H2397" s="5">
        <f>IFERROR(__xludf.DUMMYFUNCTION("""COMPUTED_VALUE"""),5005.91)</f>
        <v>5005.91</v>
      </c>
      <c r="I2397" s="5">
        <f>IFERROR(__xludf.DUMMYFUNCTION("""COMPUTED_VALUE"""),8504.25)</f>
        <v>8504.25</v>
      </c>
      <c r="J2397" s="5">
        <f>IFERROR(__xludf.DUMMYFUNCTION("""COMPUTED_VALUE"""),4356.77)</f>
        <v>4356.77</v>
      </c>
      <c r="K2397" s="5">
        <f>IFERROR(__xludf.DUMMYFUNCTION("""COMPUTED_VALUE"""),7192.72)</f>
        <v>7192.72</v>
      </c>
      <c r="L2397" s="4">
        <f>IFERROR(__xludf.DUMMYFUNCTION("""COMPUTED_VALUE"""),4.0)</f>
        <v>4</v>
      </c>
      <c r="M2397" s="4">
        <f>IFERROR(__xludf.DUMMYFUNCTION("""COMPUTED_VALUE"""),7.0)</f>
        <v>7</v>
      </c>
      <c r="N2397" s="2" t="b">
        <f>IFERROR(__xludf.DUMMYFUNCTION("""COMPUTED_VALUE"""),TRUE)</f>
        <v>1</v>
      </c>
    </row>
    <row r="2398">
      <c r="A2398" s="2">
        <f>IFERROR(__xludf.DUMMYFUNCTION("""COMPUTED_VALUE"""),2397.0)</f>
        <v>2397</v>
      </c>
      <c r="B2398" s="2" t="str">
        <f>IFERROR(__xludf.DUMMYFUNCTION("""COMPUTED_VALUE"""),"Blaine Elflain")</f>
        <v>Blaine Elflain</v>
      </c>
      <c r="C2398" s="2" t="str">
        <f>IFERROR(__xludf.DUMMYFUNCTION("""COMPUTED_VALUE"""),"belflainb1@mediafire.com")</f>
        <v>belflainb1@mediafire.com</v>
      </c>
      <c r="D2398" s="4">
        <f>IFERROR(__xludf.DUMMYFUNCTION("""COMPUTED_VALUE"""),6.0)</f>
        <v>6</v>
      </c>
      <c r="E2398" s="4">
        <f>IFERROR(__xludf.DUMMYFUNCTION("""COMPUTED_VALUE"""),77.0)</f>
        <v>77</v>
      </c>
      <c r="F2398" s="4">
        <f>IFERROR(__xludf.DUMMYFUNCTION("""COMPUTED_VALUE"""),13.0)</f>
        <v>13</v>
      </c>
      <c r="G2398" s="4">
        <f>IFERROR(__xludf.DUMMYFUNCTION("""COMPUTED_VALUE"""),621.0)</f>
        <v>621</v>
      </c>
      <c r="H2398" s="5">
        <f>IFERROR(__xludf.DUMMYFUNCTION("""COMPUTED_VALUE"""),3224.64)</f>
        <v>3224.64</v>
      </c>
      <c r="I2398" s="5">
        <f>IFERROR(__xludf.DUMMYFUNCTION("""COMPUTED_VALUE"""),7195.75)</f>
        <v>7195.75</v>
      </c>
      <c r="J2398" s="5">
        <f>IFERROR(__xludf.DUMMYFUNCTION("""COMPUTED_VALUE"""),9997.6)</f>
        <v>9997.6</v>
      </c>
      <c r="K2398" s="5">
        <f>IFERROR(__xludf.DUMMYFUNCTION("""COMPUTED_VALUE"""),3802.34)</f>
        <v>3802.34</v>
      </c>
      <c r="L2398" s="4">
        <f>IFERROR(__xludf.DUMMYFUNCTION("""COMPUTED_VALUE"""),5.0)</f>
        <v>5</v>
      </c>
      <c r="M2398" s="4">
        <f>IFERROR(__xludf.DUMMYFUNCTION("""COMPUTED_VALUE"""),60.0)</f>
        <v>60</v>
      </c>
      <c r="N2398" s="2" t="b">
        <f>IFERROR(__xludf.DUMMYFUNCTION("""COMPUTED_VALUE"""),TRUE)</f>
        <v>1</v>
      </c>
    </row>
    <row r="2399">
      <c r="A2399" s="2">
        <f>IFERROR(__xludf.DUMMYFUNCTION("""COMPUTED_VALUE"""),2398.0)</f>
        <v>2398</v>
      </c>
      <c r="B2399" s="2" t="str">
        <f>IFERROR(__xludf.DUMMYFUNCTION("""COMPUTED_VALUE"""),"Issie Peterson")</f>
        <v>Issie Peterson</v>
      </c>
      <c r="C2399" s="2" t="str">
        <f>IFERROR(__xludf.DUMMYFUNCTION("""COMPUTED_VALUE"""),"ipetersonb2@gov.uk")</f>
        <v>ipetersonb2@gov.uk</v>
      </c>
      <c r="D2399" s="4">
        <f>IFERROR(__xludf.DUMMYFUNCTION("""COMPUTED_VALUE"""),122.0)</f>
        <v>122</v>
      </c>
      <c r="E2399" s="4">
        <f>IFERROR(__xludf.DUMMYFUNCTION("""COMPUTED_VALUE"""),108.0)</f>
        <v>108</v>
      </c>
      <c r="F2399" s="4">
        <f>IFERROR(__xludf.DUMMYFUNCTION("""COMPUTED_VALUE"""),1.0)</f>
        <v>1</v>
      </c>
      <c r="G2399" s="4">
        <f>IFERROR(__xludf.DUMMYFUNCTION("""COMPUTED_VALUE"""),1529.0)</f>
        <v>1529</v>
      </c>
      <c r="H2399" s="5">
        <f>IFERROR(__xludf.DUMMYFUNCTION("""COMPUTED_VALUE"""),5687.98)</f>
        <v>5687.98</v>
      </c>
      <c r="I2399" s="5">
        <f>IFERROR(__xludf.DUMMYFUNCTION("""COMPUTED_VALUE"""),9357.48)</f>
        <v>9357.48</v>
      </c>
      <c r="J2399" s="5">
        <f>IFERROR(__xludf.DUMMYFUNCTION("""COMPUTED_VALUE"""),7069.35)</f>
        <v>7069.35</v>
      </c>
      <c r="K2399" s="5">
        <f>IFERROR(__xludf.DUMMYFUNCTION("""COMPUTED_VALUE"""),5586.21)</f>
        <v>5586.21</v>
      </c>
      <c r="L2399" s="4">
        <f>IFERROR(__xludf.DUMMYFUNCTION("""COMPUTED_VALUE"""),9.0)</f>
        <v>9</v>
      </c>
      <c r="M2399" s="4">
        <f>IFERROR(__xludf.DUMMYFUNCTION("""COMPUTED_VALUE"""),85.0)</f>
        <v>85</v>
      </c>
      <c r="N2399" s="2" t="b">
        <f>IFERROR(__xludf.DUMMYFUNCTION("""COMPUTED_VALUE"""),FALSE)</f>
        <v>0</v>
      </c>
    </row>
    <row r="2400">
      <c r="A2400" s="2">
        <f>IFERROR(__xludf.DUMMYFUNCTION("""COMPUTED_VALUE"""),2399.0)</f>
        <v>2399</v>
      </c>
      <c r="B2400" s="2" t="str">
        <f>IFERROR(__xludf.DUMMYFUNCTION("""COMPUTED_VALUE"""),"Lem Baike")</f>
        <v>Lem Baike</v>
      </c>
      <c r="C2400" s="2"/>
      <c r="D2400" s="4">
        <f>IFERROR(__xludf.DUMMYFUNCTION("""COMPUTED_VALUE"""),107.0)</f>
        <v>107</v>
      </c>
      <c r="E2400" s="4">
        <f>IFERROR(__xludf.DUMMYFUNCTION("""COMPUTED_VALUE"""),69.0)</f>
        <v>69</v>
      </c>
      <c r="F2400" s="4">
        <f>IFERROR(__xludf.DUMMYFUNCTION("""COMPUTED_VALUE"""),13.0)</f>
        <v>13</v>
      </c>
      <c r="G2400" s="4">
        <f>IFERROR(__xludf.DUMMYFUNCTION("""COMPUTED_VALUE"""),1430.0)</f>
        <v>1430</v>
      </c>
      <c r="H2400" s="5">
        <f>IFERROR(__xludf.DUMMYFUNCTION("""COMPUTED_VALUE"""),6097.7)</f>
        <v>6097.7</v>
      </c>
      <c r="I2400" s="5">
        <f>IFERROR(__xludf.DUMMYFUNCTION("""COMPUTED_VALUE"""),5596.88)</f>
        <v>5596.88</v>
      </c>
      <c r="J2400" s="5">
        <f>IFERROR(__xludf.DUMMYFUNCTION("""COMPUTED_VALUE"""),4782.11)</f>
        <v>4782.11</v>
      </c>
      <c r="K2400" s="5">
        <f>IFERROR(__xludf.DUMMYFUNCTION("""COMPUTED_VALUE"""),5311.23)</f>
        <v>5311.23</v>
      </c>
      <c r="L2400" s="4">
        <f>IFERROR(__xludf.DUMMYFUNCTION("""COMPUTED_VALUE"""),17.0)</f>
        <v>17</v>
      </c>
      <c r="M2400" s="4">
        <f>IFERROR(__xludf.DUMMYFUNCTION("""COMPUTED_VALUE"""),9.0)</f>
        <v>9</v>
      </c>
      <c r="N2400" s="2" t="b">
        <f>IFERROR(__xludf.DUMMYFUNCTION("""COMPUTED_VALUE"""),TRUE)</f>
        <v>1</v>
      </c>
    </row>
    <row r="2401">
      <c r="A2401" s="2">
        <f>IFERROR(__xludf.DUMMYFUNCTION("""COMPUTED_VALUE"""),2400.0)</f>
        <v>2400</v>
      </c>
      <c r="B2401" s="2" t="str">
        <f>IFERROR(__xludf.DUMMYFUNCTION("""COMPUTED_VALUE"""),"Ebonee Mockes")</f>
        <v>Ebonee Mockes</v>
      </c>
      <c r="C2401" s="2"/>
      <c r="D2401" s="4">
        <f>IFERROR(__xludf.DUMMYFUNCTION("""COMPUTED_VALUE"""),47.0)</f>
        <v>47</v>
      </c>
      <c r="E2401" s="4">
        <f>IFERROR(__xludf.DUMMYFUNCTION("""COMPUTED_VALUE"""),80.0)</f>
        <v>80</v>
      </c>
      <c r="F2401" s="4">
        <f>IFERROR(__xludf.DUMMYFUNCTION("""COMPUTED_VALUE"""),8.0)</f>
        <v>8</v>
      </c>
      <c r="G2401" s="4">
        <f>IFERROR(__xludf.DUMMYFUNCTION("""COMPUTED_VALUE"""),1124.0)</f>
        <v>1124</v>
      </c>
      <c r="H2401" s="5">
        <f>IFERROR(__xludf.DUMMYFUNCTION("""COMPUTED_VALUE"""),2109.92)</f>
        <v>2109.92</v>
      </c>
      <c r="I2401" s="5">
        <f>IFERROR(__xludf.DUMMYFUNCTION("""COMPUTED_VALUE"""),3627.16)</f>
        <v>3627.16</v>
      </c>
      <c r="J2401" s="5">
        <f>IFERROR(__xludf.DUMMYFUNCTION("""COMPUTED_VALUE"""),9886.15)</f>
        <v>9886.15</v>
      </c>
      <c r="K2401" s="5">
        <f>IFERROR(__xludf.DUMMYFUNCTION("""COMPUTED_VALUE"""),6373.12)</f>
        <v>6373.12</v>
      </c>
      <c r="L2401" s="4">
        <f>IFERROR(__xludf.DUMMYFUNCTION("""COMPUTED_VALUE"""),3.0)</f>
        <v>3</v>
      </c>
      <c r="M2401" s="4">
        <f>IFERROR(__xludf.DUMMYFUNCTION("""COMPUTED_VALUE"""),29.0)</f>
        <v>29</v>
      </c>
      <c r="N2401" s="2" t="b">
        <f>IFERROR(__xludf.DUMMYFUNCTION("""COMPUTED_VALUE"""),TRUE)</f>
        <v>1</v>
      </c>
    </row>
    <row r="2402">
      <c r="A2402" s="2">
        <f>IFERROR(__xludf.DUMMYFUNCTION("""COMPUTED_VALUE"""),2401.0)</f>
        <v>2401</v>
      </c>
      <c r="B2402" s="2" t="str">
        <f>IFERROR(__xludf.DUMMYFUNCTION("""COMPUTED_VALUE"""),"Charles Purves")</f>
        <v>Charles Purves</v>
      </c>
      <c r="C2402" s="2"/>
      <c r="D2402" s="4">
        <f>IFERROR(__xludf.DUMMYFUNCTION("""COMPUTED_VALUE"""),122.0)</f>
        <v>122</v>
      </c>
      <c r="E2402" s="4">
        <f>IFERROR(__xludf.DUMMYFUNCTION("""COMPUTED_VALUE"""),37.0)</f>
        <v>37</v>
      </c>
      <c r="F2402" s="4">
        <f>IFERROR(__xludf.DUMMYFUNCTION("""COMPUTED_VALUE"""),5.0)</f>
        <v>5</v>
      </c>
      <c r="G2402" s="4">
        <f>IFERROR(__xludf.DUMMYFUNCTION("""COMPUTED_VALUE"""),230.0)</f>
        <v>230</v>
      </c>
      <c r="H2402" s="5">
        <f>IFERROR(__xludf.DUMMYFUNCTION("""COMPUTED_VALUE"""),2693.62)</f>
        <v>2693.62</v>
      </c>
      <c r="I2402" s="5">
        <f>IFERROR(__xludf.DUMMYFUNCTION("""COMPUTED_VALUE"""),3433.3)</f>
        <v>3433.3</v>
      </c>
      <c r="J2402" s="5">
        <f>IFERROR(__xludf.DUMMYFUNCTION("""COMPUTED_VALUE"""),9489.86)</f>
        <v>9489.86</v>
      </c>
      <c r="K2402" s="5">
        <f>IFERROR(__xludf.DUMMYFUNCTION("""COMPUTED_VALUE"""),6819.93)</f>
        <v>6819.93</v>
      </c>
      <c r="L2402" s="4">
        <f>IFERROR(__xludf.DUMMYFUNCTION("""COMPUTED_VALUE"""),10.0)</f>
        <v>10</v>
      </c>
      <c r="M2402" s="4">
        <f>IFERROR(__xludf.DUMMYFUNCTION("""COMPUTED_VALUE"""),18.0)</f>
        <v>18</v>
      </c>
      <c r="N2402" s="2" t="b">
        <f>IFERROR(__xludf.DUMMYFUNCTION("""COMPUTED_VALUE"""),FALSE)</f>
        <v>0</v>
      </c>
    </row>
    <row r="2403">
      <c r="A2403" s="2">
        <f>IFERROR(__xludf.DUMMYFUNCTION("""COMPUTED_VALUE"""),2402.0)</f>
        <v>2402</v>
      </c>
      <c r="B2403" s="2" t="str">
        <f>IFERROR(__xludf.DUMMYFUNCTION("""COMPUTED_VALUE"""),"Moe Orbon")</f>
        <v>Moe Orbon</v>
      </c>
      <c r="C2403" s="2" t="str">
        <f>IFERROR(__xludf.DUMMYFUNCTION("""COMPUTED_VALUE"""),"morbonb6@wikispaces.com")</f>
        <v>morbonb6@wikispaces.com</v>
      </c>
      <c r="D2403" s="4">
        <f>IFERROR(__xludf.DUMMYFUNCTION("""COMPUTED_VALUE"""),13.0)</f>
        <v>13</v>
      </c>
      <c r="E2403" s="4">
        <f>IFERROR(__xludf.DUMMYFUNCTION("""COMPUTED_VALUE"""),79.0)</f>
        <v>79</v>
      </c>
      <c r="F2403" s="4">
        <f>IFERROR(__xludf.DUMMYFUNCTION("""COMPUTED_VALUE"""),1.0)</f>
        <v>1</v>
      </c>
      <c r="G2403" s="4">
        <f>IFERROR(__xludf.DUMMYFUNCTION("""COMPUTED_VALUE"""),1478.0)</f>
        <v>1478</v>
      </c>
      <c r="H2403" s="5">
        <f>IFERROR(__xludf.DUMMYFUNCTION("""COMPUTED_VALUE"""),3089.52)</f>
        <v>3089.52</v>
      </c>
      <c r="I2403" s="5">
        <f>IFERROR(__xludf.DUMMYFUNCTION("""COMPUTED_VALUE"""),2679.23)</f>
        <v>2679.23</v>
      </c>
      <c r="J2403" s="5">
        <f>IFERROR(__xludf.DUMMYFUNCTION("""COMPUTED_VALUE"""),6159.54)</f>
        <v>6159.54</v>
      </c>
      <c r="K2403" s="5">
        <f>IFERROR(__xludf.DUMMYFUNCTION("""COMPUTED_VALUE"""),7394.27)</f>
        <v>7394.27</v>
      </c>
      <c r="L2403" s="4">
        <f>IFERROR(__xludf.DUMMYFUNCTION("""COMPUTED_VALUE"""),5.0)</f>
        <v>5</v>
      </c>
      <c r="M2403" s="4">
        <f>IFERROR(__xludf.DUMMYFUNCTION("""COMPUTED_VALUE"""),42.0)</f>
        <v>42</v>
      </c>
      <c r="N2403" s="2" t="b">
        <f>IFERROR(__xludf.DUMMYFUNCTION("""COMPUTED_VALUE"""),FALSE)</f>
        <v>0</v>
      </c>
    </row>
    <row r="2404">
      <c r="A2404" s="2">
        <f>IFERROR(__xludf.DUMMYFUNCTION("""COMPUTED_VALUE"""),2403.0)</f>
        <v>2403</v>
      </c>
      <c r="B2404" s="2" t="str">
        <f>IFERROR(__xludf.DUMMYFUNCTION("""COMPUTED_VALUE"""),"Terrell Jumont")</f>
        <v>Terrell Jumont</v>
      </c>
      <c r="C2404" s="2" t="str">
        <f>IFERROR(__xludf.DUMMYFUNCTION("""COMPUTED_VALUE"""),"tjumontb7@washington.edu")</f>
        <v>tjumontb7@washington.edu</v>
      </c>
      <c r="D2404" s="4">
        <f>IFERROR(__xludf.DUMMYFUNCTION("""COMPUTED_VALUE"""),97.0)</f>
        <v>97</v>
      </c>
      <c r="E2404" s="4">
        <f>IFERROR(__xludf.DUMMYFUNCTION("""COMPUTED_VALUE"""),110.0)</f>
        <v>110</v>
      </c>
      <c r="F2404" s="4">
        <f>IFERROR(__xludf.DUMMYFUNCTION("""COMPUTED_VALUE"""),13.0)</f>
        <v>13</v>
      </c>
      <c r="G2404" s="4">
        <f>IFERROR(__xludf.DUMMYFUNCTION("""COMPUTED_VALUE"""),999.0)</f>
        <v>999</v>
      </c>
      <c r="H2404" s="5">
        <f>IFERROR(__xludf.DUMMYFUNCTION("""COMPUTED_VALUE"""),6677.64)</f>
        <v>6677.64</v>
      </c>
      <c r="I2404" s="5">
        <f>IFERROR(__xludf.DUMMYFUNCTION("""COMPUTED_VALUE"""),2175.06)</f>
        <v>2175.06</v>
      </c>
      <c r="J2404" s="5">
        <f>IFERROR(__xludf.DUMMYFUNCTION("""COMPUTED_VALUE"""),2987.73)</f>
        <v>2987.73</v>
      </c>
      <c r="K2404" s="5">
        <f>IFERROR(__xludf.DUMMYFUNCTION("""COMPUTED_VALUE"""),7291.61)</f>
        <v>7291.61</v>
      </c>
      <c r="L2404" s="4">
        <f>IFERROR(__xludf.DUMMYFUNCTION("""COMPUTED_VALUE"""),2.0)</f>
        <v>2</v>
      </c>
      <c r="M2404" s="4">
        <f>IFERROR(__xludf.DUMMYFUNCTION("""COMPUTED_VALUE"""),11.0)</f>
        <v>11</v>
      </c>
      <c r="N2404" s="2" t="b">
        <f>IFERROR(__xludf.DUMMYFUNCTION("""COMPUTED_VALUE"""),FALSE)</f>
        <v>0</v>
      </c>
    </row>
    <row r="2405">
      <c r="A2405" s="2">
        <f>IFERROR(__xludf.DUMMYFUNCTION("""COMPUTED_VALUE"""),2404.0)</f>
        <v>2404</v>
      </c>
      <c r="B2405" s="2" t="str">
        <f>IFERROR(__xludf.DUMMYFUNCTION("""COMPUTED_VALUE"""),"Ertha Aldgate")</f>
        <v>Ertha Aldgate</v>
      </c>
      <c r="C2405" s="2"/>
      <c r="D2405" s="4">
        <f>IFERROR(__xludf.DUMMYFUNCTION("""COMPUTED_VALUE"""),89.0)</f>
        <v>89</v>
      </c>
      <c r="E2405" s="4">
        <f>IFERROR(__xludf.DUMMYFUNCTION("""COMPUTED_VALUE"""),7.0)</f>
        <v>7</v>
      </c>
      <c r="F2405" s="4">
        <f>IFERROR(__xludf.DUMMYFUNCTION("""COMPUTED_VALUE"""),10.0)</f>
        <v>10</v>
      </c>
      <c r="G2405" s="4">
        <f>IFERROR(__xludf.DUMMYFUNCTION("""COMPUTED_VALUE"""),470.0)</f>
        <v>470</v>
      </c>
      <c r="H2405" s="5">
        <f>IFERROR(__xludf.DUMMYFUNCTION("""COMPUTED_VALUE"""),255.37)</f>
        <v>255.37</v>
      </c>
      <c r="I2405" s="5">
        <f>IFERROR(__xludf.DUMMYFUNCTION("""COMPUTED_VALUE"""),2734.19)</f>
        <v>2734.19</v>
      </c>
      <c r="J2405" s="5">
        <f>IFERROR(__xludf.DUMMYFUNCTION("""COMPUTED_VALUE"""),3726.04)</f>
        <v>3726.04</v>
      </c>
      <c r="K2405" s="5">
        <f>IFERROR(__xludf.DUMMYFUNCTION("""COMPUTED_VALUE"""),9610.97)</f>
        <v>9610.97</v>
      </c>
      <c r="L2405" s="4">
        <f>IFERROR(__xludf.DUMMYFUNCTION("""COMPUTED_VALUE"""),17.0)</f>
        <v>17</v>
      </c>
      <c r="M2405" s="4">
        <f>IFERROR(__xludf.DUMMYFUNCTION("""COMPUTED_VALUE"""),19.0)</f>
        <v>19</v>
      </c>
      <c r="N2405" s="2" t="b">
        <f>IFERROR(__xludf.DUMMYFUNCTION("""COMPUTED_VALUE"""),FALSE)</f>
        <v>0</v>
      </c>
    </row>
    <row r="2406">
      <c r="A2406" s="2">
        <f>IFERROR(__xludf.DUMMYFUNCTION("""COMPUTED_VALUE"""),2405.0)</f>
        <v>2405</v>
      </c>
      <c r="B2406" s="2" t="str">
        <f>IFERROR(__xludf.DUMMYFUNCTION("""COMPUTED_VALUE"""),"Bettine Quene")</f>
        <v>Bettine Quene</v>
      </c>
      <c r="C2406" s="2"/>
      <c r="D2406" s="4">
        <f>IFERROR(__xludf.DUMMYFUNCTION("""COMPUTED_VALUE"""),59.0)</f>
        <v>59</v>
      </c>
      <c r="E2406" s="4">
        <f>IFERROR(__xludf.DUMMYFUNCTION("""COMPUTED_VALUE"""),58.0)</f>
        <v>58</v>
      </c>
      <c r="F2406" s="4">
        <f>IFERROR(__xludf.DUMMYFUNCTION("""COMPUTED_VALUE"""),11.0)</f>
        <v>11</v>
      </c>
      <c r="G2406" s="4">
        <f>IFERROR(__xludf.DUMMYFUNCTION("""COMPUTED_VALUE"""),1061.0)</f>
        <v>1061</v>
      </c>
      <c r="H2406" s="5">
        <f>IFERROR(__xludf.DUMMYFUNCTION("""COMPUTED_VALUE"""),7250.19)</f>
        <v>7250.19</v>
      </c>
      <c r="I2406" s="5">
        <f>IFERROR(__xludf.DUMMYFUNCTION("""COMPUTED_VALUE"""),9044.45)</f>
        <v>9044.45</v>
      </c>
      <c r="J2406" s="5">
        <f>IFERROR(__xludf.DUMMYFUNCTION("""COMPUTED_VALUE"""),5983.3)</f>
        <v>5983.3</v>
      </c>
      <c r="K2406" s="5">
        <f>IFERROR(__xludf.DUMMYFUNCTION("""COMPUTED_VALUE"""),2107.83)</f>
        <v>2107.83</v>
      </c>
      <c r="L2406" s="4">
        <f>IFERROR(__xludf.DUMMYFUNCTION("""COMPUTED_VALUE"""),11.0)</f>
        <v>11</v>
      </c>
      <c r="M2406" s="4">
        <f>IFERROR(__xludf.DUMMYFUNCTION("""COMPUTED_VALUE"""),42.0)</f>
        <v>42</v>
      </c>
      <c r="N2406" s="2" t="b">
        <f>IFERROR(__xludf.DUMMYFUNCTION("""COMPUTED_VALUE"""),FALSE)</f>
        <v>0</v>
      </c>
    </row>
    <row r="2407">
      <c r="A2407" s="2">
        <f>IFERROR(__xludf.DUMMYFUNCTION("""COMPUTED_VALUE"""),2406.0)</f>
        <v>2406</v>
      </c>
      <c r="B2407" s="2" t="str">
        <f>IFERROR(__xludf.DUMMYFUNCTION("""COMPUTED_VALUE"""),"Culver Yuryshev")</f>
        <v>Culver Yuryshev</v>
      </c>
      <c r="C2407" s="2" t="str">
        <f>IFERROR(__xludf.DUMMYFUNCTION("""COMPUTED_VALUE"""),"cyuryshevba@globo.com")</f>
        <v>cyuryshevba@globo.com</v>
      </c>
      <c r="D2407" s="4">
        <f>IFERROR(__xludf.DUMMYFUNCTION("""COMPUTED_VALUE"""),125.0)</f>
        <v>125</v>
      </c>
      <c r="E2407" s="4">
        <f>IFERROR(__xludf.DUMMYFUNCTION("""COMPUTED_VALUE"""),114.0)</f>
        <v>114</v>
      </c>
      <c r="F2407" s="4">
        <f>IFERROR(__xludf.DUMMYFUNCTION("""COMPUTED_VALUE"""),8.0)</f>
        <v>8</v>
      </c>
      <c r="G2407" s="4">
        <f>IFERROR(__xludf.DUMMYFUNCTION("""COMPUTED_VALUE"""),1478.0)</f>
        <v>1478</v>
      </c>
      <c r="H2407" s="5">
        <f>IFERROR(__xludf.DUMMYFUNCTION("""COMPUTED_VALUE"""),5430.76)</f>
        <v>5430.76</v>
      </c>
      <c r="I2407" s="5">
        <f>IFERROR(__xludf.DUMMYFUNCTION("""COMPUTED_VALUE"""),8181.87)</f>
        <v>8181.87</v>
      </c>
      <c r="J2407" s="5">
        <f>IFERROR(__xludf.DUMMYFUNCTION("""COMPUTED_VALUE"""),5986.48)</f>
        <v>5986.48</v>
      </c>
      <c r="K2407" s="5">
        <f>IFERROR(__xludf.DUMMYFUNCTION("""COMPUTED_VALUE"""),7922.4)</f>
        <v>7922.4</v>
      </c>
      <c r="L2407" s="4">
        <f>IFERROR(__xludf.DUMMYFUNCTION("""COMPUTED_VALUE"""),3.0)</f>
        <v>3</v>
      </c>
      <c r="M2407" s="4">
        <f>IFERROR(__xludf.DUMMYFUNCTION("""COMPUTED_VALUE"""),93.0)</f>
        <v>93</v>
      </c>
      <c r="N2407" s="2" t="b">
        <f>IFERROR(__xludf.DUMMYFUNCTION("""COMPUTED_VALUE"""),TRUE)</f>
        <v>1</v>
      </c>
    </row>
    <row r="2408">
      <c r="A2408" s="2">
        <f>IFERROR(__xludf.DUMMYFUNCTION("""COMPUTED_VALUE"""),2407.0)</f>
        <v>2407</v>
      </c>
      <c r="B2408" s="2" t="str">
        <f>IFERROR(__xludf.DUMMYFUNCTION("""COMPUTED_VALUE"""),"Faunie Grinley")</f>
        <v>Faunie Grinley</v>
      </c>
      <c r="C2408" s="2"/>
      <c r="D2408" s="4">
        <f>IFERROR(__xludf.DUMMYFUNCTION("""COMPUTED_VALUE"""),64.0)</f>
        <v>64</v>
      </c>
      <c r="E2408" s="4">
        <f>IFERROR(__xludf.DUMMYFUNCTION("""COMPUTED_VALUE"""),37.0)</f>
        <v>37</v>
      </c>
      <c r="F2408" s="4">
        <f>IFERROR(__xludf.DUMMYFUNCTION("""COMPUTED_VALUE"""),13.0)</f>
        <v>13</v>
      </c>
      <c r="G2408" s="4">
        <f>IFERROR(__xludf.DUMMYFUNCTION("""COMPUTED_VALUE"""),1295.0)</f>
        <v>1295</v>
      </c>
      <c r="H2408" s="5">
        <f>IFERROR(__xludf.DUMMYFUNCTION("""COMPUTED_VALUE"""),2147.62)</f>
        <v>2147.62</v>
      </c>
      <c r="I2408" s="5">
        <f>IFERROR(__xludf.DUMMYFUNCTION("""COMPUTED_VALUE"""),7305.41)</f>
        <v>7305.41</v>
      </c>
      <c r="J2408" s="5">
        <f>IFERROR(__xludf.DUMMYFUNCTION("""COMPUTED_VALUE"""),9862.38)</f>
        <v>9862.38</v>
      </c>
      <c r="K2408" s="5">
        <f>IFERROR(__xludf.DUMMYFUNCTION("""COMPUTED_VALUE"""),4843.15)</f>
        <v>4843.15</v>
      </c>
      <c r="L2408" s="4">
        <f>IFERROR(__xludf.DUMMYFUNCTION("""COMPUTED_VALUE"""),18.0)</f>
        <v>18</v>
      </c>
      <c r="M2408" s="4">
        <f>IFERROR(__xludf.DUMMYFUNCTION("""COMPUTED_VALUE"""),59.0)</f>
        <v>59</v>
      </c>
      <c r="N2408" s="2" t="b">
        <f>IFERROR(__xludf.DUMMYFUNCTION("""COMPUTED_VALUE"""),TRUE)</f>
        <v>1</v>
      </c>
    </row>
    <row r="2409">
      <c r="A2409" s="2">
        <f>IFERROR(__xludf.DUMMYFUNCTION("""COMPUTED_VALUE"""),2408.0)</f>
        <v>2408</v>
      </c>
      <c r="B2409" s="2" t="str">
        <f>IFERROR(__xludf.DUMMYFUNCTION("""COMPUTED_VALUE"""),"Mirelle Pietruszewicz")</f>
        <v>Mirelle Pietruszewicz</v>
      </c>
      <c r="C2409" s="2"/>
      <c r="D2409" s="4">
        <f>IFERROR(__xludf.DUMMYFUNCTION("""COMPUTED_VALUE"""),47.0)</f>
        <v>47</v>
      </c>
      <c r="E2409" s="4">
        <f>IFERROR(__xludf.DUMMYFUNCTION("""COMPUTED_VALUE"""),109.0)</f>
        <v>109</v>
      </c>
      <c r="F2409" s="4">
        <f>IFERROR(__xludf.DUMMYFUNCTION("""COMPUTED_VALUE"""),1.0)</f>
        <v>1</v>
      </c>
      <c r="G2409" s="4">
        <f>IFERROR(__xludf.DUMMYFUNCTION("""COMPUTED_VALUE"""),1399.0)</f>
        <v>1399</v>
      </c>
      <c r="H2409" s="5">
        <f>IFERROR(__xludf.DUMMYFUNCTION("""COMPUTED_VALUE"""),2366.39)</f>
        <v>2366.39</v>
      </c>
      <c r="I2409" s="5">
        <f>IFERROR(__xludf.DUMMYFUNCTION("""COMPUTED_VALUE"""),7804.65)</f>
        <v>7804.65</v>
      </c>
      <c r="J2409" s="5">
        <f>IFERROR(__xludf.DUMMYFUNCTION("""COMPUTED_VALUE"""),249.5)</f>
        <v>249.5</v>
      </c>
      <c r="K2409" s="5">
        <f>IFERROR(__xludf.DUMMYFUNCTION("""COMPUTED_VALUE"""),5322.5)</f>
        <v>5322.5</v>
      </c>
      <c r="L2409" s="4">
        <f>IFERROR(__xludf.DUMMYFUNCTION("""COMPUTED_VALUE"""),12.0)</f>
        <v>12</v>
      </c>
      <c r="M2409" s="4">
        <f>IFERROR(__xludf.DUMMYFUNCTION("""COMPUTED_VALUE"""),2.0)</f>
        <v>2</v>
      </c>
      <c r="N2409" s="2" t="b">
        <f>IFERROR(__xludf.DUMMYFUNCTION("""COMPUTED_VALUE"""),FALSE)</f>
        <v>0</v>
      </c>
    </row>
    <row r="2410">
      <c r="A2410" s="2">
        <f>IFERROR(__xludf.DUMMYFUNCTION("""COMPUTED_VALUE"""),2409.0)</f>
        <v>2409</v>
      </c>
      <c r="B2410" s="2" t="str">
        <f>IFERROR(__xludf.DUMMYFUNCTION("""COMPUTED_VALUE"""),"Arel Noweak")</f>
        <v>Arel Noweak</v>
      </c>
      <c r="C2410" s="2"/>
      <c r="D2410" s="4">
        <f>IFERROR(__xludf.DUMMYFUNCTION("""COMPUTED_VALUE"""),4.0)</f>
        <v>4</v>
      </c>
      <c r="E2410" s="4">
        <f>IFERROR(__xludf.DUMMYFUNCTION("""COMPUTED_VALUE"""),102.0)</f>
        <v>102</v>
      </c>
      <c r="F2410" s="4">
        <f>IFERROR(__xludf.DUMMYFUNCTION("""COMPUTED_VALUE"""),4.0)</f>
        <v>4</v>
      </c>
      <c r="G2410" s="4">
        <f>IFERROR(__xludf.DUMMYFUNCTION("""COMPUTED_VALUE"""),1590.0)</f>
        <v>1590</v>
      </c>
      <c r="H2410" s="5">
        <f>IFERROR(__xludf.DUMMYFUNCTION("""COMPUTED_VALUE"""),2390.77)</f>
        <v>2390.77</v>
      </c>
      <c r="I2410" s="5">
        <f>IFERROR(__xludf.DUMMYFUNCTION("""COMPUTED_VALUE"""),7214.21)</f>
        <v>7214.21</v>
      </c>
      <c r="J2410" s="5">
        <f>IFERROR(__xludf.DUMMYFUNCTION("""COMPUTED_VALUE"""),6245.86)</f>
        <v>6245.86</v>
      </c>
      <c r="K2410" s="5">
        <f>IFERROR(__xludf.DUMMYFUNCTION("""COMPUTED_VALUE"""),4023.18)</f>
        <v>4023.18</v>
      </c>
      <c r="L2410" s="4">
        <f>IFERROR(__xludf.DUMMYFUNCTION("""COMPUTED_VALUE"""),9.0)</f>
        <v>9</v>
      </c>
      <c r="M2410" s="4">
        <f>IFERROR(__xludf.DUMMYFUNCTION("""COMPUTED_VALUE"""),85.0)</f>
        <v>85</v>
      </c>
      <c r="N2410" s="2" t="b">
        <f>IFERROR(__xludf.DUMMYFUNCTION("""COMPUTED_VALUE"""),FALSE)</f>
        <v>0</v>
      </c>
    </row>
    <row r="2411">
      <c r="A2411" s="2">
        <f>IFERROR(__xludf.DUMMYFUNCTION("""COMPUTED_VALUE"""),2410.0)</f>
        <v>2410</v>
      </c>
      <c r="B2411" s="2" t="str">
        <f>IFERROR(__xludf.DUMMYFUNCTION("""COMPUTED_VALUE"""),"Giulio Klossek")</f>
        <v>Giulio Klossek</v>
      </c>
      <c r="C2411" s="2" t="str">
        <f>IFERROR(__xludf.DUMMYFUNCTION("""COMPUTED_VALUE"""),"gklossekbe@adobe.com")</f>
        <v>gklossekbe@adobe.com</v>
      </c>
      <c r="D2411" s="4">
        <f>IFERROR(__xludf.DUMMYFUNCTION("""COMPUTED_VALUE"""),139.0)</f>
        <v>139</v>
      </c>
      <c r="E2411" s="4">
        <f>IFERROR(__xludf.DUMMYFUNCTION("""COMPUTED_VALUE"""),111.0)</f>
        <v>111</v>
      </c>
      <c r="F2411" s="4">
        <f>IFERROR(__xludf.DUMMYFUNCTION("""COMPUTED_VALUE"""),1.0)</f>
        <v>1</v>
      </c>
      <c r="G2411" s="4">
        <f>IFERROR(__xludf.DUMMYFUNCTION("""COMPUTED_VALUE"""),970.0)</f>
        <v>970</v>
      </c>
      <c r="H2411" s="5">
        <f>IFERROR(__xludf.DUMMYFUNCTION("""COMPUTED_VALUE"""),7934.56)</f>
        <v>7934.56</v>
      </c>
      <c r="I2411" s="5">
        <f>IFERROR(__xludf.DUMMYFUNCTION("""COMPUTED_VALUE"""),8570.62)</f>
        <v>8570.62</v>
      </c>
      <c r="J2411" s="5">
        <f>IFERROR(__xludf.DUMMYFUNCTION("""COMPUTED_VALUE"""),1743.34)</f>
        <v>1743.34</v>
      </c>
      <c r="K2411" s="5">
        <f>IFERROR(__xludf.DUMMYFUNCTION("""COMPUTED_VALUE"""),3228.16)</f>
        <v>3228.16</v>
      </c>
      <c r="L2411" s="4">
        <f>IFERROR(__xludf.DUMMYFUNCTION("""COMPUTED_VALUE"""),18.0)</f>
        <v>18</v>
      </c>
      <c r="M2411" s="4">
        <f>IFERROR(__xludf.DUMMYFUNCTION("""COMPUTED_VALUE"""),78.0)</f>
        <v>78</v>
      </c>
      <c r="N2411" s="2" t="b">
        <f>IFERROR(__xludf.DUMMYFUNCTION("""COMPUTED_VALUE"""),TRUE)</f>
        <v>1</v>
      </c>
    </row>
    <row r="2412">
      <c r="A2412" s="2">
        <f>IFERROR(__xludf.DUMMYFUNCTION("""COMPUTED_VALUE"""),2411.0)</f>
        <v>2411</v>
      </c>
      <c r="B2412" s="2" t="str">
        <f>IFERROR(__xludf.DUMMYFUNCTION("""COMPUTED_VALUE"""),"Franzen Mafham")</f>
        <v>Franzen Mafham</v>
      </c>
      <c r="C2412" s="2" t="str">
        <f>IFERROR(__xludf.DUMMYFUNCTION("""COMPUTED_VALUE"""),"fmafhambf@sogou.com")</f>
        <v>fmafhambf@sogou.com</v>
      </c>
      <c r="D2412" s="4">
        <f>IFERROR(__xludf.DUMMYFUNCTION("""COMPUTED_VALUE"""),26.0)</f>
        <v>26</v>
      </c>
      <c r="E2412" s="4">
        <f>IFERROR(__xludf.DUMMYFUNCTION("""COMPUTED_VALUE"""),19.0)</f>
        <v>19</v>
      </c>
      <c r="F2412" s="4">
        <f>IFERROR(__xludf.DUMMYFUNCTION("""COMPUTED_VALUE"""),13.0)</f>
        <v>13</v>
      </c>
      <c r="G2412" s="4">
        <f>IFERROR(__xludf.DUMMYFUNCTION("""COMPUTED_VALUE"""),93.0)</f>
        <v>93</v>
      </c>
      <c r="H2412" s="5">
        <f>IFERROR(__xludf.DUMMYFUNCTION("""COMPUTED_VALUE"""),8352.56)</f>
        <v>8352.56</v>
      </c>
      <c r="I2412" s="5">
        <f>IFERROR(__xludf.DUMMYFUNCTION("""COMPUTED_VALUE"""),7491.19)</f>
        <v>7491.19</v>
      </c>
      <c r="J2412" s="5">
        <f>IFERROR(__xludf.DUMMYFUNCTION("""COMPUTED_VALUE"""),3655.53)</f>
        <v>3655.53</v>
      </c>
      <c r="K2412" s="5">
        <f>IFERROR(__xludf.DUMMYFUNCTION("""COMPUTED_VALUE"""),7232.85)</f>
        <v>7232.85</v>
      </c>
      <c r="L2412" s="4">
        <f>IFERROR(__xludf.DUMMYFUNCTION("""COMPUTED_VALUE"""),8.0)</f>
        <v>8</v>
      </c>
      <c r="M2412" s="4">
        <f>IFERROR(__xludf.DUMMYFUNCTION("""COMPUTED_VALUE"""),43.0)</f>
        <v>43</v>
      </c>
      <c r="N2412" s="2" t="b">
        <f>IFERROR(__xludf.DUMMYFUNCTION("""COMPUTED_VALUE"""),TRUE)</f>
        <v>1</v>
      </c>
    </row>
    <row r="2413">
      <c r="A2413" s="2">
        <f>IFERROR(__xludf.DUMMYFUNCTION("""COMPUTED_VALUE"""),2412.0)</f>
        <v>2412</v>
      </c>
      <c r="B2413" s="2" t="str">
        <f>IFERROR(__xludf.DUMMYFUNCTION("""COMPUTED_VALUE"""),"Davidde Toffolini")</f>
        <v>Davidde Toffolini</v>
      </c>
      <c r="C2413" s="2"/>
      <c r="D2413" s="4">
        <f>IFERROR(__xludf.DUMMYFUNCTION("""COMPUTED_VALUE"""),19.0)</f>
        <v>19</v>
      </c>
      <c r="E2413" s="4">
        <f>IFERROR(__xludf.DUMMYFUNCTION("""COMPUTED_VALUE"""),90.0)</f>
        <v>90</v>
      </c>
      <c r="F2413" s="4">
        <f>IFERROR(__xludf.DUMMYFUNCTION("""COMPUTED_VALUE"""),1.0)</f>
        <v>1</v>
      </c>
      <c r="G2413" s="4">
        <f>IFERROR(__xludf.DUMMYFUNCTION("""COMPUTED_VALUE"""),286.0)</f>
        <v>286</v>
      </c>
      <c r="H2413" s="5">
        <f>IFERROR(__xludf.DUMMYFUNCTION("""COMPUTED_VALUE"""),9438.03)</f>
        <v>9438.03</v>
      </c>
      <c r="I2413" s="5">
        <f>IFERROR(__xludf.DUMMYFUNCTION("""COMPUTED_VALUE"""),6631.24)</f>
        <v>6631.24</v>
      </c>
      <c r="J2413" s="5">
        <f>IFERROR(__xludf.DUMMYFUNCTION("""COMPUTED_VALUE"""),5356.54)</f>
        <v>5356.54</v>
      </c>
      <c r="K2413" s="5">
        <f>IFERROR(__xludf.DUMMYFUNCTION("""COMPUTED_VALUE"""),7554.93)</f>
        <v>7554.93</v>
      </c>
      <c r="L2413" s="4">
        <f>IFERROR(__xludf.DUMMYFUNCTION("""COMPUTED_VALUE"""),10.0)</f>
        <v>10</v>
      </c>
      <c r="M2413" s="4">
        <f>IFERROR(__xludf.DUMMYFUNCTION("""COMPUTED_VALUE"""),34.0)</f>
        <v>34</v>
      </c>
      <c r="N2413" s="2" t="b">
        <f>IFERROR(__xludf.DUMMYFUNCTION("""COMPUTED_VALUE"""),FALSE)</f>
        <v>0</v>
      </c>
    </row>
    <row r="2414">
      <c r="A2414" s="2">
        <f>IFERROR(__xludf.DUMMYFUNCTION("""COMPUTED_VALUE"""),2413.0)</f>
        <v>2413</v>
      </c>
      <c r="B2414" s="2" t="str">
        <f>IFERROR(__xludf.DUMMYFUNCTION("""COMPUTED_VALUE"""),"Conrade Rotge")</f>
        <v>Conrade Rotge</v>
      </c>
      <c r="C2414" s="2"/>
      <c r="D2414" s="4">
        <f>IFERROR(__xludf.DUMMYFUNCTION("""COMPUTED_VALUE"""),35.0)</f>
        <v>35</v>
      </c>
      <c r="E2414" s="4">
        <f>IFERROR(__xludf.DUMMYFUNCTION("""COMPUTED_VALUE"""),105.0)</f>
        <v>105</v>
      </c>
      <c r="F2414" s="4">
        <f>IFERROR(__xludf.DUMMYFUNCTION("""COMPUTED_VALUE"""),8.0)</f>
        <v>8</v>
      </c>
      <c r="G2414" s="4">
        <f>IFERROR(__xludf.DUMMYFUNCTION("""COMPUTED_VALUE"""),713.0)</f>
        <v>713</v>
      </c>
      <c r="H2414" s="5">
        <f>IFERROR(__xludf.DUMMYFUNCTION("""COMPUTED_VALUE"""),6888.77)</f>
        <v>6888.77</v>
      </c>
      <c r="I2414" s="5">
        <f>IFERROR(__xludf.DUMMYFUNCTION("""COMPUTED_VALUE"""),2303.82)</f>
        <v>2303.82</v>
      </c>
      <c r="J2414" s="5">
        <f>IFERROR(__xludf.DUMMYFUNCTION("""COMPUTED_VALUE"""),3037.58)</f>
        <v>3037.58</v>
      </c>
      <c r="K2414" s="5">
        <f>IFERROR(__xludf.DUMMYFUNCTION("""COMPUTED_VALUE"""),4248.03)</f>
        <v>4248.03</v>
      </c>
      <c r="L2414" s="4">
        <f>IFERROR(__xludf.DUMMYFUNCTION("""COMPUTED_VALUE"""),14.0)</f>
        <v>14</v>
      </c>
      <c r="M2414" s="4">
        <f>IFERROR(__xludf.DUMMYFUNCTION("""COMPUTED_VALUE"""),93.0)</f>
        <v>93</v>
      </c>
      <c r="N2414" s="2" t="b">
        <f>IFERROR(__xludf.DUMMYFUNCTION("""COMPUTED_VALUE"""),TRUE)</f>
        <v>1</v>
      </c>
    </row>
    <row r="2415">
      <c r="A2415" s="2">
        <f>IFERROR(__xludf.DUMMYFUNCTION("""COMPUTED_VALUE"""),2414.0)</f>
        <v>2414</v>
      </c>
      <c r="B2415" s="2" t="str">
        <f>IFERROR(__xludf.DUMMYFUNCTION("""COMPUTED_VALUE"""),"Marmaduke Gobel")</f>
        <v>Marmaduke Gobel</v>
      </c>
      <c r="C2415" s="2" t="str">
        <f>IFERROR(__xludf.DUMMYFUNCTION("""COMPUTED_VALUE"""),"mgobelbi@topsy.com")</f>
        <v>mgobelbi@topsy.com</v>
      </c>
      <c r="D2415" s="4">
        <f>IFERROR(__xludf.DUMMYFUNCTION("""COMPUTED_VALUE"""),120.0)</f>
        <v>120</v>
      </c>
      <c r="E2415" s="4">
        <f>IFERROR(__xludf.DUMMYFUNCTION("""COMPUTED_VALUE"""),106.0)</f>
        <v>106</v>
      </c>
      <c r="F2415" s="4">
        <f>IFERROR(__xludf.DUMMYFUNCTION("""COMPUTED_VALUE"""),11.0)</f>
        <v>11</v>
      </c>
      <c r="G2415" s="4">
        <f>IFERROR(__xludf.DUMMYFUNCTION("""COMPUTED_VALUE"""),679.0)</f>
        <v>679</v>
      </c>
      <c r="H2415" s="5">
        <f>IFERROR(__xludf.DUMMYFUNCTION("""COMPUTED_VALUE"""),1749.74)</f>
        <v>1749.74</v>
      </c>
      <c r="I2415" s="5">
        <f>IFERROR(__xludf.DUMMYFUNCTION("""COMPUTED_VALUE"""),2096.8)</f>
        <v>2096.8</v>
      </c>
      <c r="J2415" s="5">
        <f>IFERROR(__xludf.DUMMYFUNCTION("""COMPUTED_VALUE"""),667.48)</f>
        <v>667.48</v>
      </c>
      <c r="K2415" s="5">
        <f>IFERROR(__xludf.DUMMYFUNCTION("""COMPUTED_VALUE"""),7399.15)</f>
        <v>7399.15</v>
      </c>
      <c r="L2415" s="4">
        <f>IFERROR(__xludf.DUMMYFUNCTION("""COMPUTED_VALUE"""),8.0)</f>
        <v>8</v>
      </c>
      <c r="M2415" s="4">
        <f>IFERROR(__xludf.DUMMYFUNCTION("""COMPUTED_VALUE"""),13.0)</f>
        <v>13</v>
      </c>
      <c r="N2415" s="2" t="b">
        <f>IFERROR(__xludf.DUMMYFUNCTION("""COMPUTED_VALUE"""),FALSE)</f>
        <v>0</v>
      </c>
    </row>
    <row r="2416">
      <c r="A2416" s="2">
        <f>IFERROR(__xludf.DUMMYFUNCTION("""COMPUTED_VALUE"""),2415.0)</f>
        <v>2415</v>
      </c>
      <c r="B2416" s="2" t="str">
        <f>IFERROR(__xludf.DUMMYFUNCTION("""COMPUTED_VALUE"""),"Timi Filkin")</f>
        <v>Timi Filkin</v>
      </c>
      <c r="C2416" s="2"/>
      <c r="D2416" s="4">
        <f>IFERROR(__xludf.DUMMYFUNCTION("""COMPUTED_VALUE"""),12.0)</f>
        <v>12</v>
      </c>
      <c r="E2416" s="4">
        <f>IFERROR(__xludf.DUMMYFUNCTION("""COMPUTED_VALUE"""),110.0)</f>
        <v>110</v>
      </c>
      <c r="F2416" s="4">
        <f>IFERROR(__xludf.DUMMYFUNCTION("""COMPUTED_VALUE"""),1.0)</f>
        <v>1</v>
      </c>
      <c r="G2416" s="4">
        <f>IFERROR(__xludf.DUMMYFUNCTION("""COMPUTED_VALUE"""),827.0)</f>
        <v>827</v>
      </c>
      <c r="H2416" s="5">
        <f>IFERROR(__xludf.DUMMYFUNCTION("""COMPUTED_VALUE"""),2607.9)</f>
        <v>2607.9</v>
      </c>
      <c r="I2416" s="5">
        <f>IFERROR(__xludf.DUMMYFUNCTION("""COMPUTED_VALUE"""),9794.04)</f>
        <v>9794.04</v>
      </c>
      <c r="J2416" s="5">
        <f>IFERROR(__xludf.DUMMYFUNCTION("""COMPUTED_VALUE"""),8261.25)</f>
        <v>8261.25</v>
      </c>
      <c r="K2416" s="5">
        <f>IFERROR(__xludf.DUMMYFUNCTION("""COMPUTED_VALUE"""),1210.87)</f>
        <v>1210.87</v>
      </c>
      <c r="L2416" s="4">
        <f>IFERROR(__xludf.DUMMYFUNCTION("""COMPUTED_VALUE"""),14.0)</f>
        <v>14</v>
      </c>
      <c r="M2416" s="4">
        <f>IFERROR(__xludf.DUMMYFUNCTION("""COMPUTED_VALUE"""),71.0)</f>
        <v>71</v>
      </c>
      <c r="N2416" s="2" t="b">
        <f>IFERROR(__xludf.DUMMYFUNCTION("""COMPUTED_VALUE"""),FALSE)</f>
        <v>0</v>
      </c>
    </row>
    <row r="2417">
      <c r="A2417" s="2">
        <f>IFERROR(__xludf.DUMMYFUNCTION("""COMPUTED_VALUE"""),2416.0)</f>
        <v>2416</v>
      </c>
      <c r="B2417" s="2" t="str">
        <f>IFERROR(__xludf.DUMMYFUNCTION("""COMPUTED_VALUE"""),"Wakefield Getten")</f>
        <v>Wakefield Getten</v>
      </c>
      <c r="C2417" s="2" t="str">
        <f>IFERROR(__xludf.DUMMYFUNCTION("""COMPUTED_VALUE"""),"wgettenbk@uol.com.br")</f>
        <v>wgettenbk@uol.com.br</v>
      </c>
      <c r="D2417" s="4">
        <f>IFERROR(__xludf.DUMMYFUNCTION("""COMPUTED_VALUE"""),100.0)</f>
        <v>100</v>
      </c>
      <c r="E2417" s="4">
        <f>IFERROR(__xludf.DUMMYFUNCTION("""COMPUTED_VALUE"""),32.0)</f>
        <v>32</v>
      </c>
      <c r="F2417" s="4">
        <f>IFERROR(__xludf.DUMMYFUNCTION("""COMPUTED_VALUE"""),2.0)</f>
        <v>2</v>
      </c>
      <c r="G2417" s="4">
        <f>IFERROR(__xludf.DUMMYFUNCTION("""COMPUTED_VALUE"""),328.0)</f>
        <v>328</v>
      </c>
      <c r="H2417" s="5">
        <f>IFERROR(__xludf.DUMMYFUNCTION("""COMPUTED_VALUE"""),2492.39)</f>
        <v>2492.39</v>
      </c>
      <c r="I2417" s="5">
        <f>IFERROR(__xludf.DUMMYFUNCTION("""COMPUTED_VALUE"""),3548.42)</f>
        <v>3548.42</v>
      </c>
      <c r="J2417" s="5">
        <f>IFERROR(__xludf.DUMMYFUNCTION("""COMPUTED_VALUE"""),8141.44)</f>
        <v>8141.44</v>
      </c>
      <c r="K2417" s="5">
        <f>IFERROR(__xludf.DUMMYFUNCTION("""COMPUTED_VALUE"""),9045.78)</f>
        <v>9045.78</v>
      </c>
      <c r="L2417" s="4">
        <f>IFERROR(__xludf.DUMMYFUNCTION("""COMPUTED_VALUE"""),14.0)</f>
        <v>14</v>
      </c>
      <c r="M2417" s="4">
        <f>IFERROR(__xludf.DUMMYFUNCTION("""COMPUTED_VALUE"""),39.0)</f>
        <v>39</v>
      </c>
      <c r="N2417" s="2" t="b">
        <f>IFERROR(__xludf.DUMMYFUNCTION("""COMPUTED_VALUE"""),TRUE)</f>
        <v>1</v>
      </c>
    </row>
    <row r="2418">
      <c r="A2418" s="2">
        <f>IFERROR(__xludf.DUMMYFUNCTION("""COMPUTED_VALUE"""),2417.0)</f>
        <v>2417</v>
      </c>
      <c r="B2418" s="2" t="str">
        <f>IFERROR(__xludf.DUMMYFUNCTION("""COMPUTED_VALUE"""),"Kori Hann")</f>
        <v>Kori Hann</v>
      </c>
      <c r="C2418" s="2"/>
      <c r="D2418" s="4">
        <f>IFERROR(__xludf.DUMMYFUNCTION("""COMPUTED_VALUE"""),60.0)</f>
        <v>60</v>
      </c>
      <c r="E2418" s="4">
        <f>IFERROR(__xludf.DUMMYFUNCTION("""COMPUTED_VALUE"""),3.0)</f>
        <v>3</v>
      </c>
      <c r="F2418" s="4">
        <f>IFERROR(__xludf.DUMMYFUNCTION("""COMPUTED_VALUE"""),11.0)</f>
        <v>11</v>
      </c>
      <c r="G2418" s="4">
        <f>IFERROR(__xludf.DUMMYFUNCTION("""COMPUTED_VALUE"""),1068.0)</f>
        <v>1068</v>
      </c>
      <c r="H2418" s="5">
        <f>IFERROR(__xludf.DUMMYFUNCTION("""COMPUTED_VALUE"""),8105.2)</f>
        <v>8105.2</v>
      </c>
      <c r="I2418" s="5">
        <f>IFERROR(__xludf.DUMMYFUNCTION("""COMPUTED_VALUE"""),3968.14)</f>
        <v>3968.14</v>
      </c>
      <c r="J2418" s="5">
        <f>IFERROR(__xludf.DUMMYFUNCTION("""COMPUTED_VALUE"""),2708.79)</f>
        <v>2708.79</v>
      </c>
      <c r="K2418" s="5">
        <f>IFERROR(__xludf.DUMMYFUNCTION("""COMPUTED_VALUE"""),2931.15)</f>
        <v>2931.15</v>
      </c>
      <c r="L2418" s="4">
        <f>IFERROR(__xludf.DUMMYFUNCTION("""COMPUTED_VALUE"""),19.0)</f>
        <v>19</v>
      </c>
      <c r="M2418" s="4">
        <f>IFERROR(__xludf.DUMMYFUNCTION("""COMPUTED_VALUE"""),26.0)</f>
        <v>26</v>
      </c>
      <c r="N2418" s="2" t="b">
        <f>IFERROR(__xludf.DUMMYFUNCTION("""COMPUTED_VALUE"""),TRUE)</f>
        <v>1</v>
      </c>
    </row>
    <row r="2419">
      <c r="A2419" s="2">
        <f>IFERROR(__xludf.DUMMYFUNCTION("""COMPUTED_VALUE"""),2418.0)</f>
        <v>2418</v>
      </c>
      <c r="B2419" s="2" t="str">
        <f>IFERROR(__xludf.DUMMYFUNCTION("""COMPUTED_VALUE"""),"Woodman Wardel")</f>
        <v>Woodman Wardel</v>
      </c>
      <c r="C2419" s="2" t="str">
        <f>IFERROR(__xludf.DUMMYFUNCTION("""COMPUTED_VALUE"""),"wwardelbm@economist.com")</f>
        <v>wwardelbm@economist.com</v>
      </c>
      <c r="D2419" s="4">
        <f>IFERROR(__xludf.DUMMYFUNCTION("""COMPUTED_VALUE"""),104.0)</f>
        <v>104</v>
      </c>
      <c r="E2419" s="4">
        <f>IFERROR(__xludf.DUMMYFUNCTION("""COMPUTED_VALUE"""),124.0)</f>
        <v>124</v>
      </c>
      <c r="F2419" s="4">
        <f>IFERROR(__xludf.DUMMYFUNCTION("""COMPUTED_VALUE"""),8.0)</f>
        <v>8</v>
      </c>
      <c r="G2419" s="4">
        <f>IFERROR(__xludf.DUMMYFUNCTION("""COMPUTED_VALUE"""),1197.0)</f>
        <v>1197</v>
      </c>
      <c r="H2419" s="5">
        <f>IFERROR(__xludf.DUMMYFUNCTION("""COMPUTED_VALUE"""),689.61)</f>
        <v>689.61</v>
      </c>
      <c r="I2419" s="5">
        <f>IFERROR(__xludf.DUMMYFUNCTION("""COMPUTED_VALUE"""),7637.7)</f>
        <v>7637.7</v>
      </c>
      <c r="J2419" s="5">
        <f>IFERROR(__xludf.DUMMYFUNCTION("""COMPUTED_VALUE"""),6868.71)</f>
        <v>6868.71</v>
      </c>
      <c r="K2419" s="5">
        <f>IFERROR(__xludf.DUMMYFUNCTION("""COMPUTED_VALUE"""),8980.93)</f>
        <v>8980.93</v>
      </c>
      <c r="L2419" s="4">
        <f>IFERROR(__xludf.DUMMYFUNCTION("""COMPUTED_VALUE"""),10.0)</f>
        <v>10</v>
      </c>
      <c r="M2419" s="4">
        <f>IFERROR(__xludf.DUMMYFUNCTION("""COMPUTED_VALUE"""),100.0)</f>
        <v>100</v>
      </c>
      <c r="N2419" s="2" t="b">
        <f>IFERROR(__xludf.DUMMYFUNCTION("""COMPUTED_VALUE"""),TRUE)</f>
        <v>1</v>
      </c>
    </row>
    <row r="2420">
      <c r="A2420" s="2">
        <f>IFERROR(__xludf.DUMMYFUNCTION("""COMPUTED_VALUE"""),2419.0)</f>
        <v>2419</v>
      </c>
      <c r="B2420" s="2" t="str">
        <f>IFERROR(__xludf.DUMMYFUNCTION("""COMPUTED_VALUE"""),"Jeanette Dumini")</f>
        <v>Jeanette Dumini</v>
      </c>
      <c r="C2420" s="2" t="str">
        <f>IFERROR(__xludf.DUMMYFUNCTION("""COMPUTED_VALUE"""),"jduminibn@cornell.edu")</f>
        <v>jduminibn@cornell.edu</v>
      </c>
      <c r="D2420" s="4">
        <f>IFERROR(__xludf.DUMMYFUNCTION("""COMPUTED_VALUE"""),103.0)</f>
        <v>103</v>
      </c>
      <c r="E2420" s="4">
        <f>IFERROR(__xludf.DUMMYFUNCTION("""COMPUTED_VALUE"""),15.0)</f>
        <v>15</v>
      </c>
      <c r="F2420" s="4">
        <f>IFERROR(__xludf.DUMMYFUNCTION("""COMPUTED_VALUE"""),13.0)</f>
        <v>13</v>
      </c>
      <c r="G2420" s="4">
        <f>IFERROR(__xludf.DUMMYFUNCTION("""COMPUTED_VALUE"""),662.0)</f>
        <v>662</v>
      </c>
      <c r="H2420" s="5">
        <f>IFERROR(__xludf.DUMMYFUNCTION("""COMPUTED_VALUE"""),9148.96)</f>
        <v>9148.96</v>
      </c>
      <c r="I2420" s="5">
        <f>IFERROR(__xludf.DUMMYFUNCTION("""COMPUTED_VALUE"""),7298.46)</f>
        <v>7298.46</v>
      </c>
      <c r="J2420" s="5">
        <f>IFERROR(__xludf.DUMMYFUNCTION("""COMPUTED_VALUE"""),80.85)</f>
        <v>80.85</v>
      </c>
      <c r="K2420" s="5">
        <f>IFERROR(__xludf.DUMMYFUNCTION("""COMPUTED_VALUE"""),5669.65)</f>
        <v>5669.65</v>
      </c>
      <c r="L2420" s="4">
        <f>IFERROR(__xludf.DUMMYFUNCTION("""COMPUTED_VALUE"""),2.0)</f>
        <v>2</v>
      </c>
      <c r="M2420" s="4">
        <f>IFERROR(__xludf.DUMMYFUNCTION("""COMPUTED_VALUE"""),61.0)</f>
        <v>61</v>
      </c>
      <c r="N2420" s="2" t="b">
        <f>IFERROR(__xludf.DUMMYFUNCTION("""COMPUTED_VALUE"""),TRUE)</f>
        <v>1</v>
      </c>
    </row>
    <row r="2421">
      <c r="A2421" s="2">
        <f>IFERROR(__xludf.DUMMYFUNCTION("""COMPUTED_VALUE"""),2420.0)</f>
        <v>2420</v>
      </c>
      <c r="B2421" s="2" t="str">
        <f>IFERROR(__xludf.DUMMYFUNCTION("""COMPUTED_VALUE"""),"Barbette Denyakin")</f>
        <v>Barbette Denyakin</v>
      </c>
      <c r="C2421" s="2" t="str">
        <f>IFERROR(__xludf.DUMMYFUNCTION("""COMPUTED_VALUE"""),"bdenyakinbo@gov.uk")</f>
        <v>bdenyakinbo@gov.uk</v>
      </c>
      <c r="D2421" s="4">
        <f>IFERROR(__xludf.DUMMYFUNCTION("""COMPUTED_VALUE"""),43.0)</f>
        <v>43</v>
      </c>
      <c r="E2421" s="4">
        <f>IFERROR(__xludf.DUMMYFUNCTION("""COMPUTED_VALUE"""),94.0)</f>
        <v>94</v>
      </c>
      <c r="F2421" s="4">
        <f>IFERROR(__xludf.DUMMYFUNCTION("""COMPUTED_VALUE"""),8.0)</f>
        <v>8</v>
      </c>
      <c r="G2421" s="4">
        <f>IFERROR(__xludf.DUMMYFUNCTION("""COMPUTED_VALUE"""),111.0)</f>
        <v>111</v>
      </c>
      <c r="H2421" s="5">
        <f>IFERROR(__xludf.DUMMYFUNCTION("""COMPUTED_VALUE"""),8197.88)</f>
        <v>8197.88</v>
      </c>
      <c r="I2421" s="5">
        <f>IFERROR(__xludf.DUMMYFUNCTION("""COMPUTED_VALUE"""),9508.6)</f>
        <v>9508.6</v>
      </c>
      <c r="J2421" s="5">
        <f>IFERROR(__xludf.DUMMYFUNCTION("""COMPUTED_VALUE"""),7001.76)</f>
        <v>7001.76</v>
      </c>
      <c r="K2421" s="5">
        <f>IFERROR(__xludf.DUMMYFUNCTION("""COMPUTED_VALUE"""),5997.15)</f>
        <v>5997.15</v>
      </c>
      <c r="L2421" s="4">
        <f>IFERROR(__xludf.DUMMYFUNCTION("""COMPUTED_VALUE"""),3.0)</f>
        <v>3</v>
      </c>
      <c r="M2421" s="4">
        <f>IFERROR(__xludf.DUMMYFUNCTION("""COMPUTED_VALUE"""),66.0)</f>
        <v>66</v>
      </c>
      <c r="N2421" s="2" t="b">
        <f>IFERROR(__xludf.DUMMYFUNCTION("""COMPUTED_VALUE"""),FALSE)</f>
        <v>0</v>
      </c>
    </row>
    <row r="2422">
      <c r="A2422" s="2">
        <f>IFERROR(__xludf.DUMMYFUNCTION("""COMPUTED_VALUE"""),2421.0)</f>
        <v>2421</v>
      </c>
      <c r="B2422" s="2" t="str">
        <f>IFERROR(__xludf.DUMMYFUNCTION("""COMPUTED_VALUE"""),"Virgil Cobbald")</f>
        <v>Virgil Cobbald</v>
      </c>
      <c r="C2422" s="2" t="str">
        <f>IFERROR(__xludf.DUMMYFUNCTION("""COMPUTED_VALUE"""),"vcobbaldbp@omniture.com")</f>
        <v>vcobbaldbp@omniture.com</v>
      </c>
      <c r="D2422" s="4">
        <f>IFERROR(__xludf.DUMMYFUNCTION("""COMPUTED_VALUE"""),85.0)</f>
        <v>85</v>
      </c>
      <c r="E2422" s="4">
        <f>IFERROR(__xludf.DUMMYFUNCTION("""COMPUTED_VALUE"""),60.0)</f>
        <v>60</v>
      </c>
      <c r="F2422" s="4">
        <f>IFERROR(__xludf.DUMMYFUNCTION("""COMPUTED_VALUE"""),13.0)</f>
        <v>13</v>
      </c>
      <c r="G2422" s="4">
        <f>IFERROR(__xludf.DUMMYFUNCTION("""COMPUTED_VALUE"""),785.0)</f>
        <v>785</v>
      </c>
      <c r="H2422" s="5">
        <f>IFERROR(__xludf.DUMMYFUNCTION("""COMPUTED_VALUE"""),3933.74)</f>
        <v>3933.74</v>
      </c>
      <c r="I2422" s="5">
        <f>IFERROR(__xludf.DUMMYFUNCTION("""COMPUTED_VALUE"""),755.04)</f>
        <v>755.04</v>
      </c>
      <c r="J2422" s="5">
        <f>IFERROR(__xludf.DUMMYFUNCTION("""COMPUTED_VALUE"""),7773.0)</f>
        <v>7773</v>
      </c>
      <c r="K2422" s="5">
        <f>IFERROR(__xludf.DUMMYFUNCTION("""COMPUTED_VALUE"""),7742.97)</f>
        <v>7742.97</v>
      </c>
      <c r="L2422" s="4">
        <f>IFERROR(__xludf.DUMMYFUNCTION("""COMPUTED_VALUE"""),2.0)</f>
        <v>2</v>
      </c>
      <c r="M2422" s="4">
        <f>IFERROR(__xludf.DUMMYFUNCTION("""COMPUTED_VALUE"""),68.0)</f>
        <v>68</v>
      </c>
      <c r="N2422" s="2" t="b">
        <f>IFERROR(__xludf.DUMMYFUNCTION("""COMPUTED_VALUE"""),TRUE)</f>
        <v>1</v>
      </c>
    </row>
    <row r="2423">
      <c r="A2423" s="2">
        <f>IFERROR(__xludf.DUMMYFUNCTION("""COMPUTED_VALUE"""),2422.0)</f>
        <v>2422</v>
      </c>
      <c r="B2423" s="2" t="str">
        <f>IFERROR(__xludf.DUMMYFUNCTION("""COMPUTED_VALUE"""),"Shalne Deards")</f>
        <v>Shalne Deards</v>
      </c>
      <c r="C2423" s="2"/>
      <c r="D2423" s="4">
        <f>IFERROR(__xludf.DUMMYFUNCTION("""COMPUTED_VALUE"""),37.0)</f>
        <v>37</v>
      </c>
      <c r="E2423" s="4">
        <f>IFERROR(__xludf.DUMMYFUNCTION("""COMPUTED_VALUE"""),48.0)</f>
        <v>48</v>
      </c>
      <c r="F2423" s="4">
        <f>IFERROR(__xludf.DUMMYFUNCTION("""COMPUTED_VALUE"""),12.0)</f>
        <v>12</v>
      </c>
      <c r="G2423" s="4">
        <f>IFERROR(__xludf.DUMMYFUNCTION("""COMPUTED_VALUE"""),1420.0)</f>
        <v>1420</v>
      </c>
      <c r="H2423" s="5">
        <f>IFERROR(__xludf.DUMMYFUNCTION("""COMPUTED_VALUE"""),9201.98)</f>
        <v>9201.98</v>
      </c>
      <c r="I2423" s="5">
        <f>IFERROR(__xludf.DUMMYFUNCTION("""COMPUTED_VALUE"""),5553.0)</f>
        <v>5553</v>
      </c>
      <c r="J2423" s="5">
        <f>IFERROR(__xludf.DUMMYFUNCTION("""COMPUTED_VALUE"""),2105.99)</f>
        <v>2105.99</v>
      </c>
      <c r="K2423" s="5">
        <f>IFERROR(__xludf.DUMMYFUNCTION("""COMPUTED_VALUE"""),6453.57)</f>
        <v>6453.57</v>
      </c>
      <c r="L2423" s="4">
        <f>IFERROR(__xludf.DUMMYFUNCTION("""COMPUTED_VALUE"""),9.0)</f>
        <v>9</v>
      </c>
      <c r="M2423" s="4">
        <f>IFERROR(__xludf.DUMMYFUNCTION("""COMPUTED_VALUE"""),40.0)</f>
        <v>40</v>
      </c>
      <c r="N2423" s="2" t="b">
        <f>IFERROR(__xludf.DUMMYFUNCTION("""COMPUTED_VALUE"""),FALSE)</f>
        <v>0</v>
      </c>
    </row>
    <row r="2424">
      <c r="A2424" s="2">
        <f>IFERROR(__xludf.DUMMYFUNCTION("""COMPUTED_VALUE"""),2423.0)</f>
        <v>2423</v>
      </c>
      <c r="B2424" s="2" t="str">
        <f>IFERROR(__xludf.DUMMYFUNCTION("""COMPUTED_VALUE"""),"Vally Scafe")</f>
        <v>Vally Scafe</v>
      </c>
      <c r="C2424" s="2"/>
      <c r="D2424" s="4">
        <f>IFERROR(__xludf.DUMMYFUNCTION("""COMPUTED_VALUE"""),57.0)</f>
        <v>57</v>
      </c>
      <c r="E2424" s="4">
        <f>IFERROR(__xludf.DUMMYFUNCTION("""COMPUTED_VALUE"""),92.0)</f>
        <v>92</v>
      </c>
      <c r="F2424" s="4">
        <f>IFERROR(__xludf.DUMMYFUNCTION("""COMPUTED_VALUE"""),13.0)</f>
        <v>13</v>
      </c>
      <c r="G2424" s="4">
        <f>IFERROR(__xludf.DUMMYFUNCTION("""COMPUTED_VALUE"""),1296.0)</f>
        <v>1296</v>
      </c>
      <c r="H2424" s="5">
        <f>IFERROR(__xludf.DUMMYFUNCTION("""COMPUTED_VALUE"""),3834.1)</f>
        <v>3834.1</v>
      </c>
      <c r="I2424" s="5">
        <f>IFERROR(__xludf.DUMMYFUNCTION("""COMPUTED_VALUE"""),5205.82)</f>
        <v>5205.82</v>
      </c>
      <c r="J2424" s="5">
        <f>IFERROR(__xludf.DUMMYFUNCTION("""COMPUTED_VALUE"""),3104.39)</f>
        <v>3104.39</v>
      </c>
      <c r="K2424" s="5">
        <f>IFERROR(__xludf.DUMMYFUNCTION("""COMPUTED_VALUE"""),278.7)</f>
        <v>278.7</v>
      </c>
      <c r="L2424" s="4">
        <f>IFERROR(__xludf.DUMMYFUNCTION("""COMPUTED_VALUE"""),2.0)</f>
        <v>2</v>
      </c>
      <c r="M2424" s="4">
        <f>IFERROR(__xludf.DUMMYFUNCTION("""COMPUTED_VALUE"""),97.0)</f>
        <v>97</v>
      </c>
      <c r="N2424" s="2" t="b">
        <f>IFERROR(__xludf.DUMMYFUNCTION("""COMPUTED_VALUE"""),FALSE)</f>
        <v>0</v>
      </c>
    </row>
    <row r="2425">
      <c r="A2425" s="2">
        <f>IFERROR(__xludf.DUMMYFUNCTION("""COMPUTED_VALUE"""),2424.0)</f>
        <v>2424</v>
      </c>
      <c r="B2425" s="2" t="str">
        <f>IFERROR(__xludf.DUMMYFUNCTION("""COMPUTED_VALUE"""),"Ephraim Dampier")</f>
        <v>Ephraim Dampier</v>
      </c>
      <c r="C2425" s="2"/>
      <c r="D2425" s="4">
        <f>IFERROR(__xludf.DUMMYFUNCTION("""COMPUTED_VALUE"""),69.0)</f>
        <v>69</v>
      </c>
      <c r="E2425" s="4">
        <f>IFERROR(__xludf.DUMMYFUNCTION("""COMPUTED_VALUE"""),92.0)</f>
        <v>92</v>
      </c>
      <c r="F2425" s="4">
        <f>IFERROR(__xludf.DUMMYFUNCTION("""COMPUTED_VALUE"""),9.0)</f>
        <v>9</v>
      </c>
      <c r="G2425" s="4">
        <f>IFERROR(__xludf.DUMMYFUNCTION("""COMPUTED_VALUE"""),142.0)</f>
        <v>142</v>
      </c>
      <c r="H2425" s="5">
        <f>IFERROR(__xludf.DUMMYFUNCTION("""COMPUTED_VALUE"""),2839.77)</f>
        <v>2839.77</v>
      </c>
      <c r="I2425" s="5">
        <f>IFERROR(__xludf.DUMMYFUNCTION("""COMPUTED_VALUE"""),2020.65)</f>
        <v>2020.65</v>
      </c>
      <c r="J2425" s="5">
        <f>IFERROR(__xludf.DUMMYFUNCTION("""COMPUTED_VALUE"""),1250.07)</f>
        <v>1250.07</v>
      </c>
      <c r="K2425" s="5">
        <f>IFERROR(__xludf.DUMMYFUNCTION("""COMPUTED_VALUE"""),7274.85)</f>
        <v>7274.85</v>
      </c>
      <c r="L2425" s="4">
        <f>IFERROR(__xludf.DUMMYFUNCTION("""COMPUTED_VALUE"""),6.0)</f>
        <v>6</v>
      </c>
      <c r="M2425" s="4">
        <f>IFERROR(__xludf.DUMMYFUNCTION("""COMPUTED_VALUE"""),49.0)</f>
        <v>49</v>
      </c>
      <c r="N2425" s="2" t="b">
        <f>IFERROR(__xludf.DUMMYFUNCTION("""COMPUTED_VALUE"""),FALSE)</f>
        <v>0</v>
      </c>
    </row>
    <row r="2426">
      <c r="A2426" s="2">
        <f>IFERROR(__xludf.DUMMYFUNCTION("""COMPUTED_VALUE"""),2425.0)</f>
        <v>2425</v>
      </c>
      <c r="B2426" s="2" t="str">
        <f>IFERROR(__xludf.DUMMYFUNCTION("""COMPUTED_VALUE"""),"Valene Kolis")</f>
        <v>Valene Kolis</v>
      </c>
      <c r="C2426" s="2"/>
      <c r="D2426" s="4">
        <f>IFERROR(__xludf.DUMMYFUNCTION("""COMPUTED_VALUE"""),6.0)</f>
        <v>6</v>
      </c>
      <c r="E2426" s="4">
        <f>IFERROR(__xludf.DUMMYFUNCTION("""COMPUTED_VALUE"""),36.0)</f>
        <v>36</v>
      </c>
      <c r="F2426" s="4">
        <f>IFERROR(__xludf.DUMMYFUNCTION("""COMPUTED_VALUE"""),13.0)</f>
        <v>13</v>
      </c>
      <c r="G2426" s="4">
        <f>IFERROR(__xludf.DUMMYFUNCTION("""COMPUTED_VALUE"""),182.0)</f>
        <v>182</v>
      </c>
      <c r="H2426" s="5">
        <f>IFERROR(__xludf.DUMMYFUNCTION("""COMPUTED_VALUE"""),7071.97)</f>
        <v>7071.97</v>
      </c>
      <c r="I2426" s="5">
        <f>IFERROR(__xludf.DUMMYFUNCTION("""COMPUTED_VALUE"""),4941.1)</f>
        <v>4941.1</v>
      </c>
      <c r="J2426" s="5">
        <f>IFERROR(__xludf.DUMMYFUNCTION("""COMPUTED_VALUE"""),6946.53)</f>
        <v>6946.53</v>
      </c>
      <c r="K2426" s="5">
        <f>IFERROR(__xludf.DUMMYFUNCTION("""COMPUTED_VALUE"""),9036.49)</f>
        <v>9036.49</v>
      </c>
      <c r="L2426" s="4">
        <f>IFERROR(__xludf.DUMMYFUNCTION("""COMPUTED_VALUE"""),7.0)</f>
        <v>7</v>
      </c>
      <c r="M2426" s="4">
        <f>IFERROR(__xludf.DUMMYFUNCTION("""COMPUTED_VALUE"""),99.0)</f>
        <v>99</v>
      </c>
      <c r="N2426" s="2" t="b">
        <f>IFERROR(__xludf.DUMMYFUNCTION("""COMPUTED_VALUE"""),TRUE)</f>
        <v>1</v>
      </c>
    </row>
    <row r="2427">
      <c r="A2427" s="2">
        <f>IFERROR(__xludf.DUMMYFUNCTION("""COMPUTED_VALUE"""),2426.0)</f>
        <v>2426</v>
      </c>
      <c r="B2427" s="2" t="str">
        <f>IFERROR(__xludf.DUMMYFUNCTION("""COMPUTED_VALUE"""),"Joe Lambertz")</f>
        <v>Joe Lambertz</v>
      </c>
      <c r="C2427" s="2" t="str">
        <f>IFERROR(__xludf.DUMMYFUNCTION("""COMPUTED_VALUE"""),"jlambertzbu@sakura.ne.jp")</f>
        <v>jlambertzbu@sakura.ne.jp</v>
      </c>
      <c r="D2427" s="4">
        <f>IFERROR(__xludf.DUMMYFUNCTION("""COMPUTED_VALUE"""),21.0)</f>
        <v>21</v>
      </c>
      <c r="E2427" s="4">
        <f>IFERROR(__xludf.DUMMYFUNCTION("""COMPUTED_VALUE"""),12.0)</f>
        <v>12</v>
      </c>
      <c r="F2427" s="4">
        <f>IFERROR(__xludf.DUMMYFUNCTION("""COMPUTED_VALUE"""),10.0)</f>
        <v>10</v>
      </c>
      <c r="G2427" s="4">
        <f>IFERROR(__xludf.DUMMYFUNCTION("""COMPUTED_VALUE"""),123.0)</f>
        <v>123</v>
      </c>
      <c r="H2427" s="5">
        <f>IFERROR(__xludf.DUMMYFUNCTION("""COMPUTED_VALUE"""),9818.09)</f>
        <v>9818.09</v>
      </c>
      <c r="I2427" s="5">
        <f>IFERROR(__xludf.DUMMYFUNCTION("""COMPUTED_VALUE"""),2613.28)</f>
        <v>2613.28</v>
      </c>
      <c r="J2427" s="5">
        <f>IFERROR(__xludf.DUMMYFUNCTION("""COMPUTED_VALUE"""),6159.32)</f>
        <v>6159.32</v>
      </c>
      <c r="K2427" s="5">
        <f>IFERROR(__xludf.DUMMYFUNCTION("""COMPUTED_VALUE"""),9465.06)</f>
        <v>9465.06</v>
      </c>
      <c r="L2427" s="4">
        <f>IFERROR(__xludf.DUMMYFUNCTION("""COMPUTED_VALUE"""),9.0)</f>
        <v>9</v>
      </c>
      <c r="M2427" s="4">
        <f>IFERROR(__xludf.DUMMYFUNCTION("""COMPUTED_VALUE"""),55.0)</f>
        <v>55</v>
      </c>
      <c r="N2427" s="2" t="b">
        <f>IFERROR(__xludf.DUMMYFUNCTION("""COMPUTED_VALUE"""),TRUE)</f>
        <v>1</v>
      </c>
    </row>
    <row r="2428">
      <c r="A2428" s="2">
        <f>IFERROR(__xludf.DUMMYFUNCTION("""COMPUTED_VALUE"""),2427.0)</f>
        <v>2427</v>
      </c>
      <c r="B2428" s="2" t="str">
        <f>IFERROR(__xludf.DUMMYFUNCTION("""COMPUTED_VALUE"""),"Perry Whiston")</f>
        <v>Perry Whiston</v>
      </c>
      <c r="C2428" s="2"/>
      <c r="D2428" s="4">
        <f>IFERROR(__xludf.DUMMYFUNCTION("""COMPUTED_VALUE"""),85.0)</f>
        <v>85</v>
      </c>
      <c r="E2428" s="4">
        <f>IFERROR(__xludf.DUMMYFUNCTION("""COMPUTED_VALUE"""),88.0)</f>
        <v>88</v>
      </c>
      <c r="F2428" s="4">
        <f>IFERROR(__xludf.DUMMYFUNCTION("""COMPUTED_VALUE"""),9.0)</f>
        <v>9</v>
      </c>
      <c r="G2428" s="4">
        <f>IFERROR(__xludf.DUMMYFUNCTION("""COMPUTED_VALUE"""),1311.0)</f>
        <v>1311</v>
      </c>
      <c r="H2428" s="5">
        <f>IFERROR(__xludf.DUMMYFUNCTION("""COMPUTED_VALUE"""),6674.56)</f>
        <v>6674.56</v>
      </c>
      <c r="I2428" s="5">
        <f>IFERROR(__xludf.DUMMYFUNCTION("""COMPUTED_VALUE"""),1719.73)</f>
        <v>1719.73</v>
      </c>
      <c r="J2428" s="5">
        <f>IFERROR(__xludf.DUMMYFUNCTION("""COMPUTED_VALUE"""),1477.85)</f>
        <v>1477.85</v>
      </c>
      <c r="K2428" s="5">
        <f>IFERROR(__xludf.DUMMYFUNCTION("""COMPUTED_VALUE"""),4827.02)</f>
        <v>4827.02</v>
      </c>
      <c r="L2428" s="4">
        <f>IFERROR(__xludf.DUMMYFUNCTION("""COMPUTED_VALUE"""),11.0)</f>
        <v>11</v>
      </c>
      <c r="M2428" s="4">
        <f>IFERROR(__xludf.DUMMYFUNCTION("""COMPUTED_VALUE"""),15.0)</f>
        <v>15</v>
      </c>
      <c r="N2428" s="2" t="b">
        <f>IFERROR(__xludf.DUMMYFUNCTION("""COMPUTED_VALUE"""),TRUE)</f>
        <v>1</v>
      </c>
    </row>
    <row r="2429">
      <c r="A2429" s="2">
        <f>IFERROR(__xludf.DUMMYFUNCTION("""COMPUTED_VALUE"""),2428.0)</f>
        <v>2428</v>
      </c>
      <c r="B2429" s="2" t="str">
        <f>IFERROR(__xludf.DUMMYFUNCTION("""COMPUTED_VALUE"""),"Hi Ygou")</f>
        <v>Hi Ygou</v>
      </c>
      <c r="C2429" s="2"/>
      <c r="D2429" s="4">
        <f>IFERROR(__xludf.DUMMYFUNCTION("""COMPUTED_VALUE"""),71.0)</f>
        <v>71</v>
      </c>
      <c r="E2429" s="4">
        <f>IFERROR(__xludf.DUMMYFUNCTION("""COMPUTED_VALUE"""),11.0)</f>
        <v>11</v>
      </c>
      <c r="F2429" s="4">
        <f>IFERROR(__xludf.DUMMYFUNCTION("""COMPUTED_VALUE"""),8.0)</f>
        <v>8</v>
      </c>
      <c r="G2429" s="4">
        <f>IFERROR(__xludf.DUMMYFUNCTION("""COMPUTED_VALUE"""),30.0)</f>
        <v>30</v>
      </c>
      <c r="H2429" s="5">
        <f>IFERROR(__xludf.DUMMYFUNCTION("""COMPUTED_VALUE"""),1451.4)</f>
        <v>1451.4</v>
      </c>
      <c r="I2429" s="5">
        <f>IFERROR(__xludf.DUMMYFUNCTION("""COMPUTED_VALUE"""),7172.09)</f>
        <v>7172.09</v>
      </c>
      <c r="J2429" s="5">
        <f>IFERROR(__xludf.DUMMYFUNCTION("""COMPUTED_VALUE"""),3832.39)</f>
        <v>3832.39</v>
      </c>
      <c r="K2429" s="5">
        <f>IFERROR(__xludf.DUMMYFUNCTION("""COMPUTED_VALUE"""),8580.69)</f>
        <v>8580.69</v>
      </c>
      <c r="L2429" s="4">
        <f>IFERROR(__xludf.DUMMYFUNCTION("""COMPUTED_VALUE"""),16.0)</f>
        <v>16</v>
      </c>
      <c r="M2429" s="4">
        <f>IFERROR(__xludf.DUMMYFUNCTION("""COMPUTED_VALUE"""),65.0)</f>
        <v>65</v>
      </c>
      <c r="N2429" s="2" t="b">
        <f>IFERROR(__xludf.DUMMYFUNCTION("""COMPUTED_VALUE"""),FALSE)</f>
        <v>0</v>
      </c>
    </row>
    <row r="2430">
      <c r="A2430" s="2">
        <f>IFERROR(__xludf.DUMMYFUNCTION("""COMPUTED_VALUE"""),2429.0)</f>
        <v>2429</v>
      </c>
      <c r="B2430" s="2" t="str">
        <f>IFERROR(__xludf.DUMMYFUNCTION("""COMPUTED_VALUE"""),"Pammi McCalister")</f>
        <v>Pammi McCalister</v>
      </c>
      <c r="C2430" s="2" t="str">
        <f>IFERROR(__xludf.DUMMYFUNCTION("""COMPUTED_VALUE"""),"pmccalisterbx@hud.gov")</f>
        <v>pmccalisterbx@hud.gov</v>
      </c>
      <c r="D2430" s="4">
        <f>IFERROR(__xludf.DUMMYFUNCTION("""COMPUTED_VALUE"""),103.0)</f>
        <v>103</v>
      </c>
      <c r="E2430" s="4">
        <f>IFERROR(__xludf.DUMMYFUNCTION("""COMPUTED_VALUE"""),105.0)</f>
        <v>105</v>
      </c>
      <c r="F2430" s="4">
        <f>IFERROR(__xludf.DUMMYFUNCTION("""COMPUTED_VALUE"""),7.0)</f>
        <v>7</v>
      </c>
      <c r="G2430" s="4">
        <f>IFERROR(__xludf.DUMMYFUNCTION("""COMPUTED_VALUE"""),170.0)</f>
        <v>170</v>
      </c>
      <c r="H2430" s="5">
        <f>IFERROR(__xludf.DUMMYFUNCTION("""COMPUTED_VALUE"""),579.91)</f>
        <v>579.91</v>
      </c>
      <c r="I2430" s="5">
        <f>IFERROR(__xludf.DUMMYFUNCTION("""COMPUTED_VALUE"""),569.32)</f>
        <v>569.32</v>
      </c>
      <c r="J2430" s="5">
        <f>IFERROR(__xludf.DUMMYFUNCTION("""COMPUTED_VALUE"""),7773.45)</f>
        <v>7773.45</v>
      </c>
      <c r="K2430" s="5">
        <f>IFERROR(__xludf.DUMMYFUNCTION("""COMPUTED_VALUE"""),7794.26)</f>
        <v>7794.26</v>
      </c>
      <c r="L2430" s="4">
        <f>IFERROR(__xludf.DUMMYFUNCTION("""COMPUTED_VALUE"""),13.0)</f>
        <v>13</v>
      </c>
      <c r="M2430" s="4">
        <f>IFERROR(__xludf.DUMMYFUNCTION("""COMPUTED_VALUE"""),16.0)</f>
        <v>16</v>
      </c>
      <c r="N2430" s="2" t="b">
        <f>IFERROR(__xludf.DUMMYFUNCTION("""COMPUTED_VALUE"""),FALSE)</f>
        <v>0</v>
      </c>
    </row>
    <row r="2431">
      <c r="A2431" s="2">
        <f>IFERROR(__xludf.DUMMYFUNCTION("""COMPUTED_VALUE"""),2430.0)</f>
        <v>2430</v>
      </c>
      <c r="B2431" s="2" t="str">
        <f>IFERROR(__xludf.DUMMYFUNCTION("""COMPUTED_VALUE"""),"Shaylynn Sparrowhawk")</f>
        <v>Shaylynn Sparrowhawk</v>
      </c>
      <c r="C2431" s="2" t="str">
        <f>IFERROR(__xludf.DUMMYFUNCTION("""COMPUTED_VALUE"""),"ssparrowhawkby@samsung.com")</f>
        <v>ssparrowhawkby@samsung.com</v>
      </c>
      <c r="D2431" s="4">
        <f>IFERROR(__xludf.DUMMYFUNCTION("""COMPUTED_VALUE"""),106.0)</f>
        <v>106</v>
      </c>
      <c r="E2431" s="4">
        <f>IFERROR(__xludf.DUMMYFUNCTION("""COMPUTED_VALUE"""),101.0)</f>
        <v>101</v>
      </c>
      <c r="F2431" s="4">
        <f>IFERROR(__xludf.DUMMYFUNCTION("""COMPUTED_VALUE"""),1.0)</f>
        <v>1</v>
      </c>
      <c r="G2431" s="4">
        <f>IFERROR(__xludf.DUMMYFUNCTION("""COMPUTED_VALUE"""),1437.0)</f>
        <v>1437</v>
      </c>
      <c r="H2431" s="5">
        <f>IFERROR(__xludf.DUMMYFUNCTION("""COMPUTED_VALUE"""),9207.9)</f>
        <v>9207.9</v>
      </c>
      <c r="I2431" s="5">
        <f>IFERROR(__xludf.DUMMYFUNCTION("""COMPUTED_VALUE"""),2594.13)</f>
        <v>2594.13</v>
      </c>
      <c r="J2431" s="5">
        <f>IFERROR(__xludf.DUMMYFUNCTION("""COMPUTED_VALUE"""),7107.84)</f>
        <v>7107.84</v>
      </c>
      <c r="K2431" s="5">
        <f>IFERROR(__xludf.DUMMYFUNCTION("""COMPUTED_VALUE"""),6012.54)</f>
        <v>6012.54</v>
      </c>
      <c r="L2431" s="4">
        <f>IFERROR(__xludf.DUMMYFUNCTION("""COMPUTED_VALUE"""),20.0)</f>
        <v>20</v>
      </c>
      <c r="M2431" s="4">
        <f>IFERROR(__xludf.DUMMYFUNCTION("""COMPUTED_VALUE"""),48.0)</f>
        <v>48</v>
      </c>
      <c r="N2431" s="2" t="b">
        <f>IFERROR(__xludf.DUMMYFUNCTION("""COMPUTED_VALUE"""),TRUE)</f>
        <v>1</v>
      </c>
    </row>
    <row r="2432">
      <c r="A2432" s="2">
        <f>IFERROR(__xludf.DUMMYFUNCTION("""COMPUTED_VALUE"""),2431.0)</f>
        <v>2431</v>
      </c>
      <c r="B2432" s="2" t="str">
        <f>IFERROR(__xludf.DUMMYFUNCTION("""COMPUTED_VALUE"""),"Crichton O'Crevy")</f>
        <v>Crichton O'Crevy</v>
      </c>
      <c r="C2432" s="2" t="str">
        <f>IFERROR(__xludf.DUMMYFUNCTION("""COMPUTED_VALUE"""),"cocrevybz@spotify.com")</f>
        <v>cocrevybz@spotify.com</v>
      </c>
      <c r="D2432" s="4">
        <f>IFERROR(__xludf.DUMMYFUNCTION("""COMPUTED_VALUE"""),137.0)</f>
        <v>137</v>
      </c>
      <c r="E2432" s="4">
        <f>IFERROR(__xludf.DUMMYFUNCTION("""COMPUTED_VALUE"""),21.0)</f>
        <v>21</v>
      </c>
      <c r="F2432" s="4">
        <f>IFERROR(__xludf.DUMMYFUNCTION("""COMPUTED_VALUE"""),6.0)</f>
        <v>6</v>
      </c>
      <c r="G2432" s="4">
        <f>IFERROR(__xludf.DUMMYFUNCTION("""COMPUTED_VALUE"""),761.0)</f>
        <v>761</v>
      </c>
      <c r="H2432" s="5">
        <f>IFERROR(__xludf.DUMMYFUNCTION("""COMPUTED_VALUE"""),7270.4)</f>
        <v>7270.4</v>
      </c>
      <c r="I2432" s="5">
        <f>IFERROR(__xludf.DUMMYFUNCTION("""COMPUTED_VALUE"""),8636.07)</f>
        <v>8636.07</v>
      </c>
      <c r="J2432" s="5">
        <f>IFERROR(__xludf.DUMMYFUNCTION("""COMPUTED_VALUE"""),1317.77)</f>
        <v>1317.77</v>
      </c>
      <c r="K2432" s="5">
        <f>IFERROR(__xludf.DUMMYFUNCTION("""COMPUTED_VALUE"""),8319.48)</f>
        <v>8319.48</v>
      </c>
      <c r="L2432" s="4">
        <f>IFERROR(__xludf.DUMMYFUNCTION("""COMPUTED_VALUE"""),15.0)</f>
        <v>15</v>
      </c>
      <c r="M2432" s="4">
        <f>IFERROR(__xludf.DUMMYFUNCTION("""COMPUTED_VALUE"""),63.0)</f>
        <v>63</v>
      </c>
      <c r="N2432" s="2" t="b">
        <f>IFERROR(__xludf.DUMMYFUNCTION("""COMPUTED_VALUE"""),FALSE)</f>
        <v>0</v>
      </c>
    </row>
    <row r="2433">
      <c r="A2433" s="2">
        <f>IFERROR(__xludf.DUMMYFUNCTION("""COMPUTED_VALUE"""),2432.0)</f>
        <v>2432</v>
      </c>
      <c r="B2433" s="2" t="str">
        <f>IFERROR(__xludf.DUMMYFUNCTION("""COMPUTED_VALUE"""),"Hyacinthe Duffyn")</f>
        <v>Hyacinthe Duffyn</v>
      </c>
      <c r="C2433" s="2" t="str">
        <f>IFERROR(__xludf.DUMMYFUNCTION("""COMPUTED_VALUE"""),"hduffync0@t-online.de")</f>
        <v>hduffync0@t-online.de</v>
      </c>
      <c r="D2433" s="4">
        <f>IFERROR(__xludf.DUMMYFUNCTION("""COMPUTED_VALUE"""),15.0)</f>
        <v>15</v>
      </c>
      <c r="E2433" s="4">
        <f>IFERROR(__xludf.DUMMYFUNCTION("""COMPUTED_VALUE"""),45.0)</f>
        <v>45</v>
      </c>
      <c r="F2433" s="4">
        <f>IFERROR(__xludf.DUMMYFUNCTION("""COMPUTED_VALUE"""),3.0)</f>
        <v>3</v>
      </c>
      <c r="G2433" s="4">
        <f>IFERROR(__xludf.DUMMYFUNCTION("""COMPUTED_VALUE"""),1246.0)</f>
        <v>1246</v>
      </c>
      <c r="H2433" s="5">
        <f>IFERROR(__xludf.DUMMYFUNCTION("""COMPUTED_VALUE"""),7054.24)</f>
        <v>7054.24</v>
      </c>
      <c r="I2433" s="5">
        <f>IFERROR(__xludf.DUMMYFUNCTION("""COMPUTED_VALUE"""),4537.81)</f>
        <v>4537.81</v>
      </c>
      <c r="J2433" s="5">
        <f>IFERROR(__xludf.DUMMYFUNCTION("""COMPUTED_VALUE"""),1164.05)</f>
        <v>1164.05</v>
      </c>
      <c r="K2433" s="5">
        <f>IFERROR(__xludf.DUMMYFUNCTION("""COMPUTED_VALUE"""),1990.74)</f>
        <v>1990.74</v>
      </c>
      <c r="L2433" s="4">
        <f>IFERROR(__xludf.DUMMYFUNCTION("""COMPUTED_VALUE"""),3.0)</f>
        <v>3</v>
      </c>
      <c r="M2433" s="4">
        <f>IFERROR(__xludf.DUMMYFUNCTION("""COMPUTED_VALUE"""),24.0)</f>
        <v>24</v>
      </c>
      <c r="N2433" s="2" t="b">
        <f>IFERROR(__xludf.DUMMYFUNCTION("""COMPUTED_VALUE"""),TRUE)</f>
        <v>1</v>
      </c>
    </row>
    <row r="2434">
      <c r="A2434" s="2">
        <f>IFERROR(__xludf.DUMMYFUNCTION("""COMPUTED_VALUE"""),2433.0)</f>
        <v>2433</v>
      </c>
      <c r="B2434" s="2" t="str">
        <f>IFERROR(__xludf.DUMMYFUNCTION("""COMPUTED_VALUE"""),"Marilyn Deyenhardt")</f>
        <v>Marilyn Deyenhardt</v>
      </c>
      <c r="C2434" s="2"/>
      <c r="D2434" s="4">
        <f>IFERROR(__xludf.DUMMYFUNCTION("""COMPUTED_VALUE"""),149.0)</f>
        <v>149</v>
      </c>
      <c r="E2434" s="4">
        <f>IFERROR(__xludf.DUMMYFUNCTION("""COMPUTED_VALUE"""),102.0)</f>
        <v>102</v>
      </c>
      <c r="F2434" s="4">
        <f>IFERROR(__xludf.DUMMYFUNCTION("""COMPUTED_VALUE"""),4.0)</f>
        <v>4</v>
      </c>
      <c r="G2434" s="4">
        <f>IFERROR(__xludf.DUMMYFUNCTION("""COMPUTED_VALUE"""),87.0)</f>
        <v>87</v>
      </c>
      <c r="H2434" s="5">
        <f>IFERROR(__xludf.DUMMYFUNCTION("""COMPUTED_VALUE"""),8028.44)</f>
        <v>8028.44</v>
      </c>
      <c r="I2434" s="5">
        <f>IFERROR(__xludf.DUMMYFUNCTION("""COMPUTED_VALUE"""),4068.65)</f>
        <v>4068.65</v>
      </c>
      <c r="J2434" s="5">
        <f>IFERROR(__xludf.DUMMYFUNCTION("""COMPUTED_VALUE"""),302.0)</f>
        <v>302</v>
      </c>
      <c r="K2434" s="5">
        <f>IFERROR(__xludf.DUMMYFUNCTION("""COMPUTED_VALUE"""),9028.25)</f>
        <v>9028.25</v>
      </c>
      <c r="L2434" s="4">
        <f>IFERROR(__xludf.DUMMYFUNCTION("""COMPUTED_VALUE"""),10.0)</f>
        <v>10</v>
      </c>
      <c r="M2434" s="4">
        <f>IFERROR(__xludf.DUMMYFUNCTION("""COMPUTED_VALUE"""),79.0)</f>
        <v>79</v>
      </c>
      <c r="N2434" s="2" t="b">
        <f>IFERROR(__xludf.DUMMYFUNCTION("""COMPUTED_VALUE"""),TRUE)</f>
        <v>1</v>
      </c>
    </row>
    <row r="2435">
      <c r="A2435" s="2">
        <f>IFERROR(__xludf.DUMMYFUNCTION("""COMPUTED_VALUE"""),2434.0)</f>
        <v>2434</v>
      </c>
      <c r="B2435" s="2" t="str">
        <f>IFERROR(__xludf.DUMMYFUNCTION("""COMPUTED_VALUE"""),"Virginie Jolland")</f>
        <v>Virginie Jolland</v>
      </c>
      <c r="C2435" s="2"/>
      <c r="D2435" s="4">
        <f>IFERROR(__xludf.DUMMYFUNCTION("""COMPUTED_VALUE"""),144.0)</f>
        <v>144</v>
      </c>
      <c r="E2435" s="4">
        <f>IFERROR(__xludf.DUMMYFUNCTION("""COMPUTED_VALUE"""),124.0)</f>
        <v>124</v>
      </c>
      <c r="F2435" s="4">
        <f>IFERROR(__xludf.DUMMYFUNCTION("""COMPUTED_VALUE"""),4.0)</f>
        <v>4</v>
      </c>
      <c r="G2435" s="4">
        <f>IFERROR(__xludf.DUMMYFUNCTION("""COMPUTED_VALUE"""),1601.0)</f>
        <v>1601</v>
      </c>
      <c r="H2435" s="5">
        <f>IFERROR(__xludf.DUMMYFUNCTION("""COMPUTED_VALUE"""),258.07)</f>
        <v>258.07</v>
      </c>
      <c r="I2435" s="5">
        <f>IFERROR(__xludf.DUMMYFUNCTION("""COMPUTED_VALUE"""),7522.73)</f>
        <v>7522.73</v>
      </c>
      <c r="J2435" s="5">
        <f>IFERROR(__xludf.DUMMYFUNCTION("""COMPUTED_VALUE"""),1884.51)</f>
        <v>1884.51</v>
      </c>
      <c r="K2435" s="5">
        <f>IFERROR(__xludf.DUMMYFUNCTION("""COMPUTED_VALUE"""),4471.61)</f>
        <v>4471.61</v>
      </c>
      <c r="L2435" s="4">
        <f>IFERROR(__xludf.DUMMYFUNCTION("""COMPUTED_VALUE"""),10.0)</f>
        <v>10</v>
      </c>
      <c r="M2435" s="4">
        <f>IFERROR(__xludf.DUMMYFUNCTION("""COMPUTED_VALUE"""),58.0)</f>
        <v>58</v>
      </c>
      <c r="N2435" s="2" t="b">
        <f>IFERROR(__xludf.DUMMYFUNCTION("""COMPUTED_VALUE"""),TRUE)</f>
        <v>1</v>
      </c>
    </row>
    <row r="2436">
      <c r="A2436" s="2">
        <f>IFERROR(__xludf.DUMMYFUNCTION("""COMPUTED_VALUE"""),2435.0)</f>
        <v>2435</v>
      </c>
      <c r="B2436" s="2" t="str">
        <f>IFERROR(__xludf.DUMMYFUNCTION("""COMPUTED_VALUE"""),"Bill Lindores")</f>
        <v>Bill Lindores</v>
      </c>
      <c r="C2436" s="2"/>
      <c r="D2436" s="4">
        <f>IFERROR(__xludf.DUMMYFUNCTION("""COMPUTED_VALUE"""),77.0)</f>
        <v>77</v>
      </c>
      <c r="E2436" s="4">
        <f>IFERROR(__xludf.DUMMYFUNCTION("""COMPUTED_VALUE"""),125.0)</f>
        <v>125</v>
      </c>
      <c r="F2436" s="4">
        <f>IFERROR(__xludf.DUMMYFUNCTION("""COMPUTED_VALUE"""),11.0)</f>
        <v>11</v>
      </c>
      <c r="G2436" s="4">
        <f>IFERROR(__xludf.DUMMYFUNCTION("""COMPUTED_VALUE"""),1245.0)</f>
        <v>1245</v>
      </c>
      <c r="H2436" s="5">
        <f>IFERROR(__xludf.DUMMYFUNCTION("""COMPUTED_VALUE"""),69.01)</f>
        <v>69.01</v>
      </c>
      <c r="I2436" s="5">
        <f>IFERROR(__xludf.DUMMYFUNCTION("""COMPUTED_VALUE"""),254.28)</f>
        <v>254.28</v>
      </c>
      <c r="J2436" s="5">
        <f>IFERROR(__xludf.DUMMYFUNCTION("""COMPUTED_VALUE"""),2969.54)</f>
        <v>2969.54</v>
      </c>
      <c r="K2436" s="5">
        <f>IFERROR(__xludf.DUMMYFUNCTION("""COMPUTED_VALUE"""),472.37)</f>
        <v>472.37</v>
      </c>
      <c r="L2436" s="4">
        <f>IFERROR(__xludf.DUMMYFUNCTION("""COMPUTED_VALUE"""),4.0)</f>
        <v>4</v>
      </c>
      <c r="M2436" s="4">
        <f>IFERROR(__xludf.DUMMYFUNCTION("""COMPUTED_VALUE"""),6.0)</f>
        <v>6</v>
      </c>
      <c r="N2436" s="2" t="b">
        <f>IFERROR(__xludf.DUMMYFUNCTION("""COMPUTED_VALUE"""),FALSE)</f>
        <v>0</v>
      </c>
    </row>
    <row r="2437">
      <c r="A2437" s="2">
        <f>IFERROR(__xludf.DUMMYFUNCTION("""COMPUTED_VALUE"""),2436.0)</f>
        <v>2436</v>
      </c>
      <c r="B2437" s="2" t="str">
        <f>IFERROR(__xludf.DUMMYFUNCTION("""COMPUTED_VALUE"""),"Nell Markwelley")</f>
        <v>Nell Markwelley</v>
      </c>
      <c r="C2437" s="2"/>
      <c r="D2437" s="4">
        <f>IFERROR(__xludf.DUMMYFUNCTION("""COMPUTED_VALUE"""),22.0)</f>
        <v>22</v>
      </c>
      <c r="E2437" s="4">
        <f>IFERROR(__xludf.DUMMYFUNCTION("""COMPUTED_VALUE"""),51.0)</f>
        <v>51</v>
      </c>
      <c r="F2437" s="4">
        <f>IFERROR(__xludf.DUMMYFUNCTION("""COMPUTED_VALUE"""),12.0)</f>
        <v>12</v>
      </c>
      <c r="G2437" s="4">
        <f>IFERROR(__xludf.DUMMYFUNCTION("""COMPUTED_VALUE"""),1462.0)</f>
        <v>1462</v>
      </c>
      <c r="H2437" s="5">
        <f>IFERROR(__xludf.DUMMYFUNCTION("""COMPUTED_VALUE"""),4714.83)</f>
        <v>4714.83</v>
      </c>
      <c r="I2437" s="5">
        <f>IFERROR(__xludf.DUMMYFUNCTION("""COMPUTED_VALUE"""),8720.89)</f>
        <v>8720.89</v>
      </c>
      <c r="J2437" s="5">
        <f>IFERROR(__xludf.DUMMYFUNCTION("""COMPUTED_VALUE"""),7840.75)</f>
        <v>7840.75</v>
      </c>
      <c r="K2437" s="5">
        <f>IFERROR(__xludf.DUMMYFUNCTION("""COMPUTED_VALUE"""),348.59)</f>
        <v>348.59</v>
      </c>
      <c r="L2437" s="4">
        <f>IFERROR(__xludf.DUMMYFUNCTION("""COMPUTED_VALUE"""),11.0)</f>
        <v>11</v>
      </c>
      <c r="M2437" s="4">
        <f>IFERROR(__xludf.DUMMYFUNCTION("""COMPUTED_VALUE"""),50.0)</f>
        <v>50</v>
      </c>
      <c r="N2437" s="2" t="b">
        <f>IFERROR(__xludf.DUMMYFUNCTION("""COMPUTED_VALUE"""),FALSE)</f>
        <v>0</v>
      </c>
    </row>
    <row r="2438">
      <c r="A2438" s="2">
        <f>IFERROR(__xludf.DUMMYFUNCTION("""COMPUTED_VALUE"""),2437.0)</f>
        <v>2437</v>
      </c>
      <c r="B2438" s="2" t="str">
        <f>IFERROR(__xludf.DUMMYFUNCTION("""COMPUTED_VALUE"""),"Brittaney Laight")</f>
        <v>Brittaney Laight</v>
      </c>
      <c r="C2438" s="2" t="str">
        <f>IFERROR(__xludf.DUMMYFUNCTION("""COMPUTED_VALUE"""),"blaightc5@printfriendly.com")</f>
        <v>blaightc5@printfriendly.com</v>
      </c>
      <c r="D2438" s="4">
        <f>IFERROR(__xludf.DUMMYFUNCTION("""COMPUTED_VALUE"""),28.0)</f>
        <v>28</v>
      </c>
      <c r="E2438" s="4">
        <f>IFERROR(__xludf.DUMMYFUNCTION("""COMPUTED_VALUE"""),123.0)</f>
        <v>123</v>
      </c>
      <c r="F2438" s="4">
        <f>IFERROR(__xludf.DUMMYFUNCTION("""COMPUTED_VALUE"""),1.0)</f>
        <v>1</v>
      </c>
      <c r="G2438" s="4">
        <f>IFERROR(__xludf.DUMMYFUNCTION("""COMPUTED_VALUE"""),1134.0)</f>
        <v>1134</v>
      </c>
      <c r="H2438" s="5">
        <f>IFERROR(__xludf.DUMMYFUNCTION("""COMPUTED_VALUE"""),9613.42)</f>
        <v>9613.42</v>
      </c>
      <c r="I2438" s="5">
        <f>IFERROR(__xludf.DUMMYFUNCTION("""COMPUTED_VALUE"""),4164.04)</f>
        <v>4164.04</v>
      </c>
      <c r="J2438" s="5">
        <f>IFERROR(__xludf.DUMMYFUNCTION("""COMPUTED_VALUE"""),7362.99)</f>
        <v>7362.99</v>
      </c>
      <c r="K2438" s="5">
        <f>IFERROR(__xludf.DUMMYFUNCTION("""COMPUTED_VALUE"""),1931.38)</f>
        <v>1931.38</v>
      </c>
      <c r="L2438" s="4">
        <f>IFERROR(__xludf.DUMMYFUNCTION("""COMPUTED_VALUE"""),17.0)</f>
        <v>17</v>
      </c>
      <c r="M2438" s="4">
        <f>IFERROR(__xludf.DUMMYFUNCTION("""COMPUTED_VALUE"""),62.0)</f>
        <v>62</v>
      </c>
      <c r="N2438" s="2" t="b">
        <f>IFERROR(__xludf.DUMMYFUNCTION("""COMPUTED_VALUE"""),FALSE)</f>
        <v>0</v>
      </c>
    </row>
    <row r="2439">
      <c r="A2439" s="2">
        <f>IFERROR(__xludf.DUMMYFUNCTION("""COMPUTED_VALUE"""),2438.0)</f>
        <v>2438</v>
      </c>
      <c r="B2439" s="2" t="str">
        <f>IFERROR(__xludf.DUMMYFUNCTION("""COMPUTED_VALUE"""),"Carmina Gerry")</f>
        <v>Carmina Gerry</v>
      </c>
      <c r="C2439" s="2" t="str">
        <f>IFERROR(__xludf.DUMMYFUNCTION("""COMPUTED_VALUE"""),"cgerryc6@spiegel.de")</f>
        <v>cgerryc6@spiegel.de</v>
      </c>
      <c r="D2439" s="4">
        <f>IFERROR(__xludf.DUMMYFUNCTION("""COMPUTED_VALUE"""),80.0)</f>
        <v>80</v>
      </c>
      <c r="E2439" s="4">
        <f>IFERROR(__xludf.DUMMYFUNCTION("""COMPUTED_VALUE"""),58.0)</f>
        <v>58</v>
      </c>
      <c r="F2439" s="4">
        <f>IFERROR(__xludf.DUMMYFUNCTION("""COMPUTED_VALUE"""),3.0)</f>
        <v>3</v>
      </c>
      <c r="G2439" s="4">
        <f>IFERROR(__xludf.DUMMYFUNCTION("""COMPUTED_VALUE"""),337.0)</f>
        <v>337</v>
      </c>
      <c r="H2439" s="5">
        <f>IFERROR(__xludf.DUMMYFUNCTION("""COMPUTED_VALUE"""),3212.3)</f>
        <v>3212.3</v>
      </c>
      <c r="I2439" s="5">
        <f>IFERROR(__xludf.DUMMYFUNCTION("""COMPUTED_VALUE"""),9240.41)</f>
        <v>9240.41</v>
      </c>
      <c r="J2439" s="5">
        <f>IFERROR(__xludf.DUMMYFUNCTION("""COMPUTED_VALUE"""),8514.06)</f>
        <v>8514.06</v>
      </c>
      <c r="K2439" s="5">
        <f>IFERROR(__xludf.DUMMYFUNCTION("""COMPUTED_VALUE"""),6368.52)</f>
        <v>6368.52</v>
      </c>
      <c r="L2439" s="4">
        <f>IFERROR(__xludf.DUMMYFUNCTION("""COMPUTED_VALUE"""),6.0)</f>
        <v>6</v>
      </c>
      <c r="M2439" s="4">
        <f>IFERROR(__xludf.DUMMYFUNCTION("""COMPUTED_VALUE"""),13.0)</f>
        <v>13</v>
      </c>
      <c r="N2439" s="2" t="b">
        <f>IFERROR(__xludf.DUMMYFUNCTION("""COMPUTED_VALUE"""),FALSE)</f>
        <v>0</v>
      </c>
    </row>
    <row r="2440">
      <c r="A2440" s="2">
        <f>IFERROR(__xludf.DUMMYFUNCTION("""COMPUTED_VALUE"""),2439.0)</f>
        <v>2439</v>
      </c>
      <c r="B2440" s="2" t="str">
        <f>IFERROR(__xludf.DUMMYFUNCTION("""COMPUTED_VALUE"""),"Levin Ibbetson")</f>
        <v>Levin Ibbetson</v>
      </c>
      <c r="C2440" s="2" t="str">
        <f>IFERROR(__xludf.DUMMYFUNCTION("""COMPUTED_VALUE"""),"libbetsonc7@about.com")</f>
        <v>libbetsonc7@about.com</v>
      </c>
      <c r="D2440" s="4">
        <f>IFERROR(__xludf.DUMMYFUNCTION("""COMPUTED_VALUE"""),119.0)</f>
        <v>119</v>
      </c>
      <c r="E2440" s="4">
        <f>IFERROR(__xludf.DUMMYFUNCTION("""COMPUTED_VALUE"""),98.0)</f>
        <v>98</v>
      </c>
      <c r="F2440" s="4">
        <f>IFERROR(__xludf.DUMMYFUNCTION("""COMPUTED_VALUE"""),9.0)</f>
        <v>9</v>
      </c>
      <c r="G2440" s="4">
        <f>IFERROR(__xludf.DUMMYFUNCTION("""COMPUTED_VALUE"""),1090.0)</f>
        <v>1090</v>
      </c>
      <c r="H2440" s="5">
        <f>IFERROR(__xludf.DUMMYFUNCTION("""COMPUTED_VALUE"""),5793.02)</f>
        <v>5793.02</v>
      </c>
      <c r="I2440" s="5">
        <f>IFERROR(__xludf.DUMMYFUNCTION("""COMPUTED_VALUE"""),4729.83)</f>
        <v>4729.83</v>
      </c>
      <c r="J2440" s="5">
        <f>IFERROR(__xludf.DUMMYFUNCTION("""COMPUTED_VALUE"""),6155.53)</f>
        <v>6155.53</v>
      </c>
      <c r="K2440" s="5">
        <f>IFERROR(__xludf.DUMMYFUNCTION("""COMPUTED_VALUE"""),7198.26)</f>
        <v>7198.26</v>
      </c>
      <c r="L2440" s="4">
        <f>IFERROR(__xludf.DUMMYFUNCTION("""COMPUTED_VALUE"""),16.0)</f>
        <v>16</v>
      </c>
      <c r="M2440" s="4">
        <f>IFERROR(__xludf.DUMMYFUNCTION("""COMPUTED_VALUE"""),75.0)</f>
        <v>75</v>
      </c>
      <c r="N2440" s="2" t="b">
        <f>IFERROR(__xludf.DUMMYFUNCTION("""COMPUTED_VALUE"""),TRUE)</f>
        <v>1</v>
      </c>
    </row>
    <row r="2441">
      <c r="A2441" s="2">
        <f>IFERROR(__xludf.DUMMYFUNCTION("""COMPUTED_VALUE"""),2440.0)</f>
        <v>2440</v>
      </c>
      <c r="B2441" s="2" t="str">
        <f>IFERROR(__xludf.DUMMYFUNCTION("""COMPUTED_VALUE"""),"Wilek Truelove")</f>
        <v>Wilek Truelove</v>
      </c>
      <c r="C2441" s="2"/>
      <c r="D2441" s="4">
        <f>IFERROR(__xludf.DUMMYFUNCTION("""COMPUTED_VALUE"""),100.0)</f>
        <v>100</v>
      </c>
      <c r="E2441" s="4">
        <f>IFERROR(__xludf.DUMMYFUNCTION("""COMPUTED_VALUE"""),13.0)</f>
        <v>13</v>
      </c>
      <c r="F2441" s="4">
        <f>IFERROR(__xludf.DUMMYFUNCTION("""COMPUTED_VALUE"""),6.0)</f>
        <v>6</v>
      </c>
      <c r="G2441" s="4">
        <f>IFERROR(__xludf.DUMMYFUNCTION("""COMPUTED_VALUE"""),169.0)</f>
        <v>169</v>
      </c>
      <c r="H2441" s="5">
        <f>IFERROR(__xludf.DUMMYFUNCTION("""COMPUTED_VALUE"""),4216.53)</f>
        <v>4216.53</v>
      </c>
      <c r="I2441" s="5">
        <f>IFERROR(__xludf.DUMMYFUNCTION("""COMPUTED_VALUE"""),6054.15)</f>
        <v>6054.15</v>
      </c>
      <c r="J2441" s="5">
        <f>IFERROR(__xludf.DUMMYFUNCTION("""COMPUTED_VALUE"""),9178.02)</f>
        <v>9178.02</v>
      </c>
      <c r="K2441" s="5">
        <f>IFERROR(__xludf.DUMMYFUNCTION("""COMPUTED_VALUE"""),5142.51)</f>
        <v>5142.51</v>
      </c>
      <c r="L2441" s="4">
        <f>IFERROR(__xludf.DUMMYFUNCTION("""COMPUTED_VALUE"""),2.0)</f>
        <v>2</v>
      </c>
      <c r="M2441" s="4">
        <f>IFERROR(__xludf.DUMMYFUNCTION("""COMPUTED_VALUE"""),99.0)</f>
        <v>99</v>
      </c>
      <c r="N2441" s="2" t="b">
        <f>IFERROR(__xludf.DUMMYFUNCTION("""COMPUTED_VALUE"""),TRUE)</f>
        <v>1</v>
      </c>
    </row>
    <row r="2442">
      <c r="A2442" s="2">
        <f>IFERROR(__xludf.DUMMYFUNCTION("""COMPUTED_VALUE"""),2441.0)</f>
        <v>2441</v>
      </c>
      <c r="B2442" s="2" t="str">
        <f>IFERROR(__xludf.DUMMYFUNCTION("""COMPUTED_VALUE"""),"Britta Fuggle")</f>
        <v>Britta Fuggle</v>
      </c>
      <c r="C2442" s="2" t="str">
        <f>IFERROR(__xludf.DUMMYFUNCTION("""COMPUTED_VALUE"""),"bfugglec9@pcworld.com")</f>
        <v>bfugglec9@pcworld.com</v>
      </c>
      <c r="D2442" s="4">
        <f>IFERROR(__xludf.DUMMYFUNCTION("""COMPUTED_VALUE"""),88.0)</f>
        <v>88</v>
      </c>
      <c r="E2442" s="4">
        <f>IFERROR(__xludf.DUMMYFUNCTION("""COMPUTED_VALUE"""),108.0)</f>
        <v>108</v>
      </c>
      <c r="F2442" s="4">
        <f>IFERROR(__xludf.DUMMYFUNCTION("""COMPUTED_VALUE"""),4.0)</f>
        <v>4</v>
      </c>
      <c r="G2442" s="4">
        <f>IFERROR(__xludf.DUMMYFUNCTION("""COMPUTED_VALUE"""),901.0)</f>
        <v>901</v>
      </c>
      <c r="H2442" s="5">
        <f>IFERROR(__xludf.DUMMYFUNCTION("""COMPUTED_VALUE"""),4025.99)</f>
        <v>4025.99</v>
      </c>
      <c r="I2442" s="5">
        <f>IFERROR(__xludf.DUMMYFUNCTION("""COMPUTED_VALUE"""),5786.48)</f>
        <v>5786.48</v>
      </c>
      <c r="J2442" s="5">
        <f>IFERROR(__xludf.DUMMYFUNCTION("""COMPUTED_VALUE"""),5382.91)</f>
        <v>5382.91</v>
      </c>
      <c r="K2442" s="5">
        <f>IFERROR(__xludf.DUMMYFUNCTION("""COMPUTED_VALUE"""),4467.04)</f>
        <v>4467.04</v>
      </c>
      <c r="L2442" s="4">
        <f>IFERROR(__xludf.DUMMYFUNCTION("""COMPUTED_VALUE"""),7.0)</f>
        <v>7</v>
      </c>
      <c r="M2442" s="4">
        <f>IFERROR(__xludf.DUMMYFUNCTION("""COMPUTED_VALUE"""),7.0)</f>
        <v>7</v>
      </c>
      <c r="N2442" s="2" t="b">
        <f>IFERROR(__xludf.DUMMYFUNCTION("""COMPUTED_VALUE"""),TRUE)</f>
        <v>1</v>
      </c>
    </row>
    <row r="2443">
      <c r="A2443" s="2">
        <f>IFERROR(__xludf.DUMMYFUNCTION("""COMPUTED_VALUE"""),2442.0)</f>
        <v>2442</v>
      </c>
      <c r="B2443" s="2" t="str">
        <f>IFERROR(__xludf.DUMMYFUNCTION("""COMPUTED_VALUE"""),"Nadine Mc Carrick")</f>
        <v>Nadine Mc Carrick</v>
      </c>
      <c r="C2443" s="2" t="str">
        <f>IFERROR(__xludf.DUMMYFUNCTION("""COMPUTED_VALUE"""),"nmcca@noaa.gov")</f>
        <v>nmcca@noaa.gov</v>
      </c>
      <c r="D2443" s="4">
        <f>IFERROR(__xludf.DUMMYFUNCTION("""COMPUTED_VALUE"""),158.0)</f>
        <v>158</v>
      </c>
      <c r="E2443" s="4">
        <f>IFERROR(__xludf.DUMMYFUNCTION("""COMPUTED_VALUE"""),107.0)</f>
        <v>107</v>
      </c>
      <c r="F2443" s="4">
        <f>IFERROR(__xludf.DUMMYFUNCTION("""COMPUTED_VALUE"""),13.0)</f>
        <v>13</v>
      </c>
      <c r="G2443" s="4">
        <f>IFERROR(__xludf.DUMMYFUNCTION("""COMPUTED_VALUE"""),1412.0)</f>
        <v>1412</v>
      </c>
      <c r="H2443" s="5">
        <f>IFERROR(__xludf.DUMMYFUNCTION("""COMPUTED_VALUE"""),835.02)</f>
        <v>835.02</v>
      </c>
      <c r="I2443" s="5">
        <f>IFERROR(__xludf.DUMMYFUNCTION("""COMPUTED_VALUE"""),4332.98)</f>
        <v>4332.98</v>
      </c>
      <c r="J2443" s="5">
        <f>IFERROR(__xludf.DUMMYFUNCTION("""COMPUTED_VALUE"""),2151.24)</f>
        <v>2151.24</v>
      </c>
      <c r="K2443" s="5">
        <f>IFERROR(__xludf.DUMMYFUNCTION("""COMPUTED_VALUE"""),4969.76)</f>
        <v>4969.76</v>
      </c>
      <c r="L2443" s="4">
        <f>IFERROR(__xludf.DUMMYFUNCTION("""COMPUTED_VALUE"""),14.0)</f>
        <v>14</v>
      </c>
      <c r="M2443" s="4">
        <f>IFERROR(__xludf.DUMMYFUNCTION("""COMPUTED_VALUE"""),3.0)</f>
        <v>3</v>
      </c>
      <c r="N2443" s="2" t="b">
        <f>IFERROR(__xludf.DUMMYFUNCTION("""COMPUTED_VALUE"""),TRUE)</f>
        <v>1</v>
      </c>
    </row>
    <row r="2444">
      <c r="A2444" s="2">
        <f>IFERROR(__xludf.DUMMYFUNCTION("""COMPUTED_VALUE"""),2443.0)</f>
        <v>2443</v>
      </c>
      <c r="B2444" s="2" t="str">
        <f>IFERROR(__xludf.DUMMYFUNCTION("""COMPUTED_VALUE"""),"Matt Doerr")</f>
        <v>Matt Doerr</v>
      </c>
      <c r="C2444" s="2"/>
      <c r="D2444" s="4">
        <f>IFERROR(__xludf.DUMMYFUNCTION("""COMPUTED_VALUE"""),6.0)</f>
        <v>6</v>
      </c>
      <c r="E2444" s="4">
        <f>IFERROR(__xludf.DUMMYFUNCTION("""COMPUTED_VALUE"""),95.0)</f>
        <v>95</v>
      </c>
      <c r="F2444" s="4">
        <f>IFERROR(__xludf.DUMMYFUNCTION("""COMPUTED_VALUE"""),10.0)</f>
        <v>10</v>
      </c>
      <c r="G2444" s="4">
        <f>IFERROR(__xludf.DUMMYFUNCTION("""COMPUTED_VALUE"""),1396.0)</f>
        <v>1396</v>
      </c>
      <c r="H2444" s="5">
        <f>IFERROR(__xludf.DUMMYFUNCTION("""COMPUTED_VALUE"""),3781.23)</f>
        <v>3781.23</v>
      </c>
      <c r="I2444" s="5">
        <f>IFERROR(__xludf.DUMMYFUNCTION("""COMPUTED_VALUE"""),3737.35)</f>
        <v>3737.35</v>
      </c>
      <c r="J2444" s="5">
        <f>IFERROR(__xludf.DUMMYFUNCTION("""COMPUTED_VALUE"""),6743.47)</f>
        <v>6743.47</v>
      </c>
      <c r="K2444" s="5">
        <f>IFERROR(__xludf.DUMMYFUNCTION("""COMPUTED_VALUE"""),539.23)</f>
        <v>539.23</v>
      </c>
      <c r="L2444" s="4">
        <f>IFERROR(__xludf.DUMMYFUNCTION("""COMPUTED_VALUE"""),9.0)</f>
        <v>9</v>
      </c>
      <c r="M2444" s="4">
        <f>IFERROR(__xludf.DUMMYFUNCTION("""COMPUTED_VALUE"""),92.0)</f>
        <v>92</v>
      </c>
      <c r="N2444" s="2" t="b">
        <f>IFERROR(__xludf.DUMMYFUNCTION("""COMPUTED_VALUE"""),FALSE)</f>
        <v>0</v>
      </c>
    </row>
    <row r="2445">
      <c r="A2445" s="2">
        <f>IFERROR(__xludf.DUMMYFUNCTION("""COMPUTED_VALUE"""),2444.0)</f>
        <v>2444</v>
      </c>
      <c r="B2445" s="2" t="str">
        <f>IFERROR(__xludf.DUMMYFUNCTION("""COMPUTED_VALUE"""),"Benjamen Clewer")</f>
        <v>Benjamen Clewer</v>
      </c>
      <c r="C2445" s="2" t="str">
        <f>IFERROR(__xludf.DUMMYFUNCTION("""COMPUTED_VALUE"""),"bclewercc@apple.com")</f>
        <v>bclewercc@apple.com</v>
      </c>
      <c r="D2445" s="4">
        <f>IFERROR(__xludf.DUMMYFUNCTION("""COMPUTED_VALUE"""),4.0)</f>
        <v>4</v>
      </c>
      <c r="E2445" s="4">
        <f>IFERROR(__xludf.DUMMYFUNCTION("""COMPUTED_VALUE"""),20.0)</f>
        <v>20</v>
      </c>
      <c r="F2445" s="4">
        <f>IFERROR(__xludf.DUMMYFUNCTION("""COMPUTED_VALUE"""),4.0)</f>
        <v>4</v>
      </c>
      <c r="G2445" s="4">
        <f>IFERROR(__xludf.DUMMYFUNCTION("""COMPUTED_VALUE"""),721.0)</f>
        <v>721</v>
      </c>
      <c r="H2445" s="5">
        <f>IFERROR(__xludf.DUMMYFUNCTION("""COMPUTED_VALUE"""),6406.8)</f>
        <v>6406.8</v>
      </c>
      <c r="I2445" s="5">
        <f>IFERROR(__xludf.DUMMYFUNCTION("""COMPUTED_VALUE"""),259.61)</f>
        <v>259.61</v>
      </c>
      <c r="J2445" s="5">
        <f>IFERROR(__xludf.DUMMYFUNCTION("""COMPUTED_VALUE"""),9774.37)</f>
        <v>9774.37</v>
      </c>
      <c r="K2445" s="5">
        <f>IFERROR(__xludf.DUMMYFUNCTION("""COMPUTED_VALUE"""),8695.07)</f>
        <v>8695.07</v>
      </c>
      <c r="L2445" s="4">
        <f>IFERROR(__xludf.DUMMYFUNCTION("""COMPUTED_VALUE"""),4.0)</f>
        <v>4</v>
      </c>
      <c r="M2445" s="4">
        <f>IFERROR(__xludf.DUMMYFUNCTION("""COMPUTED_VALUE"""),4.0)</f>
        <v>4</v>
      </c>
      <c r="N2445" s="2" t="b">
        <f>IFERROR(__xludf.DUMMYFUNCTION("""COMPUTED_VALUE"""),TRUE)</f>
        <v>1</v>
      </c>
    </row>
    <row r="2446">
      <c r="A2446" s="2">
        <f>IFERROR(__xludf.DUMMYFUNCTION("""COMPUTED_VALUE"""),2445.0)</f>
        <v>2445</v>
      </c>
      <c r="B2446" s="2" t="str">
        <f>IFERROR(__xludf.DUMMYFUNCTION("""COMPUTED_VALUE"""),"Jarrett Duffield")</f>
        <v>Jarrett Duffield</v>
      </c>
      <c r="C2446" s="2" t="str">
        <f>IFERROR(__xludf.DUMMYFUNCTION("""COMPUTED_VALUE"""),"jduffieldcd@linkedin.com")</f>
        <v>jduffieldcd@linkedin.com</v>
      </c>
      <c r="D2446" s="4">
        <f>IFERROR(__xludf.DUMMYFUNCTION("""COMPUTED_VALUE"""),146.0)</f>
        <v>146</v>
      </c>
      <c r="E2446" s="4">
        <f>IFERROR(__xludf.DUMMYFUNCTION("""COMPUTED_VALUE"""),26.0)</f>
        <v>26</v>
      </c>
      <c r="F2446" s="4">
        <f>IFERROR(__xludf.DUMMYFUNCTION("""COMPUTED_VALUE"""),11.0)</f>
        <v>11</v>
      </c>
      <c r="G2446" s="4">
        <f>IFERROR(__xludf.DUMMYFUNCTION("""COMPUTED_VALUE"""),264.0)</f>
        <v>264</v>
      </c>
      <c r="H2446" s="5">
        <f>IFERROR(__xludf.DUMMYFUNCTION("""COMPUTED_VALUE"""),3594.47)</f>
        <v>3594.47</v>
      </c>
      <c r="I2446" s="5">
        <f>IFERROR(__xludf.DUMMYFUNCTION("""COMPUTED_VALUE"""),7248.39)</f>
        <v>7248.39</v>
      </c>
      <c r="J2446" s="5">
        <f>IFERROR(__xludf.DUMMYFUNCTION("""COMPUTED_VALUE"""),7655.08)</f>
        <v>7655.08</v>
      </c>
      <c r="K2446" s="5">
        <f>IFERROR(__xludf.DUMMYFUNCTION("""COMPUTED_VALUE"""),4889.27)</f>
        <v>4889.27</v>
      </c>
      <c r="L2446" s="4">
        <f>IFERROR(__xludf.DUMMYFUNCTION("""COMPUTED_VALUE"""),18.0)</f>
        <v>18</v>
      </c>
      <c r="M2446" s="4">
        <f>IFERROR(__xludf.DUMMYFUNCTION("""COMPUTED_VALUE"""),42.0)</f>
        <v>42</v>
      </c>
      <c r="N2446" s="2" t="b">
        <f>IFERROR(__xludf.DUMMYFUNCTION("""COMPUTED_VALUE"""),FALSE)</f>
        <v>0</v>
      </c>
    </row>
    <row r="2447">
      <c r="A2447" s="2">
        <f>IFERROR(__xludf.DUMMYFUNCTION("""COMPUTED_VALUE"""),2446.0)</f>
        <v>2446</v>
      </c>
      <c r="B2447" s="2" t="str">
        <f>IFERROR(__xludf.DUMMYFUNCTION("""COMPUTED_VALUE"""),"Daphne Wettern")</f>
        <v>Daphne Wettern</v>
      </c>
      <c r="C2447" s="2"/>
      <c r="D2447" s="4">
        <f>IFERROR(__xludf.DUMMYFUNCTION("""COMPUTED_VALUE"""),109.0)</f>
        <v>109</v>
      </c>
      <c r="E2447" s="4">
        <f>IFERROR(__xludf.DUMMYFUNCTION("""COMPUTED_VALUE"""),60.0)</f>
        <v>60</v>
      </c>
      <c r="F2447" s="4">
        <f>IFERROR(__xludf.DUMMYFUNCTION("""COMPUTED_VALUE"""),2.0)</f>
        <v>2</v>
      </c>
      <c r="G2447" s="4">
        <f>IFERROR(__xludf.DUMMYFUNCTION("""COMPUTED_VALUE"""),1057.0)</f>
        <v>1057</v>
      </c>
      <c r="H2447" s="5">
        <f>IFERROR(__xludf.DUMMYFUNCTION("""COMPUTED_VALUE"""),247.33)</f>
        <v>247.33</v>
      </c>
      <c r="I2447" s="5">
        <f>IFERROR(__xludf.DUMMYFUNCTION("""COMPUTED_VALUE"""),3958.16)</f>
        <v>3958.16</v>
      </c>
      <c r="J2447" s="5">
        <f>IFERROR(__xludf.DUMMYFUNCTION("""COMPUTED_VALUE"""),3643.04)</f>
        <v>3643.04</v>
      </c>
      <c r="K2447" s="5">
        <f>IFERROR(__xludf.DUMMYFUNCTION("""COMPUTED_VALUE"""),5790.67)</f>
        <v>5790.67</v>
      </c>
      <c r="L2447" s="4">
        <f>IFERROR(__xludf.DUMMYFUNCTION("""COMPUTED_VALUE"""),11.0)</f>
        <v>11</v>
      </c>
      <c r="M2447" s="4">
        <f>IFERROR(__xludf.DUMMYFUNCTION("""COMPUTED_VALUE"""),30.0)</f>
        <v>30</v>
      </c>
      <c r="N2447" s="2" t="b">
        <f>IFERROR(__xludf.DUMMYFUNCTION("""COMPUTED_VALUE"""),TRUE)</f>
        <v>1</v>
      </c>
    </row>
    <row r="2448">
      <c r="A2448" s="2">
        <f>IFERROR(__xludf.DUMMYFUNCTION("""COMPUTED_VALUE"""),2447.0)</f>
        <v>2447</v>
      </c>
      <c r="B2448" s="2" t="str">
        <f>IFERROR(__xludf.DUMMYFUNCTION("""COMPUTED_VALUE"""),"Rockwell Barnett")</f>
        <v>Rockwell Barnett</v>
      </c>
      <c r="C2448" s="2" t="str">
        <f>IFERROR(__xludf.DUMMYFUNCTION("""COMPUTED_VALUE"""),"rbarnettcf@discovery.com")</f>
        <v>rbarnettcf@discovery.com</v>
      </c>
      <c r="D2448" s="4">
        <f>IFERROR(__xludf.DUMMYFUNCTION("""COMPUTED_VALUE"""),138.0)</f>
        <v>138</v>
      </c>
      <c r="E2448" s="4">
        <f>IFERROR(__xludf.DUMMYFUNCTION("""COMPUTED_VALUE"""),111.0)</f>
        <v>111</v>
      </c>
      <c r="F2448" s="4">
        <f>IFERROR(__xludf.DUMMYFUNCTION("""COMPUTED_VALUE"""),5.0)</f>
        <v>5</v>
      </c>
      <c r="G2448" s="4">
        <f>IFERROR(__xludf.DUMMYFUNCTION("""COMPUTED_VALUE"""),1192.0)</f>
        <v>1192</v>
      </c>
      <c r="H2448" s="5">
        <f>IFERROR(__xludf.DUMMYFUNCTION("""COMPUTED_VALUE"""),9465.37)</f>
        <v>9465.37</v>
      </c>
      <c r="I2448" s="5">
        <f>IFERROR(__xludf.DUMMYFUNCTION("""COMPUTED_VALUE"""),7966.83)</f>
        <v>7966.83</v>
      </c>
      <c r="J2448" s="5">
        <f>IFERROR(__xludf.DUMMYFUNCTION("""COMPUTED_VALUE"""),5756.28)</f>
        <v>5756.28</v>
      </c>
      <c r="K2448" s="5">
        <f>IFERROR(__xludf.DUMMYFUNCTION("""COMPUTED_VALUE"""),1845.1)</f>
        <v>1845.1</v>
      </c>
      <c r="L2448" s="4">
        <f>IFERROR(__xludf.DUMMYFUNCTION("""COMPUTED_VALUE"""),9.0)</f>
        <v>9</v>
      </c>
      <c r="M2448" s="4">
        <f>IFERROR(__xludf.DUMMYFUNCTION("""COMPUTED_VALUE"""),88.0)</f>
        <v>88</v>
      </c>
      <c r="N2448" s="2" t="b">
        <f>IFERROR(__xludf.DUMMYFUNCTION("""COMPUTED_VALUE"""),FALSE)</f>
        <v>0</v>
      </c>
    </row>
    <row r="2449">
      <c r="A2449" s="2">
        <f>IFERROR(__xludf.DUMMYFUNCTION("""COMPUTED_VALUE"""),2448.0)</f>
        <v>2448</v>
      </c>
      <c r="B2449" s="2" t="str">
        <f>IFERROR(__xludf.DUMMYFUNCTION("""COMPUTED_VALUE"""),"Marcellina Latch")</f>
        <v>Marcellina Latch</v>
      </c>
      <c r="C2449" s="2"/>
      <c r="D2449" s="4">
        <f>IFERROR(__xludf.DUMMYFUNCTION("""COMPUTED_VALUE"""),94.0)</f>
        <v>94</v>
      </c>
      <c r="E2449" s="4">
        <f>IFERROR(__xludf.DUMMYFUNCTION("""COMPUTED_VALUE"""),98.0)</f>
        <v>98</v>
      </c>
      <c r="F2449" s="4">
        <f>IFERROR(__xludf.DUMMYFUNCTION("""COMPUTED_VALUE"""),13.0)</f>
        <v>13</v>
      </c>
      <c r="G2449" s="4">
        <f>IFERROR(__xludf.DUMMYFUNCTION("""COMPUTED_VALUE"""),454.0)</f>
        <v>454</v>
      </c>
      <c r="H2449" s="5">
        <f>IFERROR(__xludf.DUMMYFUNCTION("""COMPUTED_VALUE"""),847.59)</f>
        <v>847.59</v>
      </c>
      <c r="I2449" s="5">
        <f>IFERROR(__xludf.DUMMYFUNCTION("""COMPUTED_VALUE"""),9413.76)</f>
        <v>9413.76</v>
      </c>
      <c r="J2449" s="5">
        <f>IFERROR(__xludf.DUMMYFUNCTION("""COMPUTED_VALUE"""),8950.68)</f>
        <v>8950.68</v>
      </c>
      <c r="K2449" s="5">
        <f>IFERROR(__xludf.DUMMYFUNCTION("""COMPUTED_VALUE"""),7833.91)</f>
        <v>7833.91</v>
      </c>
      <c r="L2449" s="4">
        <f>IFERROR(__xludf.DUMMYFUNCTION("""COMPUTED_VALUE"""),7.0)</f>
        <v>7</v>
      </c>
      <c r="M2449" s="4">
        <f>IFERROR(__xludf.DUMMYFUNCTION("""COMPUTED_VALUE"""),56.0)</f>
        <v>56</v>
      </c>
      <c r="N2449" s="2" t="b">
        <f>IFERROR(__xludf.DUMMYFUNCTION("""COMPUTED_VALUE"""),TRUE)</f>
        <v>1</v>
      </c>
    </row>
    <row r="2450">
      <c r="A2450" s="2">
        <f>IFERROR(__xludf.DUMMYFUNCTION("""COMPUTED_VALUE"""),2449.0)</f>
        <v>2449</v>
      </c>
      <c r="B2450" s="2" t="str">
        <f>IFERROR(__xludf.DUMMYFUNCTION("""COMPUTED_VALUE"""),"Eleen Wragge")</f>
        <v>Eleen Wragge</v>
      </c>
      <c r="C2450" s="2" t="str">
        <f>IFERROR(__xludf.DUMMYFUNCTION("""COMPUTED_VALUE"""),"ewraggech@accuweather.com")</f>
        <v>ewraggech@accuweather.com</v>
      </c>
      <c r="D2450" s="4">
        <f>IFERROR(__xludf.DUMMYFUNCTION("""COMPUTED_VALUE"""),142.0)</f>
        <v>142</v>
      </c>
      <c r="E2450" s="4">
        <f>IFERROR(__xludf.DUMMYFUNCTION("""COMPUTED_VALUE"""),10.0)</f>
        <v>10</v>
      </c>
      <c r="F2450" s="4">
        <f>IFERROR(__xludf.DUMMYFUNCTION("""COMPUTED_VALUE"""),4.0)</f>
        <v>4</v>
      </c>
      <c r="G2450" s="4">
        <f>IFERROR(__xludf.DUMMYFUNCTION("""COMPUTED_VALUE"""),959.0)</f>
        <v>959</v>
      </c>
      <c r="H2450" s="5">
        <f>IFERROR(__xludf.DUMMYFUNCTION("""COMPUTED_VALUE"""),8929.31)</f>
        <v>8929.31</v>
      </c>
      <c r="I2450" s="5">
        <f>IFERROR(__xludf.DUMMYFUNCTION("""COMPUTED_VALUE"""),7090.28)</f>
        <v>7090.28</v>
      </c>
      <c r="J2450" s="5">
        <f>IFERROR(__xludf.DUMMYFUNCTION("""COMPUTED_VALUE"""),3924.64)</f>
        <v>3924.64</v>
      </c>
      <c r="K2450" s="5">
        <f>IFERROR(__xludf.DUMMYFUNCTION("""COMPUTED_VALUE"""),6338.3)</f>
        <v>6338.3</v>
      </c>
      <c r="L2450" s="4">
        <f>IFERROR(__xludf.DUMMYFUNCTION("""COMPUTED_VALUE"""),14.0)</f>
        <v>14</v>
      </c>
      <c r="M2450" s="4">
        <f>IFERROR(__xludf.DUMMYFUNCTION("""COMPUTED_VALUE"""),48.0)</f>
        <v>48</v>
      </c>
      <c r="N2450" s="2" t="b">
        <f>IFERROR(__xludf.DUMMYFUNCTION("""COMPUTED_VALUE"""),TRUE)</f>
        <v>1</v>
      </c>
    </row>
    <row r="2451">
      <c r="A2451" s="2">
        <f>IFERROR(__xludf.DUMMYFUNCTION("""COMPUTED_VALUE"""),2450.0)</f>
        <v>2450</v>
      </c>
      <c r="B2451" s="2" t="str">
        <f>IFERROR(__xludf.DUMMYFUNCTION("""COMPUTED_VALUE"""),"Obidiah Streeter")</f>
        <v>Obidiah Streeter</v>
      </c>
      <c r="C2451" s="2"/>
      <c r="D2451" s="4">
        <f>IFERROR(__xludf.DUMMYFUNCTION("""COMPUTED_VALUE"""),70.0)</f>
        <v>70</v>
      </c>
      <c r="E2451" s="4">
        <f>IFERROR(__xludf.DUMMYFUNCTION("""COMPUTED_VALUE"""),109.0)</f>
        <v>109</v>
      </c>
      <c r="F2451" s="4">
        <f>IFERROR(__xludf.DUMMYFUNCTION("""COMPUTED_VALUE"""),10.0)</f>
        <v>10</v>
      </c>
      <c r="G2451" s="4">
        <f>IFERROR(__xludf.DUMMYFUNCTION("""COMPUTED_VALUE"""),296.0)</f>
        <v>296</v>
      </c>
      <c r="H2451" s="5">
        <f>IFERROR(__xludf.DUMMYFUNCTION("""COMPUTED_VALUE"""),8011.15)</f>
        <v>8011.15</v>
      </c>
      <c r="I2451" s="5">
        <f>IFERROR(__xludf.DUMMYFUNCTION("""COMPUTED_VALUE"""),7756.89)</f>
        <v>7756.89</v>
      </c>
      <c r="J2451" s="5">
        <f>IFERROR(__xludf.DUMMYFUNCTION("""COMPUTED_VALUE"""),5487.73)</f>
        <v>5487.73</v>
      </c>
      <c r="K2451" s="5">
        <f>IFERROR(__xludf.DUMMYFUNCTION("""COMPUTED_VALUE"""),794.9)</f>
        <v>794.9</v>
      </c>
      <c r="L2451" s="4">
        <f>IFERROR(__xludf.DUMMYFUNCTION("""COMPUTED_VALUE"""),19.0)</f>
        <v>19</v>
      </c>
      <c r="M2451" s="4">
        <f>IFERROR(__xludf.DUMMYFUNCTION("""COMPUTED_VALUE"""),15.0)</f>
        <v>15</v>
      </c>
      <c r="N2451" s="2" t="b">
        <f>IFERROR(__xludf.DUMMYFUNCTION("""COMPUTED_VALUE"""),TRUE)</f>
        <v>1</v>
      </c>
    </row>
    <row r="2452">
      <c r="A2452" s="2">
        <f>IFERROR(__xludf.DUMMYFUNCTION("""COMPUTED_VALUE"""),2451.0)</f>
        <v>2451</v>
      </c>
      <c r="B2452" s="2" t="str">
        <f>IFERROR(__xludf.DUMMYFUNCTION("""COMPUTED_VALUE"""),"Ban Crowcroft")</f>
        <v>Ban Crowcroft</v>
      </c>
      <c r="C2452" s="2" t="str">
        <f>IFERROR(__xludf.DUMMYFUNCTION("""COMPUTED_VALUE"""),"bcrowcroftcj@admin.ch")</f>
        <v>bcrowcroftcj@admin.ch</v>
      </c>
      <c r="D2452" s="4">
        <f>IFERROR(__xludf.DUMMYFUNCTION("""COMPUTED_VALUE"""),150.0)</f>
        <v>150</v>
      </c>
      <c r="E2452" s="4">
        <f>IFERROR(__xludf.DUMMYFUNCTION("""COMPUTED_VALUE"""),95.0)</f>
        <v>95</v>
      </c>
      <c r="F2452" s="4">
        <f>IFERROR(__xludf.DUMMYFUNCTION("""COMPUTED_VALUE"""),4.0)</f>
        <v>4</v>
      </c>
      <c r="G2452" s="4">
        <f>IFERROR(__xludf.DUMMYFUNCTION("""COMPUTED_VALUE"""),1355.0)</f>
        <v>1355</v>
      </c>
      <c r="H2452" s="5">
        <f>IFERROR(__xludf.DUMMYFUNCTION("""COMPUTED_VALUE"""),4264.38)</f>
        <v>4264.38</v>
      </c>
      <c r="I2452" s="5">
        <f>IFERROR(__xludf.DUMMYFUNCTION("""COMPUTED_VALUE"""),5038.89)</f>
        <v>5038.89</v>
      </c>
      <c r="J2452" s="5">
        <f>IFERROR(__xludf.DUMMYFUNCTION("""COMPUTED_VALUE"""),2227.6)</f>
        <v>2227.6</v>
      </c>
      <c r="K2452" s="5">
        <f>IFERROR(__xludf.DUMMYFUNCTION("""COMPUTED_VALUE"""),5277.4)</f>
        <v>5277.4</v>
      </c>
      <c r="L2452" s="4">
        <f>IFERROR(__xludf.DUMMYFUNCTION("""COMPUTED_VALUE"""),18.0)</f>
        <v>18</v>
      </c>
      <c r="M2452" s="4">
        <f>IFERROR(__xludf.DUMMYFUNCTION("""COMPUTED_VALUE"""),60.0)</f>
        <v>60</v>
      </c>
      <c r="N2452" s="2" t="b">
        <f>IFERROR(__xludf.DUMMYFUNCTION("""COMPUTED_VALUE"""),TRUE)</f>
        <v>1</v>
      </c>
    </row>
    <row r="2453">
      <c r="A2453" s="2">
        <f>IFERROR(__xludf.DUMMYFUNCTION("""COMPUTED_VALUE"""),2452.0)</f>
        <v>2452</v>
      </c>
      <c r="B2453" s="2" t="str">
        <f>IFERROR(__xludf.DUMMYFUNCTION("""COMPUTED_VALUE"""),"Christal Gellibrand")</f>
        <v>Christal Gellibrand</v>
      </c>
      <c r="C2453" s="2" t="str">
        <f>IFERROR(__xludf.DUMMYFUNCTION("""COMPUTED_VALUE"""),"cgellibrandck@amazonaws.com")</f>
        <v>cgellibrandck@amazonaws.com</v>
      </c>
      <c r="D2453" s="4">
        <f>IFERROR(__xludf.DUMMYFUNCTION("""COMPUTED_VALUE"""),98.0)</f>
        <v>98</v>
      </c>
      <c r="E2453" s="4">
        <f>IFERROR(__xludf.DUMMYFUNCTION("""COMPUTED_VALUE"""),83.0)</f>
        <v>83</v>
      </c>
      <c r="F2453" s="4">
        <f>IFERROR(__xludf.DUMMYFUNCTION("""COMPUTED_VALUE"""),6.0)</f>
        <v>6</v>
      </c>
      <c r="G2453" s="4">
        <f>IFERROR(__xludf.DUMMYFUNCTION("""COMPUTED_VALUE"""),408.0)</f>
        <v>408</v>
      </c>
      <c r="H2453" s="5">
        <f>IFERROR(__xludf.DUMMYFUNCTION("""COMPUTED_VALUE"""),6092.22)</f>
        <v>6092.22</v>
      </c>
      <c r="I2453" s="5">
        <f>IFERROR(__xludf.DUMMYFUNCTION("""COMPUTED_VALUE"""),7027.42)</f>
        <v>7027.42</v>
      </c>
      <c r="J2453" s="5">
        <f>IFERROR(__xludf.DUMMYFUNCTION("""COMPUTED_VALUE"""),2930.32)</f>
        <v>2930.32</v>
      </c>
      <c r="K2453" s="5">
        <f>IFERROR(__xludf.DUMMYFUNCTION("""COMPUTED_VALUE"""),3724.44)</f>
        <v>3724.44</v>
      </c>
      <c r="L2453" s="4">
        <f>IFERROR(__xludf.DUMMYFUNCTION("""COMPUTED_VALUE"""),14.0)</f>
        <v>14</v>
      </c>
      <c r="M2453" s="4">
        <f>IFERROR(__xludf.DUMMYFUNCTION("""COMPUTED_VALUE"""),50.0)</f>
        <v>50</v>
      </c>
      <c r="N2453" s="2" t="b">
        <f>IFERROR(__xludf.DUMMYFUNCTION("""COMPUTED_VALUE"""),FALSE)</f>
        <v>0</v>
      </c>
    </row>
    <row r="2454">
      <c r="A2454" s="2">
        <f>IFERROR(__xludf.DUMMYFUNCTION("""COMPUTED_VALUE"""),2453.0)</f>
        <v>2453</v>
      </c>
      <c r="B2454" s="2" t="str">
        <f>IFERROR(__xludf.DUMMYFUNCTION("""COMPUTED_VALUE"""),"Batsheva Elsy")</f>
        <v>Batsheva Elsy</v>
      </c>
      <c r="C2454" s="2"/>
      <c r="D2454" s="4">
        <f>IFERROR(__xludf.DUMMYFUNCTION("""COMPUTED_VALUE"""),75.0)</f>
        <v>75</v>
      </c>
      <c r="E2454" s="4">
        <f>IFERROR(__xludf.DUMMYFUNCTION("""COMPUTED_VALUE"""),91.0)</f>
        <v>91</v>
      </c>
      <c r="F2454" s="4">
        <f>IFERROR(__xludf.DUMMYFUNCTION("""COMPUTED_VALUE"""),12.0)</f>
        <v>12</v>
      </c>
      <c r="G2454" s="4">
        <f>IFERROR(__xludf.DUMMYFUNCTION("""COMPUTED_VALUE"""),596.0)</f>
        <v>596</v>
      </c>
      <c r="H2454" s="5">
        <f>IFERROR(__xludf.DUMMYFUNCTION("""COMPUTED_VALUE"""),6974.1)</f>
        <v>6974.1</v>
      </c>
      <c r="I2454" s="5">
        <f>IFERROR(__xludf.DUMMYFUNCTION("""COMPUTED_VALUE"""),6312.59)</f>
        <v>6312.59</v>
      </c>
      <c r="J2454" s="5">
        <f>IFERROR(__xludf.DUMMYFUNCTION("""COMPUTED_VALUE"""),1352.51)</f>
        <v>1352.51</v>
      </c>
      <c r="K2454" s="5">
        <f>IFERROR(__xludf.DUMMYFUNCTION("""COMPUTED_VALUE"""),2018.61)</f>
        <v>2018.61</v>
      </c>
      <c r="L2454" s="4">
        <f>IFERROR(__xludf.DUMMYFUNCTION("""COMPUTED_VALUE"""),4.0)</f>
        <v>4</v>
      </c>
      <c r="M2454" s="4">
        <f>IFERROR(__xludf.DUMMYFUNCTION("""COMPUTED_VALUE"""),69.0)</f>
        <v>69</v>
      </c>
      <c r="N2454" s="2" t="b">
        <f>IFERROR(__xludf.DUMMYFUNCTION("""COMPUTED_VALUE"""),FALSE)</f>
        <v>0</v>
      </c>
    </row>
    <row r="2455">
      <c r="A2455" s="2">
        <f>IFERROR(__xludf.DUMMYFUNCTION("""COMPUTED_VALUE"""),2454.0)</f>
        <v>2454</v>
      </c>
      <c r="B2455" s="2" t="str">
        <f>IFERROR(__xludf.DUMMYFUNCTION("""COMPUTED_VALUE"""),"Martynne Meakin")</f>
        <v>Martynne Meakin</v>
      </c>
      <c r="C2455" s="2"/>
      <c r="D2455" s="4">
        <f>IFERROR(__xludf.DUMMYFUNCTION("""COMPUTED_VALUE"""),39.0)</f>
        <v>39</v>
      </c>
      <c r="E2455" s="4">
        <f>IFERROR(__xludf.DUMMYFUNCTION("""COMPUTED_VALUE"""),93.0)</f>
        <v>93</v>
      </c>
      <c r="F2455" s="4">
        <f>IFERROR(__xludf.DUMMYFUNCTION("""COMPUTED_VALUE"""),10.0)</f>
        <v>10</v>
      </c>
      <c r="G2455" s="4">
        <f>IFERROR(__xludf.DUMMYFUNCTION("""COMPUTED_VALUE"""),809.0)</f>
        <v>809</v>
      </c>
      <c r="H2455" s="5">
        <f>IFERROR(__xludf.DUMMYFUNCTION("""COMPUTED_VALUE"""),9262.39)</f>
        <v>9262.39</v>
      </c>
      <c r="I2455" s="5">
        <f>IFERROR(__xludf.DUMMYFUNCTION("""COMPUTED_VALUE"""),6309.82)</f>
        <v>6309.82</v>
      </c>
      <c r="J2455" s="5">
        <f>IFERROR(__xludf.DUMMYFUNCTION("""COMPUTED_VALUE"""),2989.96)</f>
        <v>2989.96</v>
      </c>
      <c r="K2455" s="5">
        <f>IFERROR(__xludf.DUMMYFUNCTION("""COMPUTED_VALUE"""),7746.23)</f>
        <v>7746.23</v>
      </c>
      <c r="L2455" s="4">
        <f>IFERROR(__xludf.DUMMYFUNCTION("""COMPUTED_VALUE"""),14.0)</f>
        <v>14</v>
      </c>
      <c r="M2455" s="4">
        <f>IFERROR(__xludf.DUMMYFUNCTION("""COMPUTED_VALUE"""),23.0)</f>
        <v>23</v>
      </c>
      <c r="N2455" s="2" t="b">
        <f>IFERROR(__xludf.DUMMYFUNCTION("""COMPUTED_VALUE"""),FALSE)</f>
        <v>0</v>
      </c>
    </row>
    <row r="2456">
      <c r="A2456" s="2">
        <f>IFERROR(__xludf.DUMMYFUNCTION("""COMPUTED_VALUE"""),2455.0)</f>
        <v>2455</v>
      </c>
      <c r="B2456" s="2" t="str">
        <f>IFERROR(__xludf.DUMMYFUNCTION("""COMPUTED_VALUE"""),"Sapphira Yeend")</f>
        <v>Sapphira Yeend</v>
      </c>
      <c r="C2456" s="2"/>
      <c r="D2456" s="4">
        <f>IFERROR(__xludf.DUMMYFUNCTION("""COMPUTED_VALUE"""),72.0)</f>
        <v>72</v>
      </c>
      <c r="E2456" s="4">
        <f>IFERROR(__xludf.DUMMYFUNCTION("""COMPUTED_VALUE"""),17.0)</f>
        <v>17</v>
      </c>
      <c r="F2456" s="4">
        <f>IFERROR(__xludf.DUMMYFUNCTION("""COMPUTED_VALUE"""),10.0)</f>
        <v>10</v>
      </c>
      <c r="G2456" s="4">
        <f>IFERROR(__xludf.DUMMYFUNCTION("""COMPUTED_VALUE"""),1351.0)</f>
        <v>1351</v>
      </c>
      <c r="H2456" s="5">
        <f>IFERROR(__xludf.DUMMYFUNCTION("""COMPUTED_VALUE"""),4377.8)</f>
        <v>4377.8</v>
      </c>
      <c r="I2456" s="5">
        <f>IFERROR(__xludf.DUMMYFUNCTION("""COMPUTED_VALUE"""),5836.94)</f>
        <v>5836.94</v>
      </c>
      <c r="J2456" s="5">
        <f>IFERROR(__xludf.DUMMYFUNCTION("""COMPUTED_VALUE"""),9417.2)</f>
        <v>9417.2</v>
      </c>
      <c r="K2456" s="5">
        <f>IFERROR(__xludf.DUMMYFUNCTION("""COMPUTED_VALUE"""),5564.26)</f>
        <v>5564.26</v>
      </c>
      <c r="L2456" s="4">
        <f>IFERROR(__xludf.DUMMYFUNCTION("""COMPUTED_VALUE"""),1.0)</f>
        <v>1</v>
      </c>
      <c r="M2456" s="4">
        <f>IFERROR(__xludf.DUMMYFUNCTION("""COMPUTED_VALUE"""),15.0)</f>
        <v>15</v>
      </c>
      <c r="N2456" s="2" t="b">
        <f>IFERROR(__xludf.DUMMYFUNCTION("""COMPUTED_VALUE"""),TRUE)</f>
        <v>1</v>
      </c>
    </row>
    <row r="2457">
      <c r="A2457" s="2">
        <f>IFERROR(__xludf.DUMMYFUNCTION("""COMPUTED_VALUE"""),2456.0)</f>
        <v>2456</v>
      </c>
      <c r="B2457" s="2" t="str">
        <f>IFERROR(__xludf.DUMMYFUNCTION("""COMPUTED_VALUE"""),"Alika Leband")</f>
        <v>Alika Leband</v>
      </c>
      <c r="C2457" s="2"/>
      <c r="D2457" s="4">
        <f>IFERROR(__xludf.DUMMYFUNCTION("""COMPUTED_VALUE"""),45.0)</f>
        <v>45</v>
      </c>
      <c r="E2457" s="4">
        <f>IFERROR(__xludf.DUMMYFUNCTION("""COMPUTED_VALUE"""),59.0)</f>
        <v>59</v>
      </c>
      <c r="F2457" s="4">
        <f>IFERROR(__xludf.DUMMYFUNCTION("""COMPUTED_VALUE"""),13.0)</f>
        <v>13</v>
      </c>
      <c r="G2457" s="4">
        <f>IFERROR(__xludf.DUMMYFUNCTION("""COMPUTED_VALUE"""),159.0)</f>
        <v>159</v>
      </c>
      <c r="H2457" s="5">
        <f>IFERROR(__xludf.DUMMYFUNCTION("""COMPUTED_VALUE"""),7812.15)</f>
        <v>7812.15</v>
      </c>
      <c r="I2457" s="5">
        <f>IFERROR(__xludf.DUMMYFUNCTION("""COMPUTED_VALUE"""),1892.35)</f>
        <v>1892.35</v>
      </c>
      <c r="J2457" s="5">
        <f>IFERROR(__xludf.DUMMYFUNCTION("""COMPUTED_VALUE"""),8762.9)</f>
        <v>8762.9</v>
      </c>
      <c r="K2457" s="5">
        <f>IFERROR(__xludf.DUMMYFUNCTION("""COMPUTED_VALUE"""),4864.43)</f>
        <v>4864.43</v>
      </c>
      <c r="L2457" s="4">
        <f>IFERROR(__xludf.DUMMYFUNCTION("""COMPUTED_VALUE"""),13.0)</f>
        <v>13</v>
      </c>
      <c r="M2457" s="4">
        <f>IFERROR(__xludf.DUMMYFUNCTION("""COMPUTED_VALUE"""),30.0)</f>
        <v>30</v>
      </c>
      <c r="N2457" s="2" t="b">
        <f>IFERROR(__xludf.DUMMYFUNCTION("""COMPUTED_VALUE"""),FALSE)</f>
        <v>0</v>
      </c>
    </row>
    <row r="2458">
      <c r="A2458" s="2">
        <f>IFERROR(__xludf.DUMMYFUNCTION("""COMPUTED_VALUE"""),2457.0)</f>
        <v>2457</v>
      </c>
      <c r="B2458" s="2" t="str">
        <f>IFERROR(__xludf.DUMMYFUNCTION("""COMPUTED_VALUE"""),"Anthiathia McWhinnie")</f>
        <v>Anthiathia McWhinnie</v>
      </c>
      <c r="C2458" s="2" t="str">
        <f>IFERROR(__xludf.DUMMYFUNCTION("""COMPUTED_VALUE"""),"amcwhinniecp@typepad.com")</f>
        <v>amcwhinniecp@typepad.com</v>
      </c>
      <c r="D2458" s="4">
        <f>IFERROR(__xludf.DUMMYFUNCTION("""COMPUTED_VALUE"""),86.0)</f>
        <v>86</v>
      </c>
      <c r="E2458" s="4">
        <f>IFERROR(__xludf.DUMMYFUNCTION("""COMPUTED_VALUE"""),76.0)</f>
        <v>76</v>
      </c>
      <c r="F2458" s="4">
        <f>IFERROR(__xludf.DUMMYFUNCTION("""COMPUTED_VALUE"""),8.0)</f>
        <v>8</v>
      </c>
      <c r="G2458" s="4">
        <f>IFERROR(__xludf.DUMMYFUNCTION("""COMPUTED_VALUE"""),1374.0)</f>
        <v>1374</v>
      </c>
      <c r="H2458" s="5">
        <f>IFERROR(__xludf.DUMMYFUNCTION("""COMPUTED_VALUE"""),3516.63)</f>
        <v>3516.63</v>
      </c>
      <c r="I2458" s="5">
        <f>IFERROR(__xludf.DUMMYFUNCTION("""COMPUTED_VALUE"""),3574.52)</f>
        <v>3574.52</v>
      </c>
      <c r="J2458" s="5">
        <f>IFERROR(__xludf.DUMMYFUNCTION("""COMPUTED_VALUE"""),8020.57)</f>
        <v>8020.57</v>
      </c>
      <c r="K2458" s="5">
        <f>IFERROR(__xludf.DUMMYFUNCTION("""COMPUTED_VALUE"""),5205.57)</f>
        <v>5205.57</v>
      </c>
      <c r="L2458" s="4">
        <f>IFERROR(__xludf.DUMMYFUNCTION("""COMPUTED_VALUE"""),2.0)</f>
        <v>2</v>
      </c>
      <c r="M2458" s="4">
        <f>IFERROR(__xludf.DUMMYFUNCTION("""COMPUTED_VALUE"""),35.0)</f>
        <v>35</v>
      </c>
      <c r="N2458" s="2" t="b">
        <f>IFERROR(__xludf.DUMMYFUNCTION("""COMPUTED_VALUE"""),FALSE)</f>
        <v>0</v>
      </c>
    </row>
    <row r="2459">
      <c r="A2459" s="2">
        <f>IFERROR(__xludf.DUMMYFUNCTION("""COMPUTED_VALUE"""),2458.0)</f>
        <v>2458</v>
      </c>
      <c r="B2459" s="2" t="str">
        <f>IFERROR(__xludf.DUMMYFUNCTION("""COMPUTED_VALUE"""),"Loralee Skippings")</f>
        <v>Loralee Skippings</v>
      </c>
      <c r="C2459" s="2"/>
      <c r="D2459" s="4">
        <f>IFERROR(__xludf.DUMMYFUNCTION("""COMPUTED_VALUE"""),74.0)</f>
        <v>74</v>
      </c>
      <c r="E2459" s="4">
        <f>IFERROR(__xludf.DUMMYFUNCTION("""COMPUTED_VALUE"""),80.0)</f>
        <v>80</v>
      </c>
      <c r="F2459" s="4">
        <f>IFERROR(__xludf.DUMMYFUNCTION("""COMPUTED_VALUE"""),6.0)</f>
        <v>6</v>
      </c>
      <c r="G2459" s="4">
        <f>IFERROR(__xludf.DUMMYFUNCTION("""COMPUTED_VALUE"""),456.0)</f>
        <v>456</v>
      </c>
      <c r="H2459" s="5">
        <f>IFERROR(__xludf.DUMMYFUNCTION("""COMPUTED_VALUE"""),8128.76)</f>
        <v>8128.76</v>
      </c>
      <c r="I2459" s="5">
        <f>IFERROR(__xludf.DUMMYFUNCTION("""COMPUTED_VALUE"""),1062.83)</f>
        <v>1062.83</v>
      </c>
      <c r="J2459" s="5">
        <f>IFERROR(__xludf.DUMMYFUNCTION("""COMPUTED_VALUE"""),1511.93)</f>
        <v>1511.93</v>
      </c>
      <c r="K2459" s="5">
        <f>IFERROR(__xludf.DUMMYFUNCTION("""COMPUTED_VALUE"""),4635.41)</f>
        <v>4635.41</v>
      </c>
      <c r="L2459" s="4">
        <f>IFERROR(__xludf.DUMMYFUNCTION("""COMPUTED_VALUE"""),15.0)</f>
        <v>15</v>
      </c>
      <c r="M2459" s="4">
        <f>IFERROR(__xludf.DUMMYFUNCTION("""COMPUTED_VALUE"""),25.0)</f>
        <v>25</v>
      </c>
      <c r="N2459" s="2" t="b">
        <f>IFERROR(__xludf.DUMMYFUNCTION("""COMPUTED_VALUE"""),TRUE)</f>
        <v>1</v>
      </c>
    </row>
    <row r="2460">
      <c r="A2460" s="2">
        <f>IFERROR(__xludf.DUMMYFUNCTION("""COMPUTED_VALUE"""),2459.0)</f>
        <v>2459</v>
      </c>
      <c r="B2460" s="2" t="str">
        <f>IFERROR(__xludf.DUMMYFUNCTION("""COMPUTED_VALUE"""),"Fleurette Hansell")</f>
        <v>Fleurette Hansell</v>
      </c>
      <c r="C2460" s="2" t="str">
        <f>IFERROR(__xludf.DUMMYFUNCTION("""COMPUTED_VALUE"""),"fhansellcr@com.com")</f>
        <v>fhansellcr@com.com</v>
      </c>
      <c r="D2460" s="4">
        <f>IFERROR(__xludf.DUMMYFUNCTION("""COMPUTED_VALUE"""),96.0)</f>
        <v>96</v>
      </c>
      <c r="E2460" s="4">
        <f>IFERROR(__xludf.DUMMYFUNCTION("""COMPUTED_VALUE"""),15.0)</f>
        <v>15</v>
      </c>
      <c r="F2460" s="4">
        <f>IFERROR(__xludf.DUMMYFUNCTION("""COMPUTED_VALUE"""),1.0)</f>
        <v>1</v>
      </c>
      <c r="G2460" s="4">
        <f>IFERROR(__xludf.DUMMYFUNCTION("""COMPUTED_VALUE"""),1133.0)</f>
        <v>1133</v>
      </c>
      <c r="H2460" s="5">
        <f>IFERROR(__xludf.DUMMYFUNCTION("""COMPUTED_VALUE"""),1249.34)</f>
        <v>1249.34</v>
      </c>
      <c r="I2460" s="5">
        <f>IFERROR(__xludf.DUMMYFUNCTION("""COMPUTED_VALUE"""),5314.74)</f>
        <v>5314.74</v>
      </c>
      <c r="J2460" s="5">
        <f>IFERROR(__xludf.DUMMYFUNCTION("""COMPUTED_VALUE"""),7174.64)</f>
        <v>7174.64</v>
      </c>
      <c r="K2460" s="5">
        <f>IFERROR(__xludf.DUMMYFUNCTION("""COMPUTED_VALUE"""),1014.55)</f>
        <v>1014.55</v>
      </c>
      <c r="L2460" s="4">
        <f>IFERROR(__xludf.DUMMYFUNCTION("""COMPUTED_VALUE"""),12.0)</f>
        <v>12</v>
      </c>
      <c r="M2460" s="4">
        <f>IFERROR(__xludf.DUMMYFUNCTION("""COMPUTED_VALUE"""),18.0)</f>
        <v>18</v>
      </c>
      <c r="N2460" s="2" t="b">
        <f>IFERROR(__xludf.DUMMYFUNCTION("""COMPUTED_VALUE"""),FALSE)</f>
        <v>0</v>
      </c>
    </row>
    <row r="2461">
      <c r="A2461" s="2">
        <f>IFERROR(__xludf.DUMMYFUNCTION("""COMPUTED_VALUE"""),2460.0)</f>
        <v>2460</v>
      </c>
      <c r="B2461" s="2" t="str">
        <f>IFERROR(__xludf.DUMMYFUNCTION("""COMPUTED_VALUE"""),"Debby Waddam")</f>
        <v>Debby Waddam</v>
      </c>
      <c r="C2461" s="2" t="str">
        <f>IFERROR(__xludf.DUMMYFUNCTION("""COMPUTED_VALUE"""),"dwaddamcs@acquirethisname.com")</f>
        <v>dwaddamcs@acquirethisname.com</v>
      </c>
      <c r="D2461" s="4">
        <f>IFERROR(__xludf.DUMMYFUNCTION("""COMPUTED_VALUE"""),92.0)</f>
        <v>92</v>
      </c>
      <c r="E2461" s="4">
        <f>IFERROR(__xludf.DUMMYFUNCTION("""COMPUTED_VALUE"""),11.0)</f>
        <v>11</v>
      </c>
      <c r="F2461" s="4">
        <f>IFERROR(__xludf.DUMMYFUNCTION("""COMPUTED_VALUE"""),1.0)</f>
        <v>1</v>
      </c>
      <c r="G2461" s="4">
        <f>IFERROR(__xludf.DUMMYFUNCTION("""COMPUTED_VALUE"""),105.0)</f>
        <v>105</v>
      </c>
      <c r="H2461" s="5">
        <f>IFERROR(__xludf.DUMMYFUNCTION("""COMPUTED_VALUE"""),9221.5)</f>
        <v>9221.5</v>
      </c>
      <c r="I2461" s="5">
        <f>IFERROR(__xludf.DUMMYFUNCTION("""COMPUTED_VALUE"""),5813.52)</f>
        <v>5813.52</v>
      </c>
      <c r="J2461" s="5">
        <f>IFERROR(__xludf.DUMMYFUNCTION("""COMPUTED_VALUE"""),1481.12)</f>
        <v>1481.12</v>
      </c>
      <c r="K2461" s="5">
        <f>IFERROR(__xludf.DUMMYFUNCTION("""COMPUTED_VALUE"""),7656.67)</f>
        <v>7656.67</v>
      </c>
      <c r="L2461" s="4">
        <f>IFERROR(__xludf.DUMMYFUNCTION("""COMPUTED_VALUE"""),6.0)</f>
        <v>6</v>
      </c>
      <c r="M2461" s="4">
        <f>IFERROR(__xludf.DUMMYFUNCTION("""COMPUTED_VALUE"""),69.0)</f>
        <v>69</v>
      </c>
      <c r="N2461" s="2" t="b">
        <f>IFERROR(__xludf.DUMMYFUNCTION("""COMPUTED_VALUE"""),FALSE)</f>
        <v>0</v>
      </c>
    </row>
    <row r="2462">
      <c r="A2462" s="2">
        <f>IFERROR(__xludf.DUMMYFUNCTION("""COMPUTED_VALUE"""),2461.0)</f>
        <v>2461</v>
      </c>
      <c r="B2462" s="2" t="str">
        <f>IFERROR(__xludf.DUMMYFUNCTION("""COMPUTED_VALUE"""),"Jeremie Badham")</f>
        <v>Jeremie Badham</v>
      </c>
      <c r="C2462" s="2"/>
      <c r="D2462" s="4">
        <f>IFERROR(__xludf.DUMMYFUNCTION("""COMPUTED_VALUE"""),30.0)</f>
        <v>30</v>
      </c>
      <c r="E2462" s="4">
        <f>IFERROR(__xludf.DUMMYFUNCTION("""COMPUTED_VALUE"""),93.0)</f>
        <v>93</v>
      </c>
      <c r="F2462" s="4">
        <f>IFERROR(__xludf.DUMMYFUNCTION("""COMPUTED_VALUE"""),13.0)</f>
        <v>13</v>
      </c>
      <c r="G2462" s="4">
        <f>IFERROR(__xludf.DUMMYFUNCTION("""COMPUTED_VALUE"""),94.0)</f>
        <v>94</v>
      </c>
      <c r="H2462" s="5">
        <f>IFERROR(__xludf.DUMMYFUNCTION("""COMPUTED_VALUE"""),5223.89)</f>
        <v>5223.89</v>
      </c>
      <c r="I2462" s="5">
        <f>IFERROR(__xludf.DUMMYFUNCTION("""COMPUTED_VALUE"""),1714.88)</f>
        <v>1714.88</v>
      </c>
      <c r="J2462" s="5">
        <f>IFERROR(__xludf.DUMMYFUNCTION("""COMPUTED_VALUE"""),6424.08)</f>
        <v>6424.08</v>
      </c>
      <c r="K2462" s="5">
        <f>IFERROR(__xludf.DUMMYFUNCTION("""COMPUTED_VALUE"""),2182.18)</f>
        <v>2182.18</v>
      </c>
      <c r="L2462" s="4">
        <f>IFERROR(__xludf.DUMMYFUNCTION("""COMPUTED_VALUE"""),5.0)</f>
        <v>5</v>
      </c>
      <c r="M2462" s="4">
        <f>IFERROR(__xludf.DUMMYFUNCTION("""COMPUTED_VALUE"""),15.0)</f>
        <v>15</v>
      </c>
      <c r="N2462" s="2" t="b">
        <f>IFERROR(__xludf.DUMMYFUNCTION("""COMPUTED_VALUE"""),TRUE)</f>
        <v>1</v>
      </c>
    </row>
    <row r="2463">
      <c r="A2463" s="2">
        <f>IFERROR(__xludf.DUMMYFUNCTION("""COMPUTED_VALUE"""),2462.0)</f>
        <v>2462</v>
      </c>
      <c r="B2463" s="2" t="str">
        <f>IFERROR(__xludf.DUMMYFUNCTION("""COMPUTED_VALUE"""),"Irwin Girauld")</f>
        <v>Irwin Girauld</v>
      </c>
      <c r="C2463" s="2"/>
      <c r="D2463" s="4">
        <f>IFERROR(__xludf.DUMMYFUNCTION("""COMPUTED_VALUE"""),16.0)</f>
        <v>16</v>
      </c>
      <c r="E2463" s="4">
        <f>IFERROR(__xludf.DUMMYFUNCTION("""COMPUTED_VALUE"""),70.0)</f>
        <v>70</v>
      </c>
      <c r="F2463" s="4">
        <f>IFERROR(__xludf.DUMMYFUNCTION("""COMPUTED_VALUE"""),2.0)</f>
        <v>2</v>
      </c>
      <c r="G2463" s="4">
        <f>IFERROR(__xludf.DUMMYFUNCTION("""COMPUTED_VALUE"""),1241.0)</f>
        <v>1241</v>
      </c>
      <c r="H2463" s="5">
        <f>IFERROR(__xludf.DUMMYFUNCTION("""COMPUTED_VALUE"""),9765.08)</f>
        <v>9765.08</v>
      </c>
      <c r="I2463" s="5">
        <f>IFERROR(__xludf.DUMMYFUNCTION("""COMPUTED_VALUE"""),1099.21)</f>
        <v>1099.21</v>
      </c>
      <c r="J2463" s="5">
        <f>IFERROR(__xludf.DUMMYFUNCTION("""COMPUTED_VALUE"""),9902.64)</f>
        <v>9902.64</v>
      </c>
      <c r="K2463" s="5">
        <f>IFERROR(__xludf.DUMMYFUNCTION("""COMPUTED_VALUE"""),7892.36)</f>
        <v>7892.36</v>
      </c>
      <c r="L2463" s="4">
        <f>IFERROR(__xludf.DUMMYFUNCTION("""COMPUTED_VALUE"""),17.0)</f>
        <v>17</v>
      </c>
      <c r="M2463" s="4">
        <f>IFERROR(__xludf.DUMMYFUNCTION("""COMPUTED_VALUE"""),64.0)</f>
        <v>64</v>
      </c>
      <c r="N2463" s="2" t="b">
        <f>IFERROR(__xludf.DUMMYFUNCTION("""COMPUTED_VALUE"""),FALSE)</f>
        <v>0</v>
      </c>
    </row>
    <row r="2464">
      <c r="A2464" s="2">
        <f>IFERROR(__xludf.DUMMYFUNCTION("""COMPUTED_VALUE"""),2463.0)</f>
        <v>2463</v>
      </c>
      <c r="B2464" s="2" t="str">
        <f>IFERROR(__xludf.DUMMYFUNCTION("""COMPUTED_VALUE"""),"Dacie Chester")</f>
        <v>Dacie Chester</v>
      </c>
      <c r="C2464" s="2" t="str">
        <f>IFERROR(__xludf.DUMMYFUNCTION("""COMPUTED_VALUE"""),"dchestercv@mapquest.com")</f>
        <v>dchestercv@mapquest.com</v>
      </c>
      <c r="D2464" s="4">
        <f>IFERROR(__xludf.DUMMYFUNCTION("""COMPUTED_VALUE"""),73.0)</f>
        <v>73</v>
      </c>
      <c r="E2464" s="4">
        <f>IFERROR(__xludf.DUMMYFUNCTION("""COMPUTED_VALUE"""),125.0)</f>
        <v>125</v>
      </c>
      <c r="F2464" s="4">
        <f>IFERROR(__xludf.DUMMYFUNCTION("""COMPUTED_VALUE"""),10.0)</f>
        <v>10</v>
      </c>
      <c r="G2464" s="4">
        <f>IFERROR(__xludf.DUMMYFUNCTION("""COMPUTED_VALUE"""),780.0)</f>
        <v>780</v>
      </c>
      <c r="H2464" s="5">
        <f>IFERROR(__xludf.DUMMYFUNCTION("""COMPUTED_VALUE"""),7871.88)</f>
        <v>7871.88</v>
      </c>
      <c r="I2464" s="5">
        <f>IFERROR(__xludf.DUMMYFUNCTION("""COMPUTED_VALUE"""),6741.66)</f>
        <v>6741.66</v>
      </c>
      <c r="J2464" s="5">
        <f>IFERROR(__xludf.DUMMYFUNCTION("""COMPUTED_VALUE"""),234.31)</f>
        <v>234.31</v>
      </c>
      <c r="K2464" s="5">
        <f>IFERROR(__xludf.DUMMYFUNCTION("""COMPUTED_VALUE"""),2943.73)</f>
        <v>2943.73</v>
      </c>
      <c r="L2464" s="4">
        <f>IFERROR(__xludf.DUMMYFUNCTION("""COMPUTED_VALUE"""),2.0)</f>
        <v>2</v>
      </c>
      <c r="M2464" s="4">
        <f>IFERROR(__xludf.DUMMYFUNCTION("""COMPUTED_VALUE"""),95.0)</f>
        <v>95</v>
      </c>
      <c r="N2464" s="2" t="b">
        <f>IFERROR(__xludf.DUMMYFUNCTION("""COMPUTED_VALUE"""),TRUE)</f>
        <v>1</v>
      </c>
    </row>
    <row r="2465">
      <c r="A2465" s="2">
        <f>IFERROR(__xludf.DUMMYFUNCTION("""COMPUTED_VALUE"""),2464.0)</f>
        <v>2464</v>
      </c>
      <c r="B2465" s="2" t="str">
        <f>IFERROR(__xludf.DUMMYFUNCTION("""COMPUTED_VALUE"""),"Mommy Bentzen")</f>
        <v>Mommy Bentzen</v>
      </c>
      <c r="C2465" s="2" t="str">
        <f>IFERROR(__xludf.DUMMYFUNCTION("""COMPUTED_VALUE"""),"mbentzencw@wikipedia.org")</f>
        <v>mbentzencw@wikipedia.org</v>
      </c>
      <c r="D2465" s="4">
        <f>IFERROR(__xludf.DUMMYFUNCTION("""COMPUTED_VALUE"""),50.0)</f>
        <v>50</v>
      </c>
      <c r="E2465" s="4">
        <f>IFERROR(__xludf.DUMMYFUNCTION("""COMPUTED_VALUE"""),34.0)</f>
        <v>34</v>
      </c>
      <c r="F2465" s="4">
        <f>IFERROR(__xludf.DUMMYFUNCTION("""COMPUTED_VALUE"""),7.0)</f>
        <v>7</v>
      </c>
      <c r="G2465" s="4">
        <f>IFERROR(__xludf.DUMMYFUNCTION("""COMPUTED_VALUE"""),1489.0)</f>
        <v>1489</v>
      </c>
      <c r="H2465" s="5">
        <f>IFERROR(__xludf.DUMMYFUNCTION("""COMPUTED_VALUE"""),452.18)</f>
        <v>452.18</v>
      </c>
      <c r="I2465" s="5">
        <f>IFERROR(__xludf.DUMMYFUNCTION("""COMPUTED_VALUE"""),8617.35)</f>
        <v>8617.35</v>
      </c>
      <c r="J2465" s="5">
        <f>IFERROR(__xludf.DUMMYFUNCTION("""COMPUTED_VALUE"""),7347.43)</f>
        <v>7347.43</v>
      </c>
      <c r="K2465" s="5">
        <f>IFERROR(__xludf.DUMMYFUNCTION("""COMPUTED_VALUE"""),2767.32)</f>
        <v>2767.32</v>
      </c>
      <c r="L2465" s="4">
        <f>IFERROR(__xludf.DUMMYFUNCTION("""COMPUTED_VALUE"""),15.0)</f>
        <v>15</v>
      </c>
      <c r="M2465" s="4">
        <f>IFERROR(__xludf.DUMMYFUNCTION("""COMPUTED_VALUE"""),48.0)</f>
        <v>48</v>
      </c>
      <c r="N2465" s="2" t="b">
        <f>IFERROR(__xludf.DUMMYFUNCTION("""COMPUTED_VALUE"""),TRUE)</f>
        <v>1</v>
      </c>
    </row>
    <row r="2466">
      <c r="A2466" s="2">
        <f>IFERROR(__xludf.DUMMYFUNCTION("""COMPUTED_VALUE"""),2465.0)</f>
        <v>2465</v>
      </c>
      <c r="B2466" s="2" t="str">
        <f>IFERROR(__xludf.DUMMYFUNCTION("""COMPUTED_VALUE"""),"Esme Parnham")</f>
        <v>Esme Parnham</v>
      </c>
      <c r="C2466" s="2"/>
      <c r="D2466" s="4">
        <f>IFERROR(__xludf.DUMMYFUNCTION("""COMPUTED_VALUE"""),26.0)</f>
        <v>26</v>
      </c>
      <c r="E2466" s="4">
        <f>IFERROR(__xludf.DUMMYFUNCTION("""COMPUTED_VALUE"""),37.0)</f>
        <v>37</v>
      </c>
      <c r="F2466" s="4">
        <f>IFERROR(__xludf.DUMMYFUNCTION("""COMPUTED_VALUE"""),4.0)</f>
        <v>4</v>
      </c>
      <c r="G2466" s="4">
        <f>IFERROR(__xludf.DUMMYFUNCTION("""COMPUTED_VALUE"""),874.0)</f>
        <v>874</v>
      </c>
      <c r="H2466" s="5">
        <f>IFERROR(__xludf.DUMMYFUNCTION("""COMPUTED_VALUE"""),2560.69)</f>
        <v>2560.69</v>
      </c>
      <c r="I2466" s="5">
        <f>IFERROR(__xludf.DUMMYFUNCTION("""COMPUTED_VALUE"""),7564.9)</f>
        <v>7564.9</v>
      </c>
      <c r="J2466" s="5">
        <f>IFERROR(__xludf.DUMMYFUNCTION("""COMPUTED_VALUE"""),6783.27)</f>
        <v>6783.27</v>
      </c>
      <c r="K2466" s="5">
        <f>IFERROR(__xludf.DUMMYFUNCTION("""COMPUTED_VALUE"""),8922.75)</f>
        <v>8922.75</v>
      </c>
      <c r="L2466" s="4">
        <f>IFERROR(__xludf.DUMMYFUNCTION("""COMPUTED_VALUE"""),13.0)</f>
        <v>13</v>
      </c>
      <c r="M2466" s="4">
        <f>IFERROR(__xludf.DUMMYFUNCTION("""COMPUTED_VALUE"""),29.0)</f>
        <v>29</v>
      </c>
      <c r="N2466" s="2" t="b">
        <f>IFERROR(__xludf.DUMMYFUNCTION("""COMPUTED_VALUE"""),TRUE)</f>
        <v>1</v>
      </c>
    </row>
    <row r="2467">
      <c r="A2467" s="2">
        <f>IFERROR(__xludf.DUMMYFUNCTION("""COMPUTED_VALUE"""),2466.0)</f>
        <v>2466</v>
      </c>
      <c r="B2467" s="2" t="str">
        <f>IFERROR(__xludf.DUMMYFUNCTION("""COMPUTED_VALUE"""),"Otha Murrill")</f>
        <v>Otha Murrill</v>
      </c>
      <c r="C2467" s="2"/>
      <c r="D2467" s="4">
        <f>IFERROR(__xludf.DUMMYFUNCTION("""COMPUTED_VALUE"""),109.0)</f>
        <v>109</v>
      </c>
      <c r="E2467" s="4">
        <f>IFERROR(__xludf.DUMMYFUNCTION("""COMPUTED_VALUE"""),122.0)</f>
        <v>122</v>
      </c>
      <c r="F2467" s="4">
        <f>IFERROR(__xludf.DUMMYFUNCTION("""COMPUTED_VALUE"""),1.0)</f>
        <v>1</v>
      </c>
      <c r="G2467" s="4">
        <f>IFERROR(__xludf.DUMMYFUNCTION("""COMPUTED_VALUE"""),202.0)</f>
        <v>202</v>
      </c>
      <c r="H2467" s="5">
        <f>IFERROR(__xludf.DUMMYFUNCTION("""COMPUTED_VALUE"""),7717.95)</f>
        <v>7717.95</v>
      </c>
      <c r="I2467" s="5">
        <f>IFERROR(__xludf.DUMMYFUNCTION("""COMPUTED_VALUE"""),3223.45)</f>
        <v>3223.45</v>
      </c>
      <c r="J2467" s="5">
        <f>IFERROR(__xludf.DUMMYFUNCTION("""COMPUTED_VALUE"""),5856.49)</f>
        <v>5856.49</v>
      </c>
      <c r="K2467" s="5">
        <f>IFERROR(__xludf.DUMMYFUNCTION("""COMPUTED_VALUE"""),5426.58)</f>
        <v>5426.58</v>
      </c>
      <c r="L2467" s="4">
        <f>IFERROR(__xludf.DUMMYFUNCTION("""COMPUTED_VALUE"""),10.0)</f>
        <v>10</v>
      </c>
      <c r="M2467" s="4">
        <f>IFERROR(__xludf.DUMMYFUNCTION("""COMPUTED_VALUE"""),90.0)</f>
        <v>90</v>
      </c>
      <c r="N2467" s="2" t="b">
        <f>IFERROR(__xludf.DUMMYFUNCTION("""COMPUTED_VALUE"""),FALSE)</f>
        <v>0</v>
      </c>
    </row>
    <row r="2468">
      <c r="A2468" s="2">
        <f>IFERROR(__xludf.DUMMYFUNCTION("""COMPUTED_VALUE"""),2467.0)</f>
        <v>2467</v>
      </c>
      <c r="B2468" s="2" t="str">
        <f>IFERROR(__xludf.DUMMYFUNCTION("""COMPUTED_VALUE"""),"Noel Durgan")</f>
        <v>Noel Durgan</v>
      </c>
      <c r="C2468" s="2" t="str">
        <f>IFERROR(__xludf.DUMMYFUNCTION("""COMPUTED_VALUE"""),"ndurgancz@discuz.net")</f>
        <v>ndurgancz@discuz.net</v>
      </c>
      <c r="D2468" s="4">
        <f>IFERROR(__xludf.DUMMYFUNCTION("""COMPUTED_VALUE"""),79.0)</f>
        <v>79</v>
      </c>
      <c r="E2468" s="4">
        <f>IFERROR(__xludf.DUMMYFUNCTION("""COMPUTED_VALUE"""),50.0)</f>
        <v>50</v>
      </c>
      <c r="F2468" s="4">
        <f>IFERROR(__xludf.DUMMYFUNCTION("""COMPUTED_VALUE"""),9.0)</f>
        <v>9</v>
      </c>
      <c r="G2468" s="4">
        <f>IFERROR(__xludf.DUMMYFUNCTION("""COMPUTED_VALUE"""),1483.0)</f>
        <v>1483</v>
      </c>
      <c r="H2468" s="5">
        <f>IFERROR(__xludf.DUMMYFUNCTION("""COMPUTED_VALUE"""),9099.07)</f>
        <v>9099.07</v>
      </c>
      <c r="I2468" s="5">
        <f>IFERROR(__xludf.DUMMYFUNCTION("""COMPUTED_VALUE"""),7364.51)</f>
        <v>7364.51</v>
      </c>
      <c r="J2468" s="5">
        <f>IFERROR(__xludf.DUMMYFUNCTION("""COMPUTED_VALUE"""),9083.6)</f>
        <v>9083.6</v>
      </c>
      <c r="K2468" s="5">
        <f>IFERROR(__xludf.DUMMYFUNCTION("""COMPUTED_VALUE"""),9051.54)</f>
        <v>9051.54</v>
      </c>
      <c r="L2468" s="4">
        <f>IFERROR(__xludf.DUMMYFUNCTION("""COMPUTED_VALUE"""),4.0)</f>
        <v>4</v>
      </c>
      <c r="M2468" s="4">
        <f>IFERROR(__xludf.DUMMYFUNCTION("""COMPUTED_VALUE"""),52.0)</f>
        <v>52</v>
      </c>
      <c r="N2468" s="2" t="b">
        <f>IFERROR(__xludf.DUMMYFUNCTION("""COMPUTED_VALUE"""),FALSE)</f>
        <v>0</v>
      </c>
    </row>
    <row r="2469">
      <c r="A2469" s="2">
        <f>IFERROR(__xludf.DUMMYFUNCTION("""COMPUTED_VALUE"""),2468.0)</f>
        <v>2468</v>
      </c>
      <c r="B2469" s="2" t="str">
        <f>IFERROR(__xludf.DUMMYFUNCTION("""COMPUTED_VALUE"""),"Lockwood Jaggar")</f>
        <v>Lockwood Jaggar</v>
      </c>
      <c r="C2469" s="2" t="str">
        <f>IFERROR(__xludf.DUMMYFUNCTION("""COMPUTED_VALUE"""),"ljaggard0@printfriendly.com")</f>
        <v>ljaggard0@printfriendly.com</v>
      </c>
      <c r="D2469" s="4">
        <f>IFERROR(__xludf.DUMMYFUNCTION("""COMPUTED_VALUE"""),147.0)</f>
        <v>147</v>
      </c>
      <c r="E2469" s="4">
        <f>IFERROR(__xludf.DUMMYFUNCTION("""COMPUTED_VALUE"""),6.0)</f>
        <v>6</v>
      </c>
      <c r="F2469" s="4">
        <f>IFERROR(__xludf.DUMMYFUNCTION("""COMPUTED_VALUE"""),7.0)</f>
        <v>7</v>
      </c>
      <c r="G2469" s="4">
        <f>IFERROR(__xludf.DUMMYFUNCTION("""COMPUTED_VALUE"""),1280.0)</f>
        <v>1280</v>
      </c>
      <c r="H2469" s="5">
        <f>IFERROR(__xludf.DUMMYFUNCTION("""COMPUTED_VALUE"""),1465.83)</f>
        <v>1465.83</v>
      </c>
      <c r="I2469" s="5">
        <f>IFERROR(__xludf.DUMMYFUNCTION("""COMPUTED_VALUE"""),3873.28)</f>
        <v>3873.28</v>
      </c>
      <c r="J2469" s="5">
        <f>IFERROR(__xludf.DUMMYFUNCTION("""COMPUTED_VALUE"""),7669.22)</f>
        <v>7669.22</v>
      </c>
      <c r="K2469" s="5">
        <f>IFERROR(__xludf.DUMMYFUNCTION("""COMPUTED_VALUE"""),4653.21)</f>
        <v>4653.21</v>
      </c>
      <c r="L2469" s="4">
        <f>IFERROR(__xludf.DUMMYFUNCTION("""COMPUTED_VALUE"""),1.0)</f>
        <v>1</v>
      </c>
      <c r="M2469" s="4">
        <f>IFERROR(__xludf.DUMMYFUNCTION("""COMPUTED_VALUE"""),33.0)</f>
        <v>33</v>
      </c>
      <c r="N2469" s="2" t="b">
        <f>IFERROR(__xludf.DUMMYFUNCTION("""COMPUTED_VALUE"""),FALSE)</f>
        <v>0</v>
      </c>
    </row>
    <row r="2470">
      <c r="A2470" s="2">
        <f>IFERROR(__xludf.DUMMYFUNCTION("""COMPUTED_VALUE"""),2469.0)</f>
        <v>2469</v>
      </c>
      <c r="B2470" s="2" t="str">
        <f>IFERROR(__xludf.DUMMYFUNCTION("""COMPUTED_VALUE"""),"Skylar Deetlof")</f>
        <v>Skylar Deetlof</v>
      </c>
      <c r="C2470" s="2"/>
      <c r="D2470" s="4">
        <f>IFERROR(__xludf.DUMMYFUNCTION("""COMPUTED_VALUE"""),64.0)</f>
        <v>64</v>
      </c>
      <c r="E2470" s="4">
        <f>IFERROR(__xludf.DUMMYFUNCTION("""COMPUTED_VALUE"""),79.0)</f>
        <v>79</v>
      </c>
      <c r="F2470" s="4">
        <f>IFERROR(__xludf.DUMMYFUNCTION("""COMPUTED_VALUE"""),9.0)</f>
        <v>9</v>
      </c>
      <c r="G2470" s="4">
        <f>IFERROR(__xludf.DUMMYFUNCTION("""COMPUTED_VALUE"""),1161.0)</f>
        <v>1161</v>
      </c>
      <c r="H2470" s="5">
        <f>IFERROR(__xludf.DUMMYFUNCTION("""COMPUTED_VALUE"""),9916.76)</f>
        <v>9916.76</v>
      </c>
      <c r="I2470" s="5">
        <f>IFERROR(__xludf.DUMMYFUNCTION("""COMPUTED_VALUE"""),2886.29)</f>
        <v>2886.29</v>
      </c>
      <c r="J2470" s="5">
        <f>IFERROR(__xludf.DUMMYFUNCTION("""COMPUTED_VALUE"""),6783.42)</f>
        <v>6783.42</v>
      </c>
      <c r="K2470" s="5">
        <f>IFERROR(__xludf.DUMMYFUNCTION("""COMPUTED_VALUE"""),2255.97)</f>
        <v>2255.97</v>
      </c>
      <c r="L2470" s="4">
        <f>IFERROR(__xludf.DUMMYFUNCTION("""COMPUTED_VALUE"""),2.0)</f>
        <v>2</v>
      </c>
      <c r="M2470" s="4">
        <f>IFERROR(__xludf.DUMMYFUNCTION("""COMPUTED_VALUE"""),18.0)</f>
        <v>18</v>
      </c>
      <c r="N2470" s="2" t="b">
        <f>IFERROR(__xludf.DUMMYFUNCTION("""COMPUTED_VALUE"""),FALSE)</f>
        <v>0</v>
      </c>
    </row>
    <row r="2471">
      <c r="A2471" s="2">
        <f>IFERROR(__xludf.DUMMYFUNCTION("""COMPUTED_VALUE"""),2470.0)</f>
        <v>2470</v>
      </c>
      <c r="B2471" s="2" t="str">
        <f>IFERROR(__xludf.DUMMYFUNCTION("""COMPUTED_VALUE"""),"Berri Ohanessian")</f>
        <v>Berri Ohanessian</v>
      </c>
      <c r="C2471" s="2" t="str">
        <f>IFERROR(__xludf.DUMMYFUNCTION("""COMPUTED_VALUE"""),"bohanessiand2@twitpic.com")</f>
        <v>bohanessiand2@twitpic.com</v>
      </c>
      <c r="D2471" s="4">
        <f>IFERROR(__xludf.DUMMYFUNCTION("""COMPUTED_VALUE"""),137.0)</f>
        <v>137</v>
      </c>
      <c r="E2471" s="4">
        <f>IFERROR(__xludf.DUMMYFUNCTION("""COMPUTED_VALUE"""),97.0)</f>
        <v>97</v>
      </c>
      <c r="F2471" s="4">
        <f>IFERROR(__xludf.DUMMYFUNCTION("""COMPUTED_VALUE"""),10.0)</f>
        <v>10</v>
      </c>
      <c r="G2471" s="4">
        <f>IFERROR(__xludf.DUMMYFUNCTION("""COMPUTED_VALUE"""),1350.0)</f>
        <v>1350</v>
      </c>
      <c r="H2471" s="5">
        <f>IFERROR(__xludf.DUMMYFUNCTION("""COMPUTED_VALUE"""),5323.7)</f>
        <v>5323.7</v>
      </c>
      <c r="I2471" s="5">
        <f>IFERROR(__xludf.DUMMYFUNCTION("""COMPUTED_VALUE"""),4941.88)</f>
        <v>4941.88</v>
      </c>
      <c r="J2471" s="5">
        <f>IFERROR(__xludf.DUMMYFUNCTION("""COMPUTED_VALUE"""),5598.29)</f>
        <v>5598.29</v>
      </c>
      <c r="K2471" s="5">
        <f>IFERROR(__xludf.DUMMYFUNCTION("""COMPUTED_VALUE"""),8309.33)</f>
        <v>8309.33</v>
      </c>
      <c r="L2471" s="4">
        <f>IFERROR(__xludf.DUMMYFUNCTION("""COMPUTED_VALUE"""),2.0)</f>
        <v>2</v>
      </c>
      <c r="M2471" s="4">
        <f>IFERROR(__xludf.DUMMYFUNCTION("""COMPUTED_VALUE"""),50.0)</f>
        <v>50</v>
      </c>
      <c r="N2471" s="2" t="b">
        <f>IFERROR(__xludf.DUMMYFUNCTION("""COMPUTED_VALUE"""),TRUE)</f>
        <v>1</v>
      </c>
    </row>
    <row r="2472">
      <c r="A2472" s="2">
        <f>IFERROR(__xludf.DUMMYFUNCTION("""COMPUTED_VALUE"""),2471.0)</f>
        <v>2471</v>
      </c>
      <c r="B2472" s="2" t="str">
        <f>IFERROR(__xludf.DUMMYFUNCTION("""COMPUTED_VALUE"""),"Bette Bernardos")</f>
        <v>Bette Bernardos</v>
      </c>
      <c r="C2472" s="2" t="str">
        <f>IFERROR(__xludf.DUMMYFUNCTION("""COMPUTED_VALUE"""),"bbernardosd3@bloomberg.com")</f>
        <v>bbernardosd3@bloomberg.com</v>
      </c>
      <c r="D2472" s="4">
        <f>IFERROR(__xludf.DUMMYFUNCTION("""COMPUTED_VALUE"""),52.0)</f>
        <v>52</v>
      </c>
      <c r="E2472" s="4">
        <f>IFERROR(__xludf.DUMMYFUNCTION("""COMPUTED_VALUE"""),94.0)</f>
        <v>94</v>
      </c>
      <c r="F2472" s="4">
        <f>IFERROR(__xludf.DUMMYFUNCTION("""COMPUTED_VALUE"""),12.0)</f>
        <v>12</v>
      </c>
      <c r="G2472" s="4">
        <f>IFERROR(__xludf.DUMMYFUNCTION("""COMPUTED_VALUE"""),260.0)</f>
        <v>260</v>
      </c>
      <c r="H2472" s="5">
        <f>IFERROR(__xludf.DUMMYFUNCTION("""COMPUTED_VALUE"""),6770.53)</f>
        <v>6770.53</v>
      </c>
      <c r="I2472" s="5">
        <f>IFERROR(__xludf.DUMMYFUNCTION("""COMPUTED_VALUE"""),5636.82)</f>
        <v>5636.82</v>
      </c>
      <c r="J2472" s="5">
        <f>IFERROR(__xludf.DUMMYFUNCTION("""COMPUTED_VALUE"""),3465.59)</f>
        <v>3465.59</v>
      </c>
      <c r="K2472" s="5">
        <f>IFERROR(__xludf.DUMMYFUNCTION("""COMPUTED_VALUE"""),2170.16)</f>
        <v>2170.16</v>
      </c>
      <c r="L2472" s="4">
        <f>IFERROR(__xludf.DUMMYFUNCTION("""COMPUTED_VALUE"""),16.0)</f>
        <v>16</v>
      </c>
      <c r="M2472" s="4">
        <f>IFERROR(__xludf.DUMMYFUNCTION("""COMPUTED_VALUE"""),22.0)</f>
        <v>22</v>
      </c>
      <c r="N2472" s="2" t="b">
        <f>IFERROR(__xludf.DUMMYFUNCTION("""COMPUTED_VALUE"""),FALSE)</f>
        <v>0</v>
      </c>
    </row>
    <row r="2473">
      <c r="A2473" s="2">
        <f>IFERROR(__xludf.DUMMYFUNCTION("""COMPUTED_VALUE"""),2472.0)</f>
        <v>2472</v>
      </c>
      <c r="B2473" s="2" t="str">
        <f>IFERROR(__xludf.DUMMYFUNCTION("""COMPUTED_VALUE"""),"Olin Stockey")</f>
        <v>Olin Stockey</v>
      </c>
      <c r="C2473" s="2"/>
      <c r="D2473" s="4">
        <f>IFERROR(__xludf.DUMMYFUNCTION("""COMPUTED_VALUE"""),23.0)</f>
        <v>23</v>
      </c>
      <c r="E2473" s="4">
        <f>IFERROR(__xludf.DUMMYFUNCTION("""COMPUTED_VALUE"""),122.0)</f>
        <v>122</v>
      </c>
      <c r="F2473" s="4">
        <f>IFERROR(__xludf.DUMMYFUNCTION("""COMPUTED_VALUE"""),12.0)</f>
        <v>12</v>
      </c>
      <c r="G2473" s="4">
        <f>IFERROR(__xludf.DUMMYFUNCTION("""COMPUTED_VALUE"""),1325.0)</f>
        <v>1325</v>
      </c>
      <c r="H2473" s="5">
        <f>IFERROR(__xludf.DUMMYFUNCTION("""COMPUTED_VALUE"""),1480.53)</f>
        <v>1480.53</v>
      </c>
      <c r="I2473" s="5">
        <f>IFERROR(__xludf.DUMMYFUNCTION("""COMPUTED_VALUE"""),3467.81)</f>
        <v>3467.81</v>
      </c>
      <c r="J2473" s="5">
        <f>IFERROR(__xludf.DUMMYFUNCTION("""COMPUTED_VALUE"""),6027.13)</f>
        <v>6027.13</v>
      </c>
      <c r="K2473" s="5">
        <f>IFERROR(__xludf.DUMMYFUNCTION("""COMPUTED_VALUE"""),2892.35)</f>
        <v>2892.35</v>
      </c>
      <c r="L2473" s="4">
        <f>IFERROR(__xludf.DUMMYFUNCTION("""COMPUTED_VALUE"""),17.0)</f>
        <v>17</v>
      </c>
      <c r="M2473" s="4">
        <f>IFERROR(__xludf.DUMMYFUNCTION("""COMPUTED_VALUE"""),36.0)</f>
        <v>36</v>
      </c>
      <c r="N2473" s="2" t="b">
        <f>IFERROR(__xludf.DUMMYFUNCTION("""COMPUTED_VALUE"""),FALSE)</f>
        <v>0</v>
      </c>
    </row>
    <row r="2474">
      <c r="A2474" s="2">
        <f>IFERROR(__xludf.DUMMYFUNCTION("""COMPUTED_VALUE"""),2473.0)</f>
        <v>2473</v>
      </c>
      <c r="B2474" s="2" t="str">
        <f>IFERROR(__xludf.DUMMYFUNCTION("""COMPUTED_VALUE"""),"Wilona Tirrey")</f>
        <v>Wilona Tirrey</v>
      </c>
      <c r="C2474" s="2"/>
      <c r="D2474" s="4">
        <f>IFERROR(__xludf.DUMMYFUNCTION("""COMPUTED_VALUE"""),55.0)</f>
        <v>55</v>
      </c>
      <c r="E2474" s="4">
        <f>IFERROR(__xludf.DUMMYFUNCTION("""COMPUTED_VALUE"""),63.0)</f>
        <v>63</v>
      </c>
      <c r="F2474" s="4">
        <f>IFERROR(__xludf.DUMMYFUNCTION("""COMPUTED_VALUE"""),3.0)</f>
        <v>3</v>
      </c>
      <c r="G2474" s="4">
        <f>IFERROR(__xludf.DUMMYFUNCTION("""COMPUTED_VALUE"""),1488.0)</f>
        <v>1488</v>
      </c>
      <c r="H2474" s="5">
        <f>IFERROR(__xludf.DUMMYFUNCTION("""COMPUTED_VALUE"""),1671.34)</f>
        <v>1671.34</v>
      </c>
      <c r="I2474" s="5">
        <f>IFERROR(__xludf.DUMMYFUNCTION("""COMPUTED_VALUE"""),1914.5)</f>
        <v>1914.5</v>
      </c>
      <c r="J2474" s="5">
        <f>IFERROR(__xludf.DUMMYFUNCTION("""COMPUTED_VALUE"""),2940.78)</f>
        <v>2940.78</v>
      </c>
      <c r="K2474" s="5">
        <f>IFERROR(__xludf.DUMMYFUNCTION("""COMPUTED_VALUE"""),5085.52)</f>
        <v>5085.52</v>
      </c>
      <c r="L2474" s="4">
        <f>IFERROR(__xludf.DUMMYFUNCTION("""COMPUTED_VALUE"""),9.0)</f>
        <v>9</v>
      </c>
      <c r="M2474" s="4">
        <f>IFERROR(__xludf.DUMMYFUNCTION("""COMPUTED_VALUE"""),58.0)</f>
        <v>58</v>
      </c>
      <c r="N2474" s="2" t="b">
        <f>IFERROR(__xludf.DUMMYFUNCTION("""COMPUTED_VALUE"""),FALSE)</f>
        <v>0</v>
      </c>
    </row>
    <row r="2475">
      <c r="A2475" s="2">
        <f>IFERROR(__xludf.DUMMYFUNCTION("""COMPUTED_VALUE"""),2474.0)</f>
        <v>2474</v>
      </c>
      <c r="B2475" s="2" t="str">
        <f>IFERROR(__xludf.DUMMYFUNCTION("""COMPUTED_VALUE"""),"Curt Burchell")</f>
        <v>Curt Burchell</v>
      </c>
      <c r="C2475" s="2"/>
      <c r="D2475" s="4">
        <f>IFERROR(__xludf.DUMMYFUNCTION("""COMPUTED_VALUE"""),37.0)</f>
        <v>37</v>
      </c>
      <c r="E2475" s="4">
        <f>IFERROR(__xludf.DUMMYFUNCTION("""COMPUTED_VALUE"""),1.0)</f>
        <v>1</v>
      </c>
      <c r="F2475" s="4">
        <f>IFERROR(__xludf.DUMMYFUNCTION("""COMPUTED_VALUE"""),5.0)</f>
        <v>5</v>
      </c>
      <c r="G2475" s="4">
        <f>IFERROR(__xludf.DUMMYFUNCTION("""COMPUTED_VALUE"""),204.0)</f>
        <v>204</v>
      </c>
      <c r="H2475" s="5">
        <f>IFERROR(__xludf.DUMMYFUNCTION("""COMPUTED_VALUE"""),9157.65)</f>
        <v>9157.65</v>
      </c>
      <c r="I2475" s="5">
        <f>IFERROR(__xludf.DUMMYFUNCTION("""COMPUTED_VALUE"""),3240.83)</f>
        <v>3240.83</v>
      </c>
      <c r="J2475" s="5">
        <f>IFERROR(__xludf.DUMMYFUNCTION("""COMPUTED_VALUE"""),5506.39)</f>
        <v>5506.39</v>
      </c>
      <c r="K2475" s="5">
        <f>IFERROR(__xludf.DUMMYFUNCTION("""COMPUTED_VALUE"""),882.55)</f>
        <v>882.55</v>
      </c>
      <c r="L2475" s="4">
        <f>IFERROR(__xludf.DUMMYFUNCTION("""COMPUTED_VALUE"""),5.0)</f>
        <v>5</v>
      </c>
      <c r="M2475" s="4">
        <f>IFERROR(__xludf.DUMMYFUNCTION("""COMPUTED_VALUE"""),3.0)</f>
        <v>3</v>
      </c>
      <c r="N2475" s="2" t="b">
        <f>IFERROR(__xludf.DUMMYFUNCTION("""COMPUTED_VALUE"""),TRUE)</f>
        <v>1</v>
      </c>
    </row>
    <row r="2476">
      <c r="A2476" s="2">
        <f>IFERROR(__xludf.DUMMYFUNCTION("""COMPUTED_VALUE"""),2475.0)</f>
        <v>2475</v>
      </c>
      <c r="B2476" s="2" t="str">
        <f>IFERROR(__xludf.DUMMYFUNCTION("""COMPUTED_VALUE"""),"Mordecai Ghelarducci")</f>
        <v>Mordecai Ghelarducci</v>
      </c>
      <c r="C2476" s="2" t="str">
        <f>IFERROR(__xludf.DUMMYFUNCTION("""COMPUTED_VALUE"""),"mghelarduccid7@weibo.com")</f>
        <v>mghelarduccid7@weibo.com</v>
      </c>
      <c r="D2476" s="4">
        <f>IFERROR(__xludf.DUMMYFUNCTION("""COMPUTED_VALUE"""),74.0)</f>
        <v>74</v>
      </c>
      <c r="E2476" s="4">
        <f>IFERROR(__xludf.DUMMYFUNCTION("""COMPUTED_VALUE"""),11.0)</f>
        <v>11</v>
      </c>
      <c r="F2476" s="4">
        <f>IFERROR(__xludf.DUMMYFUNCTION("""COMPUTED_VALUE"""),3.0)</f>
        <v>3</v>
      </c>
      <c r="G2476" s="4">
        <f>IFERROR(__xludf.DUMMYFUNCTION("""COMPUTED_VALUE"""),302.0)</f>
        <v>302</v>
      </c>
      <c r="H2476" s="5">
        <f>IFERROR(__xludf.DUMMYFUNCTION("""COMPUTED_VALUE"""),3316.94)</f>
        <v>3316.94</v>
      </c>
      <c r="I2476" s="5">
        <f>IFERROR(__xludf.DUMMYFUNCTION("""COMPUTED_VALUE"""),7758.92)</f>
        <v>7758.92</v>
      </c>
      <c r="J2476" s="5">
        <f>IFERROR(__xludf.DUMMYFUNCTION("""COMPUTED_VALUE"""),2430.66)</f>
        <v>2430.66</v>
      </c>
      <c r="K2476" s="5">
        <f>IFERROR(__xludf.DUMMYFUNCTION("""COMPUTED_VALUE"""),6508.42)</f>
        <v>6508.42</v>
      </c>
      <c r="L2476" s="4">
        <f>IFERROR(__xludf.DUMMYFUNCTION("""COMPUTED_VALUE"""),7.0)</f>
        <v>7</v>
      </c>
      <c r="M2476" s="4">
        <f>IFERROR(__xludf.DUMMYFUNCTION("""COMPUTED_VALUE"""),59.0)</f>
        <v>59</v>
      </c>
      <c r="N2476" s="2" t="b">
        <f>IFERROR(__xludf.DUMMYFUNCTION("""COMPUTED_VALUE"""),TRUE)</f>
        <v>1</v>
      </c>
    </row>
    <row r="2477">
      <c r="A2477" s="2">
        <f>IFERROR(__xludf.DUMMYFUNCTION("""COMPUTED_VALUE"""),2476.0)</f>
        <v>2476</v>
      </c>
      <c r="B2477" s="2" t="str">
        <f>IFERROR(__xludf.DUMMYFUNCTION("""COMPUTED_VALUE"""),"Candide Duffyn")</f>
        <v>Candide Duffyn</v>
      </c>
      <c r="C2477" s="2" t="str">
        <f>IFERROR(__xludf.DUMMYFUNCTION("""COMPUTED_VALUE"""),"cduffynd8@arstechnica.com")</f>
        <v>cduffynd8@arstechnica.com</v>
      </c>
      <c r="D2477" s="4">
        <f>IFERROR(__xludf.DUMMYFUNCTION("""COMPUTED_VALUE"""),75.0)</f>
        <v>75</v>
      </c>
      <c r="E2477" s="4">
        <f>IFERROR(__xludf.DUMMYFUNCTION("""COMPUTED_VALUE"""),103.0)</f>
        <v>103</v>
      </c>
      <c r="F2477" s="4">
        <f>IFERROR(__xludf.DUMMYFUNCTION("""COMPUTED_VALUE"""),4.0)</f>
        <v>4</v>
      </c>
      <c r="G2477" s="4">
        <f>IFERROR(__xludf.DUMMYFUNCTION("""COMPUTED_VALUE"""),427.0)</f>
        <v>427</v>
      </c>
      <c r="H2477" s="5">
        <f>IFERROR(__xludf.DUMMYFUNCTION("""COMPUTED_VALUE"""),9157.98)</f>
        <v>9157.98</v>
      </c>
      <c r="I2477" s="5">
        <f>IFERROR(__xludf.DUMMYFUNCTION("""COMPUTED_VALUE"""),3408.7)</f>
        <v>3408.7</v>
      </c>
      <c r="J2477" s="5">
        <f>IFERROR(__xludf.DUMMYFUNCTION("""COMPUTED_VALUE"""),1920.42)</f>
        <v>1920.42</v>
      </c>
      <c r="K2477" s="5">
        <f>IFERROR(__xludf.DUMMYFUNCTION("""COMPUTED_VALUE"""),8427.63)</f>
        <v>8427.63</v>
      </c>
      <c r="L2477" s="4">
        <f>IFERROR(__xludf.DUMMYFUNCTION("""COMPUTED_VALUE"""),18.0)</f>
        <v>18</v>
      </c>
      <c r="M2477" s="4">
        <f>IFERROR(__xludf.DUMMYFUNCTION("""COMPUTED_VALUE"""),60.0)</f>
        <v>60</v>
      </c>
      <c r="N2477" s="2" t="b">
        <f>IFERROR(__xludf.DUMMYFUNCTION("""COMPUTED_VALUE"""),FALSE)</f>
        <v>0</v>
      </c>
    </row>
    <row r="2478">
      <c r="A2478" s="2">
        <f>IFERROR(__xludf.DUMMYFUNCTION("""COMPUTED_VALUE"""),2477.0)</f>
        <v>2477</v>
      </c>
      <c r="B2478" s="2" t="str">
        <f>IFERROR(__xludf.DUMMYFUNCTION("""COMPUTED_VALUE"""),"Riordan Davenall")</f>
        <v>Riordan Davenall</v>
      </c>
      <c r="C2478" s="2"/>
      <c r="D2478" s="4">
        <f>IFERROR(__xludf.DUMMYFUNCTION("""COMPUTED_VALUE"""),78.0)</f>
        <v>78</v>
      </c>
      <c r="E2478" s="4">
        <f>IFERROR(__xludf.DUMMYFUNCTION("""COMPUTED_VALUE"""),32.0)</f>
        <v>32</v>
      </c>
      <c r="F2478" s="4">
        <f>IFERROR(__xludf.DUMMYFUNCTION("""COMPUTED_VALUE"""),3.0)</f>
        <v>3</v>
      </c>
      <c r="G2478" s="4">
        <f>IFERROR(__xludf.DUMMYFUNCTION("""COMPUTED_VALUE"""),364.0)</f>
        <v>364</v>
      </c>
      <c r="H2478" s="5">
        <f>IFERROR(__xludf.DUMMYFUNCTION("""COMPUTED_VALUE"""),6329.76)</f>
        <v>6329.76</v>
      </c>
      <c r="I2478" s="5">
        <f>IFERROR(__xludf.DUMMYFUNCTION("""COMPUTED_VALUE"""),1326.16)</f>
        <v>1326.16</v>
      </c>
      <c r="J2478" s="5">
        <f>IFERROR(__xludf.DUMMYFUNCTION("""COMPUTED_VALUE"""),6847.93)</f>
        <v>6847.93</v>
      </c>
      <c r="K2478" s="5">
        <f>IFERROR(__xludf.DUMMYFUNCTION("""COMPUTED_VALUE"""),5875.91)</f>
        <v>5875.91</v>
      </c>
      <c r="L2478" s="4">
        <f>IFERROR(__xludf.DUMMYFUNCTION("""COMPUTED_VALUE"""),2.0)</f>
        <v>2</v>
      </c>
      <c r="M2478" s="4">
        <f>IFERROR(__xludf.DUMMYFUNCTION("""COMPUTED_VALUE"""),96.0)</f>
        <v>96</v>
      </c>
      <c r="N2478" s="2" t="b">
        <f>IFERROR(__xludf.DUMMYFUNCTION("""COMPUTED_VALUE"""),FALSE)</f>
        <v>0</v>
      </c>
    </row>
    <row r="2479">
      <c r="A2479" s="2">
        <f>IFERROR(__xludf.DUMMYFUNCTION("""COMPUTED_VALUE"""),2478.0)</f>
        <v>2478</v>
      </c>
      <c r="B2479" s="2" t="str">
        <f>IFERROR(__xludf.DUMMYFUNCTION("""COMPUTED_VALUE"""),"Booth Limprecht")</f>
        <v>Booth Limprecht</v>
      </c>
      <c r="C2479" s="2"/>
      <c r="D2479" s="4">
        <f>IFERROR(__xludf.DUMMYFUNCTION("""COMPUTED_VALUE"""),131.0)</f>
        <v>131</v>
      </c>
      <c r="E2479" s="4">
        <f>IFERROR(__xludf.DUMMYFUNCTION("""COMPUTED_VALUE"""),119.0)</f>
        <v>119</v>
      </c>
      <c r="F2479" s="4">
        <f>IFERROR(__xludf.DUMMYFUNCTION("""COMPUTED_VALUE"""),12.0)</f>
        <v>12</v>
      </c>
      <c r="G2479" s="4">
        <f>IFERROR(__xludf.DUMMYFUNCTION("""COMPUTED_VALUE"""),134.0)</f>
        <v>134</v>
      </c>
      <c r="H2479" s="5">
        <f>IFERROR(__xludf.DUMMYFUNCTION("""COMPUTED_VALUE"""),9050.44)</f>
        <v>9050.44</v>
      </c>
      <c r="I2479" s="5">
        <f>IFERROR(__xludf.DUMMYFUNCTION("""COMPUTED_VALUE"""),809.79)</f>
        <v>809.79</v>
      </c>
      <c r="J2479" s="5">
        <f>IFERROR(__xludf.DUMMYFUNCTION("""COMPUTED_VALUE"""),9497.7)</f>
        <v>9497.7</v>
      </c>
      <c r="K2479" s="5">
        <f>IFERROR(__xludf.DUMMYFUNCTION("""COMPUTED_VALUE"""),5015.06)</f>
        <v>5015.06</v>
      </c>
      <c r="L2479" s="4">
        <f>IFERROR(__xludf.DUMMYFUNCTION("""COMPUTED_VALUE"""),18.0)</f>
        <v>18</v>
      </c>
      <c r="M2479" s="4">
        <f>IFERROR(__xludf.DUMMYFUNCTION("""COMPUTED_VALUE"""),21.0)</f>
        <v>21</v>
      </c>
      <c r="N2479" s="2" t="b">
        <f>IFERROR(__xludf.DUMMYFUNCTION("""COMPUTED_VALUE"""),TRUE)</f>
        <v>1</v>
      </c>
    </row>
    <row r="2480">
      <c r="A2480" s="2">
        <f>IFERROR(__xludf.DUMMYFUNCTION("""COMPUTED_VALUE"""),2479.0)</f>
        <v>2479</v>
      </c>
      <c r="B2480" s="2" t="str">
        <f>IFERROR(__xludf.DUMMYFUNCTION("""COMPUTED_VALUE"""),"Gordon Picken")</f>
        <v>Gordon Picken</v>
      </c>
      <c r="C2480" s="2"/>
      <c r="D2480" s="4">
        <f>IFERROR(__xludf.DUMMYFUNCTION("""COMPUTED_VALUE"""),3.0)</f>
        <v>3</v>
      </c>
      <c r="E2480" s="4">
        <f>IFERROR(__xludf.DUMMYFUNCTION("""COMPUTED_VALUE"""),53.0)</f>
        <v>53</v>
      </c>
      <c r="F2480" s="4">
        <f>IFERROR(__xludf.DUMMYFUNCTION("""COMPUTED_VALUE"""),8.0)</f>
        <v>8</v>
      </c>
      <c r="G2480" s="4">
        <f>IFERROR(__xludf.DUMMYFUNCTION("""COMPUTED_VALUE"""),1261.0)</f>
        <v>1261</v>
      </c>
      <c r="H2480" s="5">
        <f>IFERROR(__xludf.DUMMYFUNCTION("""COMPUTED_VALUE"""),9690.83)</f>
        <v>9690.83</v>
      </c>
      <c r="I2480" s="5">
        <f>IFERROR(__xludf.DUMMYFUNCTION("""COMPUTED_VALUE"""),8192.44)</f>
        <v>8192.44</v>
      </c>
      <c r="J2480" s="5">
        <f>IFERROR(__xludf.DUMMYFUNCTION("""COMPUTED_VALUE"""),9386.36)</f>
        <v>9386.36</v>
      </c>
      <c r="K2480" s="5">
        <f>IFERROR(__xludf.DUMMYFUNCTION("""COMPUTED_VALUE"""),257.11)</f>
        <v>257.11</v>
      </c>
      <c r="L2480" s="4">
        <f>IFERROR(__xludf.DUMMYFUNCTION("""COMPUTED_VALUE"""),1.0)</f>
        <v>1</v>
      </c>
      <c r="M2480" s="4">
        <f>IFERROR(__xludf.DUMMYFUNCTION("""COMPUTED_VALUE"""),50.0)</f>
        <v>50</v>
      </c>
      <c r="N2480" s="2" t="b">
        <f>IFERROR(__xludf.DUMMYFUNCTION("""COMPUTED_VALUE"""),TRUE)</f>
        <v>1</v>
      </c>
    </row>
    <row r="2481">
      <c r="A2481" s="2">
        <f>IFERROR(__xludf.DUMMYFUNCTION("""COMPUTED_VALUE"""),2480.0)</f>
        <v>2480</v>
      </c>
      <c r="B2481" s="2" t="str">
        <f>IFERROR(__xludf.DUMMYFUNCTION("""COMPUTED_VALUE"""),"Otes Moxom")</f>
        <v>Otes Moxom</v>
      </c>
      <c r="C2481" s="2" t="str">
        <f>IFERROR(__xludf.DUMMYFUNCTION("""COMPUTED_VALUE"""),"omoxomdc@rakuten.co.jp")</f>
        <v>omoxomdc@rakuten.co.jp</v>
      </c>
      <c r="D2481" s="4">
        <f>IFERROR(__xludf.DUMMYFUNCTION("""COMPUTED_VALUE"""),18.0)</f>
        <v>18</v>
      </c>
      <c r="E2481" s="4">
        <f>IFERROR(__xludf.DUMMYFUNCTION("""COMPUTED_VALUE"""),25.0)</f>
        <v>25</v>
      </c>
      <c r="F2481" s="4">
        <f>IFERROR(__xludf.DUMMYFUNCTION("""COMPUTED_VALUE"""),2.0)</f>
        <v>2</v>
      </c>
      <c r="G2481" s="4">
        <f>IFERROR(__xludf.DUMMYFUNCTION("""COMPUTED_VALUE"""),464.0)</f>
        <v>464</v>
      </c>
      <c r="H2481" s="5">
        <f>IFERROR(__xludf.DUMMYFUNCTION("""COMPUTED_VALUE"""),3993.3)</f>
        <v>3993.3</v>
      </c>
      <c r="I2481" s="5">
        <f>IFERROR(__xludf.DUMMYFUNCTION("""COMPUTED_VALUE"""),669.69)</f>
        <v>669.69</v>
      </c>
      <c r="J2481" s="5">
        <f>IFERROR(__xludf.DUMMYFUNCTION("""COMPUTED_VALUE"""),8732.14)</f>
        <v>8732.14</v>
      </c>
      <c r="K2481" s="5">
        <f>IFERROR(__xludf.DUMMYFUNCTION("""COMPUTED_VALUE"""),8636.67)</f>
        <v>8636.67</v>
      </c>
      <c r="L2481" s="4">
        <f>IFERROR(__xludf.DUMMYFUNCTION("""COMPUTED_VALUE"""),19.0)</f>
        <v>19</v>
      </c>
      <c r="M2481" s="4">
        <f>IFERROR(__xludf.DUMMYFUNCTION("""COMPUTED_VALUE"""),20.0)</f>
        <v>20</v>
      </c>
      <c r="N2481" s="2" t="b">
        <f>IFERROR(__xludf.DUMMYFUNCTION("""COMPUTED_VALUE"""),TRUE)</f>
        <v>1</v>
      </c>
    </row>
    <row r="2482">
      <c r="A2482" s="2">
        <f>IFERROR(__xludf.DUMMYFUNCTION("""COMPUTED_VALUE"""),2481.0)</f>
        <v>2481</v>
      </c>
      <c r="B2482" s="2" t="str">
        <f>IFERROR(__xludf.DUMMYFUNCTION("""COMPUTED_VALUE"""),"Marge Paye")</f>
        <v>Marge Paye</v>
      </c>
      <c r="C2482" s="2"/>
      <c r="D2482" s="4">
        <f>IFERROR(__xludf.DUMMYFUNCTION("""COMPUTED_VALUE"""),99.0)</f>
        <v>99</v>
      </c>
      <c r="E2482" s="4">
        <f>IFERROR(__xludf.DUMMYFUNCTION("""COMPUTED_VALUE"""),49.0)</f>
        <v>49</v>
      </c>
      <c r="F2482" s="4">
        <f>IFERROR(__xludf.DUMMYFUNCTION("""COMPUTED_VALUE"""),3.0)</f>
        <v>3</v>
      </c>
      <c r="G2482" s="4">
        <f>IFERROR(__xludf.DUMMYFUNCTION("""COMPUTED_VALUE"""),1216.0)</f>
        <v>1216</v>
      </c>
      <c r="H2482" s="5">
        <f>IFERROR(__xludf.DUMMYFUNCTION("""COMPUTED_VALUE"""),5824.35)</f>
        <v>5824.35</v>
      </c>
      <c r="I2482" s="5">
        <f>IFERROR(__xludf.DUMMYFUNCTION("""COMPUTED_VALUE"""),2122.16)</f>
        <v>2122.16</v>
      </c>
      <c r="J2482" s="5">
        <f>IFERROR(__xludf.DUMMYFUNCTION("""COMPUTED_VALUE"""),3025.64)</f>
        <v>3025.64</v>
      </c>
      <c r="K2482" s="5">
        <f>IFERROR(__xludf.DUMMYFUNCTION("""COMPUTED_VALUE"""),4000.42)</f>
        <v>4000.42</v>
      </c>
      <c r="L2482" s="4">
        <f>IFERROR(__xludf.DUMMYFUNCTION("""COMPUTED_VALUE"""),15.0)</f>
        <v>15</v>
      </c>
      <c r="M2482" s="4">
        <f>IFERROR(__xludf.DUMMYFUNCTION("""COMPUTED_VALUE"""),80.0)</f>
        <v>80</v>
      </c>
      <c r="N2482" s="2" t="b">
        <f>IFERROR(__xludf.DUMMYFUNCTION("""COMPUTED_VALUE"""),FALSE)</f>
        <v>0</v>
      </c>
    </row>
    <row r="2483">
      <c r="A2483" s="2">
        <f>IFERROR(__xludf.DUMMYFUNCTION("""COMPUTED_VALUE"""),2482.0)</f>
        <v>2482</v>
      </c>
      <c r="B2483" s="2" t="str">
        <f>IFERROR(__xludf.DUMMYFUNCTION("""COMPUTED_VALUE"""),"Romy Odgers")</f>
        <v>Romy Odgers</v>
      </c>
      <c r="C2483" s="2" t="str">
        <f>IFERROR(__xludf.DUMMYFUNCTION("""COMPUTED_VALUE"""),"rodgersde@1und1.de")</f>
        <v>rodgersde@1und1.de</v>
      </c>
      <c r="D2483" s="4">
        <f>IFERROR(__xludf.DUMMYFUNCTION("""COMPUTED_VALUE"""),114.0)</f>
        <v>114</v>
      </c>
      <c r="E2483" s="4">
        <f>IFERROR(__xludf.DUMMYFUNCTION("""COMPUTED_VALUE"""),54.0)</f>
        <v>54</v>
      </c>
      <c r="F2483" s="4">
        <f>IFERROR(__xludf.DUMMYFUNCTION("""COMPUTED_VALUE"""),4.0)</f>
        <v>4</v>
      </c>
      <c r="G2483" s="4">
        <f>IFERROR(__xludf.DUMMYFUNCTION("""COMPUTED_VALUE"""),759.0)</f>
        <v>759</v>
      </c>
      <c r="H2483" s="5">
        <f>IFERROR(__xludf.DUMMYFUNCTION("""COMPUTED_VALUE"""),6314.73)</f>
        <v>6314.73</v>
      </c>
      <c r="I2483" s="5">
        <f>IFERROR(__xludf.DUMMYFUNCTION("""COMPUTED_VALUE"""),5651.65)</f>
        <v>5651.65</v>
      </c>
      <c r="J2483" s="5">
        <f>IFERROR(__xludf.DUMMYFUNCTION("""COMPUTED_VALUE"""),3319.29)</f>
        <v>3319.29</v>
      </c>
      <c r="K2483" s="5">
        <f>IFERROR(__xludf.DUMMYFUNCTION("""COMPUTED_VALUE"""),7161.88)</f>
        <v>7161.88</v>
      </c>
      <c r="L2483" s="4">
        <f>IFERROR(__xludf.DUMMYFUNCTION("""COMPUTED_VALUE"""),20.0)</f>
        <v>20</v>
      </c>
      <c r="M2483" s="4">
        <f>IFERROR(__xludf.DUMMYFUNCTION("""COMPUTED_VALUE"""),38.0)</f>
        <v>38</v>
      </c>
      <c r="N2483" s="2" t="b">
        <f>IFERROR(__xludf.DUMMYFUNCTION("""COMPUTED_VALUE"""),FALSE)</f>
        <v>0</v>
      </c>
    </row>
    <row r="2484">
      <c r="A2484" s="2">
        <f>IFERROR(__xludf.DUMMYFUNCTION("""COMPUTED_VALUE"""),2483.0)</f>
        <v>2483</v>
      </c>
      <c r="B2484" s="2" t="str">
        <f>IFERROR(__xludf.DUMMYFUNCTION("""COMPUTED_VALUE"""),"Ole Aberdalgy")</f>
        <v>Ole Aberdalgy</v>
      </c>
      <c r="C2484" s="2"/>
      <c r="D2484" s="4">
        <f>IFERROR(__xludf.DUMMYFUNCTION("""COMPUTED_VALUE"""),13.0)</f>
        <v>13</v>
      </c>
      <c r="E2484" s="4">
        <f>IFERROR(__xludf.DUMMYFUNCTION("""COMPUTED_VALUE"""),15.0)</f>
        <v>15</v>
      </c>
      <c r="F2484" s="4">
        <f>IFERROR(__xludf.DUMMYFUNCTION("""COMPUTED_VALUE"""),12.0)</f>
        <v>12</v>
      </c>
      <c r="G2484" s="4">
        <f>IFERROR(__xludf.DUMMYFUNCTION("""COMPUTED_VALUE"""),709.0)</f>
        <v>709</v>
      </c>
      <c r="H2484" s="5">
        <f>IFERROR(__xludf.DUMMYFUNCTION("""COMPUTED_VALUE"""),6336.9)</f>
        <v>6336.9</v>
      </c>
      <c r="I2484" s="5">
        <f>IFERROR(__xludf.DUMMYFUNCTION("""COMPUTED_VALUE"""),7313.87)</f>
        <v>7313.87</v>
      </c>
      <c r="J2484" s="5">
        <f>IFERROR(__xludf.DUMMYFUNCTION("""COMPUTED_VALUE"""),9605.47)</f>
        <v>9605.47</v>
      </c>
      <c r="K2484" s="5">
        <f>IFERROR(__xludf.DUMMYFUNCTION("""COMPUTED_VALUE"""),6868.9)</f>
        <v>6868.9</v>
      </c>
      <c r="L2484" s="4">
        <f>IFERROR(__xludf.DUMMYFUNCTION("""COMPUTED_VALUE"""),6.0)</f>
        <v>6</v>
      </c>
      <c r="M2484" s="4">
        <f>IFERROR(__xludf.DUMMYFUNCTION("""COMPUTED_VALUE"""),8.0)</f>
        <v>8</v>
      </c>
      <c r="N2484" s="2" t="b">
        <f>IFERROR(__xludf.DUMMYFUNCTION("""COMPUTED_VALUE"""),FALSE)</f>
        <v>0</v>
      </c>
    </row>
    <row r="2485">
      <c r="A2485" s="2">
        <f>IFERROR(__xludf.DUMMYFUNCTION("""COMPUTED_VALUE"""),2484.0)</f>
        <v>2484</v>
      </c>
      <c r="B2485" s="2" t="str">
        <f>IFERROR(__xludf.DUMMYFUNCTION("""COMPUTED_VALUE"""),"Virgie Backshall")</f>
        <v>Virgie Backshall</v>
      </c>
      <c r="C2485" s="2" t="str">
        <f>IFERROR(__xludf.DUMMYFUNCTION("""COMPUTED_VALUE"""),"vbackshalldg@prlog.org")</f>
        <v>vbackshalldg@prlog.org</v>
      </c>
      <c r="D2485" s="4">
        <f>IFERROR(__xludf.DUMMYFUNCTION("""COMPUTED_VALUE"""),69.0)</f>
        <v>69</v>
      </c>
      <c r="E2485" s="4">
        <f>IFERROR(__xludf.DUMMYFUNCTION("""COMPUTED_VALUE"""),44.0)</f>
        <v>44</v>
      </c>
      <c r="F2485" s="4">
        <f>IFERROR(__xludf.DUMMYFUNCTION("""COMPUTED_VALUE"""),6.0)</f>
        <v>6</v>
      </c>
      <c r="G2485" s="4">
        <f>IFERROR(__xludf.DUMMYFUNCTION("""COMPUTED_VALUE"""),135.0)</f>
        <v>135</v>
      </c>
      <c r="H2485" s="5">
        <f>IFERROR(__xludf.DUMMYFUNCTION("""COMPUTED_VALUE"""),1171.49)</f>
        <v>1171.49</v>
      </c>
      <c r="I2485" s="5">
        <f>IFERROR(__xludf.DUMMYFUNCTION("""COMPUTED_VALUE"""),702.75)</f>
        <v>702.75</v>
      </c>
      <c r="J2485" s="5">
        <f>IFERROR(__xludf.DUMMYFUNCTION("""COMPUTED_VALUE"""),3315.93)</f>
        <v>3315.93</v>
      </c>
      <c r="K2485" s="5">
        <f>IFERROR(__xludf.DUMMYFUNCTION("""COMPUTED_VALUE"""),4442.87)</f>
        <v>4442.87</v>
      </c>
      <c r="L2485" s="4">
        <f>IFERROR(__xludf.DUMMYFUNCTION("""COMPUTED_VALUE"""),2.0)</f>
        <v>2</v>
      </c>
      <c r="M2485" s="4">
        <f>IFERROR(__xludf.DUMMYFUNCTION("""COMPUTED_VALUE"""),91.0)</f>
        <v>91</v>
      </c>
      <c r="N2485" s="2" t="b">
        <f>IFERROR(__xludf.DUMMYFUNCTION("""COMPUTED_VALUE"""),TRUE)</f>
        <v>1</v>
      </c>
    </row>
    <row r="2486">
      <c r="A2486" s="2">
        <f>IFERROR(__xludf.DUMMYFUNCTION("""COMPUTED_VALUE"""),2485.0)</f>
        <v>2485</v>
      </c>
      <c r="B2486" s="2" t="str">
        <f>IFERROR(__xludf.DUMMYFUNCTION("""COMPUTED_VALUE"""),"Kali Hatliff")</f>
        <v>Kali Hatliff</v>
      </c>
      <c r="C2486" s="2" t="str">
        <f>IFERROR(__xludf.DUMMYFUNCTION("""COMPUTED_VALUE"""),"khatliffdh@soup.io")</f>
        <v>khatliffdh@soup.io</v>
      </c>
      <c r="D2486" s="4">
        <f>IFERROR(__xludf.DUMMYFUNCTION("""COMPUTED_VALUE"""),24.0)</f>
        <v>24</v>
      </c>
      <c r="E2486" s="4">
        <f>IFERROR(__xludf.DUMMYFUNCTION("""COMPUTED_VALUE"""),64.0)</f>
        <v>64</v>
      </c>
      <c r="F2486" s="4">
        <f>IFERROR(__xludf.DUMMYFUNCTION("""COMPUTED_VALUE"""),4.0)</f>
        <v>4</v>
      </c>
      <c r="G2486" s="4">
        <f>IFERROR(__xludf.DUMMYFUNCTION("""COMPUTED_VALUE"""),215.0)</f>
        <v>215</v>
      </c>
      <c r="H2486" s="5">
        <f>IFERROR(__xludf.DUMMYFUNCTION("""COMPUTED_VALUE"""),3644.12)</f>
        <v>3644.12</v>
      </c>
      <c r="I2486" s="5">
        <f>IFERROR(__xludf.DUMMYFUNCTION("""COMPUTED_VALUE"""),2681.08)</f>
        <v>2681.08</v>
      </c>
      <c r="J2486" s="5">
        <f>IFERROR(__xludf.DUMMYFUNCTION("""COMPUTED_VALUE"""),8708.69)</f>
        <v>8708.69</v>
      </c>
      <c r="K2486" s="5">
        <f>IFERROR(__xludf.DUMMYFUNCTION("""COMPUTED_VALUE"""),7141.69)</f>
        <v>7141.69</v>
      </c>
      <c r="L2486" s="4">
        <f>IFERROR(__xludf.DUMMYFUNCTION("""COMPUTED_VALUE"""),19.0)</f>
        <v>19</v>
      </c>
      <c r="M2486" s="4">
        <f>IFERROR(__xludf.DUMMYFUNCTION("""COMPUTED_VALUE"""),33.0)</f>
        <v>33</v>
      </c>
      <c r="N2486" s="2" t="b">
        <f>IFERROR(__xludf.DUMMYFUNCTION("""COMPUTED_VALUE"""),FALSE)</f>
        <v>0</v>
      </c>
    </row>
    <row r="2487">
      <c r="A2487" s="2">
        <f>IFERROR(__xludf.DUMMYFUNCTION("""COMPUTED_VALUE"""),2486.0)</f>
        <v>2486</v>
      </c>
      <c r="B2487" s="2" t="str">
        <f>IFERROR(__xludf.DUMMYFUNCTION("""COMPUTED_VALUE"""),"Adrienne Kneaphsey")</f>
        <v>Adrienne Kneaphsey</v>
      </c>
      <c r="C2487" s="2" t="str">
        <f>IFERROR(__xludf.DUMMYFUNCTION("""COMPUTED_VALUE"""),"akneaphseydi@bbc.co.uk")</f>
        <v>akneaphseydi@bbc.co.uk</v>
      </c>
      <c r="D2487" s="4">
        <f>IFERROR(__xludf.DUMMYFUNCTION("""COMPUTED_VALUE"""),109.0)</f>
        <v>109</v>
      </c>
      <c r="E2487" s="4">
        <f>IFERROR(__xludf.DUMMYFUNCTION("""COMPUTED_VALUE"""),124.0)</f>
        <v>124</v>
      </c>
      <c r="F2487" s="4">
        <f>IFERROR(__xludf.DUMMYFUNCTION("""COMPUTED_VALUE"""),2.0)</f>
        <v>2</v>
      </c>
      <c r="G2487" s="4">
        <f>IFERROR(__xludf.DUMMYFUNCTION("""COMPUTED_VALUE"""),480.0)</f>
        <v>480</v>
      </c>
      <c r="H2487" s="5">
        <f>IFERROR(__xludf.DUMMYFUNCTION("""COMPUTED_VALUE"""),4360.95)</f>
        <v>4360.95</v>
      </c>
      <c r="I2487" s="5">
        <f>IFERROR(__xludf.DUMMYFUNCTION("""COMPUTED_VALUE"""),8665.1)</f>
        <v>8665.1</v>
      </c>
      <c r="J2487" s="5">
        <f>IFERROR(__xludf.DUMMYFUNCTION("""COMPUTED_VALUE"""),6678.47)</f>
        <v>6678.47</v>
      </c>
      <c r="K2487" s="5">
        <f>IFERROR(__xludf.DUMMYFUNCTION("""COMPUTED_VALUE"""),5188.08)</f>
        <v>5188.08</v>
      </c>
      <c r="L2487" s="4">
        <f>IFERROR(__xludf.DUMMYFUNCTION("""COMPUTED_VALUE"""),15.0)</f>
        <v>15</v>
      </c>
      <c r="M2487" s="4">
        <f>IFERROR(__xludf.DUMMYFUNCTION("""COMPUTED_VALUE"""),49.0)</f>
        <v>49</v>
      </c>
      <c r="N2487" s="2" t="b">
        <f>IFERROR(__xludf.DUMMYFUNCTION("""COMPUTED_VALUE"""),TRUE)</f>
        <v>1</v>
      </c>
    </row>
    <row r="2488">
      <c r="A2488" s="2">
        <f>IFERROR(__xludf.DUMMYFUNCTION("""COMPUTED_VALUE"""),2487.0)</f>
        <v>2487</v>
      </c>
      <c r="B2488" s="2" t="str">
        <f>IFERROR(__xludf.DUMMYFUNCTION("""COMPUTED_VALUE"""),"Dorolice Cornbell")</f>
        <v>Dorolice Cornbell</v>
      </c>
      <c r="C2488" s="2"/>
      <c r="D2488" s="4">
        <f>IFERROR(__xludf.DUMMYFUNCTION("""COMPUTED_VALUE"""),76.0)</f>
        <v>76</v>
      </c>
      <c r="E2488" s="4">
        <f>IFERROR(__xludf.DUMMYFUNCTION("""COMPUTED_VALUE"""),35.0)</f>
        <v>35</v>
      </c>
      <c r="F2488" s="4">
        <f>IFERROR(__xludf.DUMMYFUNCTION("""COMPUTED_VALUE"""),6.0)</f>
        <v>6</v>
      </c>
      <c r="G2488" s="4">
        <f>IFERROR(__xludf.DUMMYFUNCTION("""COMPUTED_VALUE"""),441.0)</f>
        <v>441</v>
      </c>
      <c r="H2488" s="5">
        <f>IFERROR(__xludf.DUMMYFUNCTION("""COMPUTED_VALUE"""),4899.35)</f>
        <v>4899.35</v>
      </c>
      <c r="I2488" s="5">
        <f>IFERROR(__xludf.DUMMYFUNCTION("""COMPUTED_VALUE"""),4911.4)</f>
        <v>4911.4</v>
      </c>
      <c r="J2488" s="5">
        <f>IFERROR(__xludf.DUMMYFUNCTION("""COMPUTED_VALUE"""),3865.77)</f>
        <v>3865.77</v>
      </c>
      <c r="K2488" s="5">
        <f>IFERROR(__xludf.DUMMYFUNCTION("""COMPUTED_VALUE"""),7202.32)</f>
        <v>7202.32</v>
      </c>
      <c r="L2488" s="4">
        <f>IFERROR(__xludf.DUMMYFUNCTION("""COMPUTED_VALUE"""),5.0)</f>
        <v>5</v>
      </c>
      <c r="M2488" s="4">
        <f>IFERROR(__xludf.DUMMYFUNCTION("""COMPUTED_VALUE"""),84.0)</f>
        <v>84</v>
      </c>
      <c r="N2488" s="2" t="b">
        <f>IFERROR(__xludf.DUMMYFUNCTION("""COMPUTED_VALUE"""),TRUE)</f>
        <v>1</v>
      </c>
    </row>
    <row r="2489">
      <c r="A2489" s="2">
        <f>IFERROR(__xludf.DUMMYFUNCTION("""COMPUTED_VALUE"""),2488.0)</f>
        <v>2488</v>
      </c>
      <c r="B2489" s="2" t="str">
        <f>IFERROR(__xludf.DUMMYFUNCTION("""COMPUTED_VALUE"""),"Phillida Dacke")</f>
        <v>Phillida Dacke</v>
      </c>
      <c r="C2489" s="2" t="str">
        <f>IFERROR(__xludf.DUMMYFUNCTION("""COMPUTED_VALUE"""),"pdackedk@spiegel.de")</f>
        <v>pdackedk@spiegel.de</v>
      </c>
      <c r="D2489" s="4">
        <f>IFERROR(__xludf.DUMMYFUNCTION("""COMPUTED_VALUE"""),113.0)</f>
        <v>113</v>
      </c>
      <c r="E2489" s="4">
        <f>IFERROR(__xludf.DUMMYFUNCTION("""COMPUTED_VALUE"""),71.0)</f>
        <v>71</v>
      </c>
      <c r="F2489" s="4">
        <f>IFERROR(__xludf.DUMMYFUNCTION("""COMPUTED_VALUE"""),5.0)</f>
        <v>5</v>
      </c>
      <c r="G2489" s="4">
        <f>IFERROR(__xludf.DUMMYFUNCTION("""COMPUTED_VALUE"""),424.0)</f>
        <v>424</v>
      </c>
      <c r="H2489" s="5">
        <f>IFERROR(__xludf.DUMMYFUNCTION("""COMPUTED_VALUE"""),8633.73)</f>
        <v>8633.73</v>
      </c>
      <c r="I2489" s="5">
        <f>IFERROR(__xludf.DUMMYFUNCTION("""COMPUTED_VALUE"""),7721.49)</f>
        <v>7721.49</v>
      </c>
      <c r="J2489" s="5">
        <f>IFERROR(__xludf.DUMMYFUNCTION("""COMPUTED_VALUE"""),1041.29)</f>
        <v>1041.29</v>
      </c>
      <c r="K2489" s="5">
        <f>IFERROR(__xludf.DUMMYFUNCTION("""COMPUTED_VALUE"""),131.98)</f>
        <v>131.98</v>
      </c>
      <c r="L2489" s="4">
        <f>IFERROR(__xludf.DUMMYFUNCTION("""COMPUTED_VALUE"""),3.0)</f>
        <v>3</v>
      </c>
      <c r="M2489" s="4">
        <f>IFERROR(__xludf.DUMMYFUNCTION("""COMPUTED_VALUE"""),71.0)</f>
        <v>71</v>
      </c>
      <c r="N2489" s="2" t="b">
        <f>IFERROR(__xludf.DUMMYFUNCTION("""COMPUTED_VALUE"""),TRUE)</f>
        <v>1</v>
      </c>
    </row>
    <row r="2490">
      <c r="A2490" s="2">
        <f>IFERROR(__xludf.DUMMYFUNCTION("""COMPUTED_VALUE"""),2489.0)</f>
        <v>2489</v>
      </c>
      <c r="B2490" s="2" t="str">
        <f>IFERROR(__xludf.DUMMYFUNCTION("""COMPUTED_VALUE"""),"Bess Lounds")</f>
        <v>Bess Lounds</v>
      </c>
      <c r="C2490" s="2"/>
      <c r="D2490" s="4">
        <f>IFERROR(__xludf.DUMMYFUNCTION("""COMPUTED_VALUE"""),141.0)</f>
        <v>141</v>
      </c>
      <c r="E2490" s="4">
        <f>IFERROR(__xludf.DUMMYFUNCTION("""COMPUTED_VALUE"""),62.0)</f>
        <v>62</v>
      </c>
      <c r="F2490" s="4">
        <f>IFERROR(__xludf.DUMMYFUNCTION("""COMPUTED_VALUE"""),4.0)</f>
        <v>4</v>
      </c>
      <c r="G2490" s="4">
        <f>IFERROR(__xludf.DUMMYFUNCTION("""COMPUTED_VALUE"""),742.0)</f>
        <v>742</v>
      </c>
      <c r="H2490" s="5">
        <f>IFERROR(__xludf.DUMMYFUNCTION("""COMPUTED_VALUE"""),1941.3)</f>
        <v>1941.3</v>
      </c>
      <c r="I2490" s="5">
        <f>IFERROR(__xludf.DUMMYFUNCTION("""COMPUTED_VALUE"""),8532.85)</f>
        <v>8532.85</v>
      </c>
      <c r="J2490" s="5">
        <f>IFERROR(__xludf.DUMMYFUNCTION("""COMPUTED_VALUE"""),5703.98)</f>
        <v>5703.98</v>
      </c>
      <c r="K2490" s="5">
        <f>IFERROR(__xludf.DUMMYFUNCTION("""COMPUTED_VALUE"""),3045.93)</f>
        <v>3045.93</v>
      </c>
      <c r="L2490" s="4">
        <f>IFERROR(__xludf.DUMMYFUNCTION("""COMPUTED_VALUE"""),13.0)</f>
        <v>13</v>
      </c>
      <c r="M2490" s="4">
        <f>IFERROR(__xludf.DUMMYFUNCTION("""COMPUTED_VALUE"""),46.0)</f>
        <v>46</v>
      </c>
      <c r="N2490" s="2" t="b">
        <f>IFERROR(__xludf.DUMMYFUNCTION("""COMPUTED_VALUE"""),FALSE)</f>
        <v>0</v>
      </c>
    </row>
    <row r="2491">
      <c r="A2491" s="2">
        <f>IFERROR(__xludf.DUMMYFUNCTION("""COMPUTED_VALUE"""),2490.0)</f>
        <v>2490</v>
      </c>
      <c r="B2491" s="2" t="str">
        <f>IFERROR(__xludf.DUMMYFUNCTION("""COMPUTED_VALUE"""),"Kris Balm")</f>
        <v>Kris Balm</v>
      </c>
      <c r="C2491" s="2" t="str">
        <f>IFERROR(__xludf.DUMMYFUNCTION("""COMPUTED_VALUE"""),"kbalmdm@icio.us")</f>
        <v>kbalmdm@icio.us</v>
      </c>
      <c r="D2491" s="4">
        <f>IFERROR(__xludf.DUMMYFUNCTION("""COMPUTED_VALUE"""),46.0)</f>
        <v>46</v>
      </c>
      <c r="E2491" s="4">
        <f>IFERROR(__xludf.DUMMYFUNCTION("""COMPUTED_VALUE"""),49.0)</f>
        <v>49</v>
      </c>
      <c r="F2491" s="4">
        <f>IFERROR(__xludf.DUMMYFUNCTION("""COMPUTED_VALUE"""),7.0)</f>
        <v>7</v>
      </c>
      <c r="G2491" s="4">
        <f>IFERROR(__xludf.DUMMYFUNCTION("""COMPUTED_VALUE"""),333.0)</f>
        <v>333</v>
      </c>
      <c r="H2491" s="5">
        <f>IFERROR(__xludf.DUMMYFUNCTION("""COMPUTED_VALUE"""),9944.15)</f>
        <v>9944.15</v>
      </c>
      <c r="I2491" s="5">
        <f>IFERROR(__xludf.DUMMYFUNCTION("""COMPUTED_VALUE"""),1896.7)</f>
        <v>1896.7</v>
      </c>
      <c r="J2491" s="5">
        <f>IFERROR(__xludf.DUMMYFUNCTION("""COMPUTED_VALUE"""),2967.11)</f>
        <v>2967.11</v>
      </c>
      <c r="K2491" s="5">
        <f>IFERROR(__xludf.DUMMYFUNCTION("""COMPUTED_VALUE"""),7142.9)</f>
        <v>7142.9</v>
      </c>
      <c r="L2491" s="4">
        <f>IFERROR(__xludf.DUMMYFUNCTION("""COMPUTED_VALUE"""),15.0)</f>
        <v>15</v>
      </c>
      <c r="M2491" s="4">
        <f>IFERROR(__xludf.DUMMYFUNCTION("""COMPUTED_VALUE"""),95.0)</f>
        <v>95</v>
      </c>
      <c r="N2491" s="2" t="b">
        <f>IFERROR(__xludf.DUMMYFUNCTION("""COMPUTED_VALUE"""),TRUE)</f>
        <v>1</v>
      </c>
    </row>
    <row r="2492">
      <c r="A2492" s="2">
        <f>IFERROR(__xludf.DUMMYFUNCTION("""COMPUTED_VALUE"""),2491.0)</f>
        <v>2491</v>
      </c>
      <c r="B2492" s="2" t="str">
        <f>IFERROR(__xludf.DUMMYFUNCTION("""COMPUTED_VALUE"""),"Joey Bwy")</f>
        <v>Joey Bwy</v>
      </c>
      <c r="C2492" s="2" t="str">
        <f>IFERROR(__xludf.DUMMYFUNCTION("""COMPUTED_VALUE"""),"jbwydn@bloglines.com")</f>
        <v>jbwydn@bloglines.com</v>
      </c>
      <c r="D2492" s="4">
        <f>IFERROR(__xludf.DUMMYFUNCTION("""COMPUTED_VALUE"""),23.0)</f>
        <v>23</v>
      </c>
      <c r="E2492" s="4">
        <f>IFERROR(__xludf.DUMMYFUNCTION("""COMPUTED_VALUE"""),90.0)</f>
        <v>90</v>
      </c>
      <c r="F2492" s="4">
        <f>IFERROR(__xludf.DUMMYFUNCTION("""COMPUTED_VALUE"""),11.0)</f>
        <v>11</v>
      </c>
      <c r="G2492" s="4">
        <f>IFERROR(__xludf.DUMMYFUNCTION("""COMPUTED_VALUE"""),1477.0)</f>
        <v>1477</v>
      </c>
      <c r="H2492" s="5">
        <f>IFERROR(__xludf.DUMMYFUNCTION("""COMPUTED_VALUE"""),4318.17)</f>
        <v>4318.17</v>
      </c>
      <c r="I2492" s="5">
        <f>IFERROR(__xludf.DUMMYFUNCTION("""COMPUTED_VALUE"""),2440.86)</f>
        <v>2440.86</v>
      </c>
      <c r="J2492" s="5">
        <f>IFERROR(__xludf.DUMMYFUNCTION("""COMPUTED_VALUE"""),7727.11)</f>
        <v>7727.11</v>
      </c>
      <c r="K2492" s="5">
        <f>IFERROR(__xludf.DUMMYFUNCTION("""COMPUTED_VALUE"""),6297.67)</f>
        <v>6297.67</v>
      </c>
      <c r="L2492" s="4">
        <f>IFERROR(__xludf.DUMMYFUNCTION("""COMPUTED_VALUE"""),6.0)</f>
        <v>6</v>
      </c>
      <c r="M2492" s="4">
        <f>IFERROR(__xludf.DUMMYFUNCTION("""COMPUTED_VALUE"""),15.0)</f>
        <v>15</v>
      </c>
      <c r="N2492" s="2" t="b">
        <f>IFERROR(__xludf.DUMMYFUNCTION("""COMPUTED_VALUE"""),TRUE)</f>
        <v>1</v>
      </c>
    </row>
    <row r="2493">
      <c r="A2493" s="2">
        <f>IFERROR(__xludf.DUMMYFUNCTION("""COMPUTED_VALUE"""),2492.0)</f>
        <v>2492</v>
      </c>
      <c r="B2493" s="2" t="str">
        <f>IFERROR(__xludf.DUMMYFUNCTION("""COMPUTED_VALUE"""),"Isac Hartin")</f>
        <v>Isac Hartin</v>
      </c>
      <c r="C2493" s="2"/>
      <c r="D2493" s="4">
        <f>IFERROR(__xludf.DUMMYFUNCTION("""COMPUTED_VALUE"""),123.0)</f>
        <v>123</v>
      </c>
      <c r="E2493" s="4">
        <f>IFERROR(__xludf.DUMMYFUNCTION("""COMPUTED_VALUE"""),49.0)</f>
        <v>49</v>
      </c>
      <c r="F2493" s="4">
        <f>IFERROR(__xludf.DUMMYFUNCTION("""COMPUTED_VALUE"""),12.0)</f>
        <v>12</v>
      </c>
      <c r="G2493" s="4">
        <f>IFERROR(__xludf.DUMMYFUNCTION("""COMPUTED_VALUE"""),1442.0)</f>
        <v>1442</v>
      </c>
      <c r="H2493" s="5">
        <f>IFERROR(__xludf.DUMMYFUNCTION("""COMPUTED_VALUE"""),6993.37)</f>
        <v>6993.37</v>
      </c>
      <c r="I2493" s="5">
        <f>IFERROR(__xludf.DUMMYFUNCTION("""COMPUTED_VALUE"""),1977.3)</f>
        <v>1977.3</v>
      </c>
      <c r="J2493" s="5">
        <f>IFERROR(__xludf.DUMMYFUNCTION("""COMPUTED_VALUE"""),851.76)</f>
        <v>851.76</v>
      </c>
      <c r="K2493" s="5">
        <f>IFERROR(__xludf.DUMMYFUNCTION("""COMPUTED_VALUE"""),3274.78)</f>
        <v>3274.78</v>
      </c>
      <c r="L2493" s="4">
        <f>IFERROR(__xludf.DUMMYFUNCTION("""COMPUTED_VALUE"""),18.0)</f>
        <v>18</v>
      </c>
      <c r="M2493" s="4">
        <f>IFERROR(__xludf.DUMMYFUNCTION("""COMPUTED_VALUE"""),69.0)</f>
        <v>69</v>
      </c>
      <c r="N2493" s="2" t="b">
        <f>IFERROR(__xludf.DUMMYFUNCTION("""COMPUTED_VALUE"""),TRUE)</f>
        <v>1</v>
      </c>
    </row>
    <row r="2494">
      <c r="A2494" s="2">
        <f>IFERROR(__xludf.DUMMYFUNCTION("""COMPUTED_VALUE"""),2493.0)</f>
        <v>2493</v>
      </c>
      <c r="B2494" s="2" t="str">
        <f>IFERROR(__xludf.DUMMYFUNCTION("""COMPUTED_VALUE"""),"Ibbie Meugens")</f>
        <v>Ibbie Meugens</v>
      </c>
      <c r="C2494" s="2"/>
      <c r="D2494" s="4">
        <f>IFERROR(__xludf.DUMMYFUNCTION("""COMPUTED_VALUE"""),99.0)</f>
        <v>99</v>
      </c>
      <c r="E2494" s="4">
        <f>IFERROR(__xludf.DUMMYFUNCTION("""COMPUTED_VALUE"""),6.0)</f>
        <v>6</v>
      </c>
      <c r="F2494" s="4">
        <f>IFERROR(__xludf.DUMMYFUNCTION("""COMPUTED_VALUE"""),1.0)</f>
        <v>1</v>
      </c>
      <c r="G2494" s="4">
        <f>IFERROR(__xludf.DUMMYFUNCTION("""COMPUTED_VALUE"""),389.0)</f>
        <v>389</v>
      </c>
      <c r="H2494" s="5">
        <f>IFERROR(__xludf.DUMMYFUNCTION("""COMPUTED_VALUE"""),3278.84)</f>
        <v>3278.84</v>
      </c>
      <c r="I2494" s="5">
        <f>IFERROR(__xludf.DUMMYFUNCTION("""COMPUTED_VALUE"""),7456.62)</f>
        <v>7456.62</v>
      </c>
      <c r="J2494" s="5">
        <f>IFERROR(__xludf.DUMMYFUNCTION("""COMPUTED_VALUE"""),6795.32)</f>
        <v>6795.32</v>
      </c>
      <c r="K2494" s="5">
        <f>IFERROR(__xludf.DUMMYFUNCTION("""COMPUTED_VALUE"""),3765.6)</f>
        <v>3765.6</v>
      </c>
      <c r="L2494" s="4">
        <f>IFERROR(__xludf.DUMMYFUNCTION("""COMPUTED_VALUE"""),8.0)</f>
        <v>8</v>
      </c>
      <c r="M2494" s="4">
        <f>IFERROR(__xludf.DUMMYFUNCTION("""COMPUTED_VALUE"""),27.0)</f>
        <v>27</v>
      </c>
      <c r="N2494" s="2" t="b">
        <f>IFERROR(__xludf.DUMMYFUNCTION("""COMPUTED_VALUE"""),TRUE)</f>
        <v>1</v>
      </c>
    </row>
    <row r="2495">
      <c r="A2495" s="2">
        <f>IFERROR(__xludf.DUMMYFUNCTION("""COMPUTED_VALUE"""),2494.0)</f>
        <v>2494</v>
      </c>
      <c r="B2495" s="2" t="str">
        <f>IFERROR(__xludf.DUMMYFUNCTION("""COMPUTED_VALUE"""),"Munroe Baglow")</f>
        <v>Munroe Baglow</v>
      </c>
      <c r="C2495" s="2" t="str">
        <f>IFERROR(__xludf.DUMMYFUNCTION("""COMPUTED_VALUE"""),"mbaglowdq@vimeo.com")</f>
        <v>mbaglowdq@vimeo.com</v>
      </c>
      <c r="D2495" s="4">
        <f>IFERROR(__xludf.DUMMYFUNCTION("""COMPUTED_VALUE"""),102.0)</f>
        <v>102</v>
      </c>
      <c r="E2495" s="4">
        <f>IFERROR(__xludf.DUMMYFUNCTION("""COMPUTED_VALUE"""),96.0)</f>
        <v>96</v>
      </c>
      <c r="F2495" s="4">
        <f>IFERROR(__xludf.DUMMYFUNCTION("""COMPUTED_VALUE"""),11.0)</f>
        <v>11</v>
      </c>
      <c r="G2495" s="4">
        <f>IFERROR(__xludf.DUMMYFUNCTION("""COMPUTED_VALUE"""),1106.0)</f>
        <v>1106</v>
      </c>
      <c r="H2495" s="5">
        <f>IFERROR(__xludf.DUMMYFUNCTION("""COMPUTED_VALUE"""),4313.23)</f>
        <v>4313.23</v>
      </c>
      <c r="I2495" s="5">
        <f>IFERROR(__xludf.DUMMYFUNCTION("""COMPUTED_VALUE"""),9874.19)</f>
        <v>9874.19</v>
      </c>
      <c r="J2495" s="5">
        <f>IFERROR(__xludf.DUMMYFUNCTION("""COMPUTED_VALUE"""),1716.85)</f>
        <v>1716.85</v>
      </c>
      <c r="K2495" s="5">
        <f>IFERROR(__xludf.DUMMYFUNCTION("""COMPUTED_VALUE"""),2644.06)</f>
        <v>2644.06</v>
      </c>
      <c r="L2495" s="4">
        <f>IFERROR(__xludf.DUMMYFUNCTION("""COMPUTED_VALUE"""),20.0)</f>
        <v>20</v>
      </c>
      <c r="M2495" s="4">
        <f>IFERROR(__xludf.DUMMYFUNCTION("""COMPUTED_VALUE"""),37.0)</f>
        <v>37</v>
      </c>
      <c r="N2495" s="2" t="b">
        <f>IFERROR(__xludf.DUMMYFUNCTION("""COMPUTED_VALUE"""),FALSE)</f>
        <v>0</v>
      </c>
    </row>
    <row r="2496">
      <c r="A2496" s="2">
        <f>IFERROR(__xludf.DUMMYFUNCTION("""COMPUTED_VALUE"""),2495.0)</f>
        <v>2495</v>
      </c>
      <c r="B2496" s="2" t="str">
        <f>IFERROR(__xludf.DUMMYFUNCTION("""COMPUTED_VALUE"""),"Alfreda Boncore")</f>
        <v>Alfreda Boncore</v>
      </c>
      <c r="C2496" s="2" t="str">
        <f>IFERROR(__xludf.DUMMYFUNCTION("""COMPUTED_VALUE"""),"aboncoredr@twitpic.com")</f>
        <v>aboncoredr@twitpic.com</v>
      </c>
      <c r="D2496" s="4">
        <f>IFERROR(__xludf.DUMMYFUNCTION("""COMPUTED_VALUE"""),43.0)</f>
        <v>43</v>
      </c>
      <c r="E2496" s="4">
        <f>IFERROR(__xludf.DUMMYFUNCTION("""COMPUTED_VALUE"""),81.0)</f>
        <v>81</v>
      </c>
      <c r="F2496" s="4">
        <f>IFERROR(__xludf.DUMMYFUNCTION("""COMPUTED_VALUE"""),2.0)</f>
        <v>2</v>
      </c>
      <c r="G2496" s="4">
        <f>IFERROR(__xludf.DUMMYFUNCTION("""COMPUTED_VALUE"""),134.0)</f>
        <v>134</v>
      </c>
      <c r="H2496" s="5">
        <f>IFERROR(__xludf.DUMMYFUNCTION("""COMPUTED_VALUE"""),1522.12)</f>
        <v>1522.12</v>
      </c>
      <c r="I2496" s="5">
        <f>IFERROR(__xludf.DUMMYFUNCTION("""COMPUTED_VALUE"""),4878.72)</f>
        <v>4878.72</v>
      </c>
      <c r="J2496" s="5">
        <f>IFERROR(__xludf.DUMMYFUNCTION("""COMPUTED_VALUE"""),4892.18)</f>
        <v>4892.18</v>
      </c>
      <c r="K2496" s="5">
        <f>IFERROR(__xludf.DUMMYFUNCTION("""COMPUTED_VALUE"""),4561.57)</f>
        <v>4561.57</v>
      </c>
      <c r="L2496" s="4">
        <f>IFERROR(__xludf.DUMMYFUNCTION("""COMPUTED_VALUE"""),13.0)</f>
        <v>13</v>
      </c>
      <c r="M2496" s="4">
        <f>IFERROR(__xludf.DUMMYFUNCTION("""COMPUTED_VALUE"""),61.0)</f>
        <v>61</v>
      </c>
      <c r="N2496" s="2" t="b">
        <f>IFERROR(__xludf.DUMMYFUNCTION("""COMPUTED_VALUE"""),TRUE)</f>
        <v>1</v>
      </c>
    </row>
    <row r="2497">
      <c r="A2497" s="2">
        <f>IFERROR(__xludf.DUMMYFUNCTION("""COMPUTED_VALUE"""),2496.0)</f>
        <v>2496</v>
      </c>
      <c r="B2497" s="2" t="str">
        <f>IFERROR(__xludf.DUMMYFUNCTION("""COMPUTED_VALUE"""),"Aylmer Poacher")</f>
        <v>Aylmer Poacher</v>
      </c>
      <c r="C2497" s="2"/>
      <c r="D2497" s="4">
        <f>IFERROR(__xludf.DUMMYFUNCTION("""COMPUTED_VALUE"""),90.0)</f>
        <v>90</v>
      </c>
      <c r="E2497" s="4">
        <f>IFERROR(__xludf.DUMMYFUNCTION("""COMPUTED_VALUE"""),30.0)</f>
        <v>30</v>
      </c>
      <c r="F2497" s="4">
        <f>IFERROR(__xludf.DUMMYFUNCTION("""COMPUTED_VALUE"""),1.0)</f>
        <v>1</v>
      </c>
      <c r="G2497" s="4">
        <f>IFERROR(__xludf.DUMMYFUNCTION("""COMPUTED_VALUE"""),146.0)</f>
        <v>146</v>
      </c>
      <c r="H2497" s="5">
        <f>IFERROR(__xludf.DUMMYFUNCTION("""COMPUTED_VALUE"""),4481.52)</f>
        <v>4481.52</v>
      </c>
      <c r="I2497" s="5">
        <f>IFERROR(__xludf.DUMMYFUNCTION("""COMPUTED_VALUE"""),1653.89)</f>
        <v>1653.89</v>
      </c>
      <c r="J2497" s="5">
        <f>IFERROR(__xludf.DUMMYFUNCTION("""COMPUTED_VALUE"""),4157.89)</f>
        <v>4157.89</v>
      </c>
      <c r="K2497" s="5">
        <f>IFERROR(__xludf.DUMMYFUNCTION("""COMPUTED_VALUE"""),1909.21)</f>
        <v>1909.21</v>
      </c>
      <c r="L2497" s="4">
        <f>IFERROR(__xludf.DUMMYFUNCTION("""COMPUTED_VALUE"""),9.0)</f>
        <v>9</v>
      </c>
      <c r="M2497" s="4">
        <f>IFERROR(__xludf.DUMMYFUNCTION("""COMPUTED_VALUE"""),37.0)</f>
        <v>37</v>
      </c>
      <c r="N2497" s="2" t="b">
        <f>IFERROR(__xludf.DUMMYFUNCTION("""COMPUTED_VALUE"""),FALSE)</f>
        <v>0</v>
      </c>
    </row>
    <row r="2498">
      <c r="A2498" s="2">
        <f>IFERROR(__xludf.DUMMYFUNCTION("""COMPUTED_VALUE"""),2497.0)</f>
        <v>2497</v>
      </c>
      <c r="B2498" s="2" t="str">
        <f>IFERROR(__xludf.DUMMYFUNCTION("""COMPUTED_VALUE"""),"Elsey Bramall")</f>
        <v>Elsey Bramall</v>
      </c>
      <c r="C2498" s="2" t="str">
        <f>IFERROR(__xludf.DUMMYFUNCTION("""COMPUTED_VALUE"""),"ebramalldt@so-net.ne.jp")</f>
        <v>ebramalldt@so-net.ne.jp</v>
      </c>
      <c r="D2498" s="4">
        <f>IFERROR(__xludf.DUMMYFUNCTION("""COMPUTED_VALUE"""),19.0)</f>
        <v>19</v>
      </c>
      <c r="E2498" s="4">
        <f>IFERROR(__xludf.DUMMYFUNCTION("""COMPUTED_VALUE"""),108.0)</f>
        <v>108</v>
      </c>
      <c r="F2498" s="4">
        <f>IFERROR(__xludf.DUMMYFUNCTION("""COMPUTED_VALUE"""),10.0)</f>
        <v>10</v>
      </c>
      <c r="G2498" s="4">
        <f>IFERROR(__xludf.DUMMYFUNCTION("""COMPUTED_VALUE"""),480.0)</f>
        <v>480</v>
      </c>
      <c r="H2498" s="5">
        <f>IFERROR(__xludf.DUMMYFUNCTION("""COMPUTED_VALUE"""),7115.56)</f>
        <v>7115.56</v>
      </c>
      <c r="I2498" s="5">
        <f>IFERROR(__xludf.DUMMYFUNCTION("""COMPUTED_VALUE"""),5343.16)</f>
        <v>5343.16</v>
      </c>
      <c r="J2498" s="5">
        <f>IFERROR(__xludf.DUMMYFUNCTION("""COMPUTED_VALUE"""),2979.17)</f>
        <v>2979.17</v>
      </c>
      <c r="K2498" s="5">
        <f>IFERROR(__xludf.DUMMYFUNCTION("""COMPUTED_VALUE"""),3378.06)</f>
        <v>3378.06</v>
      </c>
      <c r="L2498" s="4">
        <f>IFERROR(__xludf.DUMMYFUNCTION("""COMPUTED_VALUE"""),13.0)</f>
        <v>13</v>
      </c>
      <c r="M2498" s="4">
        <f>IFERROR(__xludf.DUMMYFUNCTION("""COMPUTED_VALUE"""),42.0)</f>
        <v>42</v>
      </c>
      <c r="N2498" s="2" t="b">
        <f>IFERROR(__xludf.DUMMYFUNCTION("""COMPUTED_VALUE"""),TRUE)</f>
        <v>1</v>
      </c>
    </row>
    <row r="2499">
      <c r="A2499" s="2">
        <f>IFERROR(__xludf.DUMMYFUNCTION("""COMPUTED_VALUE"""),2498.0)</f>
        <v>2498</v>
      </c>
      <c r="B2499" s="2" t="str">
        <f>IFERROR(__xludf.DUMMYFUNCTION("""COMPUTED_VALUE"""),"Barrett McGahern")</f>
        <v>Barrett McGahern</v>
      </c>
      <c r="C2499" s="2"/>
      <c r="D2499" s="4">
        <f>IFERROR(__xludf.DUMMYFUNCTION("""COMPUTED_VALUE"""),11.0)</f>
        <v>11</v>
      </c>
      <c r="E2499" s="4">
        <f>IFERROR(__xludf.DUMMYFUNCTION("""COMPUTED_VALUE"""),83.0)</f>
        <v>83</v>
      </c>
      <c r="F2499" s="4">
        <f>IFERROR(__xludf.DUMMYFUNCTION("""COMPUTED_VALUE"""),9.0)</f>
        <v>9</v>
      </c>
      <c r="G2499" s="4">
        <f>IFERROR(__xludf.DUMMYFUNCTION("""COMPUTED_VALUE"""),155.0)</f>
        <v>155</v>
      </c>
      <c r="H2499" s="5">
        <f>IFERROR(__xludf.DUMMYFUNCTION("""COMPUTED_VALUE"""),4224.68)</f>
        <v>4224.68</v>
      </c>
      <c r="I2499" s="5">
        <f>IFERROR(__xludf.DUMMYFUNCTION("""COMPUTED_VALUE"""),9408.11)</f>
        <v>9408.11</v>
      </c>
      <c r="J2499" s="5">
        <f>IFERROR(__xludf.DUMMYFUNCTION("""COMPUTED_VALUE"""),2259.24)</f>
        <v>2259.24</v>
      </c>
      <c r="K2499" s="5">
        <f>IFERROR(__xludf.DUMMYFUNCTION("""COMPUTED_VALUE"""),6624.44)</f>
        <v>6624.44</v>
      </c>
      <c r="L2499" s="4">
        <f>IFERROR(__xludf.DUMMYFUNCTION("""COMPUTED_VALUE"""),2.0)</f>
        <v>2</v>
      </c>
      <c r="M2499" s="4">
        <f>IFERROR(__xludf.DUMMYFUNCTION("""COMPUTED_VALUE"""),38.0)</f>
        <v>38</v>
      </c>
      <c r="N2499" s="2" t="b">
        <f>IFERROR(__xludf.DUMMYFUNCTION("""COMPUTED_VALUE"""),FALSE)</f>
        <v>0</v>
      </c>
    </row>
    <row r="2500">
      <c r="A2500" s="2">
        <f>IFERROR(__xludf.DUMMYFUNCTION("""COMPUTED_VALUE"""),2499.0)</f>
        <v>2499</v>
      </c>
      <c r="B2500" s="2" t="str">
        <f>IFERROR(__xludf.DUMMYFUNCTION("""COMPUTED_VALUE"""),"Aile Keeri")</f>
        <v>Aile Keeri</v>
      </c>
      <c r="C2500" s="2" t="str">
        <f>IFERROR(__xludf.DUMMYFUNCTION("""COMPUTED_VALUE"""),"akeeridv@salon.com")</f>
        <v>akeeridv@salon.com</v>
      </c>
      <c r="D2500" s="4">
        <f>IFERROR(__xludf.DUMMYFUNCTION("""COMPUTED_VALUE"""),29.0)</f>
        <v>29</v>
      </c>
      <c r="E2500" s="4">
        <f>IFERROR(__xludf.DUMMYFUNCTION("""COMPUTED_VALUE"""),58.0)</f>
        <v>58</v>
      </c>
      <c r="F2500" s="4">
        <f>IFERROR(__xludf.DUMMYFUNCTION("""COMPUTED_VALUE"""),2.0)</f>
        <v>2</v>
      </c>
      <c r="G2500" s="4">
        <f>IFERROR(__xludf.DUMMYFUNCTION("""COMPUTED_VALUE"""),1231.0)</f>
        <v>1231</v>
      </c>
      <c r="H2500" s="5">
        <f>IFERROR(__xludf.DUMMYFUNCTION("""COMPUTED_VALUE"""),4312.47)</f>
        <v>4312.47</v>
      </c>
      <c r="I2500" s="5">
        <f>IFERROR(__xludf.DUMMYFUNCTION("""COMPUTED_VALUE"""),4469.26)</f>
        <v>4469.26</v>
      </c>
      <c r="J2500" s="5">
        <f>IFERROR(__xludf.DUMMYFUNCTION("""COMPUTED_VALUE"""),5608.04)</f>
        <v>5608.04</v>
      </c>
      <c r="K2500" s="5">
        <f>IFERROR(__xludf.DUMMYFUNCTION("""COMPUTED_VALUE"""),1401.15)</f>
        <v>1401.15</v>
      </c>
      <c r="L2500" s="4">
        <f>IFERROR(__xludf.DUMMYFUNCTION("""COMPUTED_VALUE"""),16.0)</f>
        <v>16</v>
      </c>
      <c r="M2500" s="4">
        <f>IFERROR(__xludf.DUMMYFUNCTION("""COMPUTED_VALUE"""),57.0)</f>
        <v>57</v>
      </c>
      <c r="N2500" s="2" t="b">
        <f>IFERROR(__xludf.DUMMYFUNCTION("""COMPUTED_VALUE"""),FALSE)</f>
        <v>0</v>
      </c>
    </row>
    <row r="2501">
      <c r="A2501" s="2">
        <f>IFERROR(__xludf.DUMMYFUNCTION("""COMPUTED_VALUE"""),2500.0)</f>
        <v>2500</v>
      </c>
      <c r="B2501" s="2" t="str">
        <f>IFERROR(__xludf.DUMMYFUNCTION("""COMPUTED_VALUE"""),"Andriana Fillary")</f>
        <v>Andriana Fillary</v>
      </c>
      <c r="C2501" s="2"/>
      <c r="D2501" s="4">
        <f>IFERROR(__xludf.DUMMYFUNCTION("""COMPUTED_VALUE"""),93.0)</f>
        <v>93</v>
      </c>
      <c r="E2501" s="4">
        <f>IFERROR(__xludf.DUMMYFUNCTION("""COMPUTED_VALUE"""),10.0)</f>
        <v>10</v>
      </c>
      <c r="F2501" s="4">
        <f>IFERROR(__xludf.DUMMYFUNCTION("""COMPUTED_VALUE"""),5.0)</f>
        <v>5</v>
      </c>
      <c r="G2501" s="4">
        <f>IFERROR(__xludf.DUMMYFUNCTION("""COMPUTED_VALUE"""),1135.0)</f>
        <v>1135</v>
      </c>
      <c r="H2501" s="5">
        <f>IFERROR(__xludf.DUMMYFUNCTION("""COMPUTED_VALUE"""),9913.81)</f>
        <v>9913.81</v>
      </c>
      <c r="I2501" s="5">
        <f>IFERROR(__xludf.DUMMYFUNCTION("""COMPUTED_VALUE"""),6368.5)</f>
        <v>6368.5</v>
      </c>
      <c r="J2501" s="5">
        <f>IFERROR(__xludf.DUMMYFUNCTION("""COMPUTED_VALUE"""),4289.59)</f>
        <v>4289.59</v>
      </c>
      <c r="K2501" s="5">
        <f>IFERROR(__xludf.DUMMYFUNCTION("""COMPUTED_VALUE"""),1314.06)</f>
        <v>1314.06</v>
      </c>
      <c r="L2501" s="4">
        <f>IFERROR(__xludf.DUMMYFUNCTION("""COMPUTED_VALUE"""),15.0)</f>
        <v>15</v>
      </c>
      <c r="M2501" s="4">
        <f>IFERROR(__xludf.DUMMYFUNCTION("""COMPUTED_VALUE"""),94.0)</f>
        <v>94</v>
      </c>
      <c r="N2501" s="2" t="b">
        <f>IFERROR(__xludf.DUMMYFUNCTION("""COMPUTED_VALUE"""),TRUE)</f>
        <v>1</v>
      </c>
    </row>
    <row r="2502">
      <c r="A2502" s="2">
        <f>IFERROR(__xludf.DUMMYFUNCTION("""COMPUTED_VALUE"""),2501.0)</f>
        <v>2501</v>
      </c>
      <c r="B2502" s="2" t="str">
        <f>IFERROR(__xludf.DUMMYFUNCTION("""COMPUTED_VALUE"""),"Guendolen Applegate")</f>
        <v>Guendolen Applegate</v>
      </c>
      <c r="C2502" s="2" t="str">
        <f>IFERROR(__xludf.DUMMYFUNCTION("""COMPUTED_VALUE"""),"gapplegatedx@bloglines.com")</f>
        <v>gapplegatedx@bloglines.com</v>
      </c>
      <c r="D2502" s="4">
        <f>IFERROR(__xludf.DUMMYFUNCTION("""COMPUTED_VALUE"""),132.0)</f>
        <v>132</v>
      </c>
      <c r="E2502" s="4">
        <f>IFERROR(__xludf.DUMMYFUNCTION("""COMPUTED_VALUE"""),45.0)</f>
        <v>45</v>
      </c>
      <c r="F2502" s="4">
        <f>IFERROR(__xludf.DUMMYFUNCTION("""COMPUTED_VALUE"""),13.0)</f>
        <v>13</v>
      </c>
      <c r="G2502" s="4">
        <f>IFERROR(__xludf.DUMMYFUNCTION("""COMPUTED_VALUE"""),405.0)</f>
        <v>405</v>
      </c>
      <c r="H2502" s="5">
        <f>IFERROR(__xludf.DUMMYFUNCTION("""COMPUTED_VALUE"""),3980.52)</f>
        <v>3980.52</v>
      </c>
      <c r="I2502" s="5">
        <f>IFERROR(__xludf.DUMMYFUNCTION("""COMPUTED_VALUE"""),3333.83)</f>
        <v>3333.83</v>
      </c>
      <c r="J2502" s="5">
        <f>IFERROR(__xludf.DUMMYFUNCTION("""COMPUTED_VALUE"""),9620.93)</f>
        <v>9620.93</v>
      </c>
      <c r="K2502" s="5">
        <f>IFERROR(__xludf.DUMMYFUNCTION("""COMPUTED_VALUE"""),3274.13)</f>
        <v>3274.13</v>
      </c>
      <c r="L2502" s="4">
        <f>IFERROR(__xludf.DUMMYFUNCTION("""COMPUTED_VALUE"""),17.0)</f>
        <v>17</v>
      </c>
      <c r="M2502" s="4">
        <f>IFERROR(__xludf.DUMMYFUNCTION("""COMPUTED_VALUE"""),53.0)</f>
        <v>53</v>
      </c>
      <c r="N2502" s="2" t="b">
        <f>IFERROR(__xludf.DUMMYFUNCTION("""COMPUTED_VALUE"""),FALSE)</f>
        <v>0</v>
      </c>
    </row>
    <row r="2503">
      <c r="A2503" s="2">
        <f>IFERROR(__xludf.DUMMYFUNCTION("""COMPUTED_VALUE"""),2502.0)</f>
        <v>2502</v>
      </c>
      <c r="B2503" s="2" t="str">
        <f>IFERROR(__xludf.DUMMYFUNCTION("""COMPUTED_VALUE"""),"Marissa Ecclestone")</f>
        <v>Marissa Ecclestone</v>
      </c>
      <c r="C2503" s="2"/>
      <c r="D2503" s="4">
        <f>IFERROR(__xludf.DUMMYFUNCTION("""COMPUTED_VALUE"""),54.0)</f>
        <v>54</v>
      </c>
      <c r="E2503" s="4">
        <f>IFERROR(__xludf.DUMMYFUNCTION("""COMPUTED_VALUE"""),46.0)</f>
        <v>46</v>
      </c>
      <c r="F2503" s="4">
        <f>IFERROR(__xludf.DUMMYFUNCTION("""COMPUTED_VALUE"""),5.0)</f>
        <v>5</v>
      </c>
      <c r="G2503" s="4">
        <f>IFERROR(__xludf.DUMMYFUNCTION("""COMPUTED_VALUE"""),1598.0)</f>
        <v>1598</v>
      </c>
      <c r="H2503" s="5">
        <f>IFERROR(__xludf.DUMMYFUNCTION("""COMPUTED_VALUE"""),730.62)</f>
        <v>730.62</v>
      </c>
      <c r="I2503" s="5">
        <f>IFERROR(__xludf.DUMMYFUNCTION("""COMPUTED_VALUE"""),4470.55)</f>
        <v>4470.55</v>
      </c>
      <c r="J2503" s="5">
        <f>IFERROR(__xludf.DUMMYFUNCTION("""COMPUTED_VALUE"""),7242.85)</f>
        <v>7242.85</v>
      </c>
      <c r="K2503" s="5">
        <f>IFERROR(__xludf.DUMMYFUNCTION("""COMPUTED_VALUE"""),1443.89)</f>
        <v>1443.89</v>
      </c>
      <c r="L2503" s="4">
        <f>IFERROR(__xludf.DUMMYFUNCTION("""COMPUTED_VALUE"""),1.0)</f>
        <v>1</v>
      </c>
      <c r="M2503" s="4">
        <f>IFERROR(__xludf.DUMMYFUNCTION("""COMPUTED_VALUE"""),15.0)</f>
        <v>15</v>
      </c>
      <c r="N2503" s="2" t="b">
        <f>IFERROR(__xludf.DUMMYFUNCTION("""COMPUTED_VALUE"""),FALSE)</f>
        <v>0</v>
      </c>
    </row>
    <row r="2504">
      <c r="A2504" s="2">
        <f>IFERROR(__xludf.DUMMYFUNCTION("""COMPUTED_VALUE"""),2503.0)</f>
        <v>2503</v>
      </c>
      <c r="B2504" s="2" t="str">
        <f>IFERROR(__xludf.DUMMYFUNCTION("""COMPUTED_VALUE"""),"Arlina Narramor")</f>
        <v>Arlina Narramor</v>
      </c>
      <c r="C2504" s="2" t="str">
        <f>IFERROR(__xludf.DUMMYFUNCTION("""COMPUTED_VALUE"""),"anarramordz@elpais.com")</f>
        <v>anarramordz@elpais.com</v>
      </c>
      <c r="D2504" s="4">
        <f>IFERROR(__xludf.DUMMYFUNCTION("""COMPUTED_VALUE"""),147.0)</f>
        <v>147</v>
      </c>
      <c r="E2504" s="4">
        <f>IFERROR(__xludf.DUMMYFUNCTION("""COMPUTED_VALUE"""),42.0)</f>
        <v>42</v>
      </c>
      <c r="F2504" s="4">
        <f>IFERROR(__xludf.DUMMYFUNCTION("""COMPUTED_VALUE"""),5.0)</f>
        <v>5</v>
      </c>
      <c r="G2504" s="4">
        <f>IFERROR(__xludf.DUMMYFUNCTION("""COMPUTED_VALUE"""),45.0)</f>
        <v>45</v>
      </c>
      <c r="H2504" s="5">
        <f>IFERROR(__xludf.DUMMYFUNCTION("""COMPUTED_VALUE"""),5503.71)</f>
        <v>5503.71</v>
      </c>
      <c r="I2504" s="5">
        <f>IFERROR(__xludf.DUMMYFUNCTION("""COMPUTED_VALUE"""),9451.59)</f>
        <v>9451.59</v>
      </c>
      <c r="J2504" s="5">
        <f>IFERROR(__xludf.DUMMYFUNCTION("""COMPUTED_VALUE"""),9566.39)</f>
        <v>9566.39</v>
      </c>
      <c r="K2504" s="5">
        <f>IFERROR(__xludf.DUMMYFUNCTION("""COMPUTED_VALUE"""),108.57)</f>
        <v>108.57</v>
      </c>
      <c r="L2504" s="4">
        <f>IFERROR(__xludf.DUMMYFUNCTION("""COMPUTED_VALUE"""),9.0)</f>
        <v>9</v>
      </c>
      <c r="M2504" s="4">
        <f>IFERROR(__xludf.DUMMYFUNCTION("""COMPUTED_VALUE"""),9.0)</f>
        <v>9</v>
      </c>
      <c r="N2504" s="2" t="b">
        <f>IFERROR(__xludf.DUMMYFUNCTION("""COMPUTED_VALUE"""),FALSE)</f>
        <v>0</v>
      </c>
    </row>
    <row r="2505">
      <c r="A2505" s="2">
        <f>IFERROR(__xludf.DUMMYFUNCTION("""COMPUTED_VALUE"""),2504.0)</f>
        <v>2504</v>
      </c>
      <c r="B2505" s="2" t="str">
        <f>IFERROR(__xludf.DUMMYFUNCTION("""COMPUTED_VALUE"""),"Brynna Callinan")</f>
        <v>Brynna Callinan</v>
      </c>
      <c r="C2505" s="2" t="str">
        <f>IFERROR(__xludf.DUMMYFUNCTION("""COMPUTED_VALUE"""),"bcallinane0@artisteer.com")</f>
        <v>bcallinane0@artisteer.com</v>
      </c>
      <c r="D2505" s="4">
        <f>IFERROR(__xludf.DUMMYFUNCTION("""COMPUTED_VALUE"""),150.0)</f>
        <v>150</v>
      </c>
      <c r="E2505" s="4">
        <f>IFERROR(__xludf.DUMMYFUNCTION("""COMPUTED_VALUE"""),15.0)</f>
        <v>15</v>
      </c>
      <c r="F2505" s="4">
        <f>IFERROR(__xludf.DUMMYFUNCTION("""COMPUTED_VALUE"""),3.0)</f>
        <v>3</v>
      </c>
      <c r="G2505" s="4">
        <f>IFERROR(__xludf.DUMMYFUNCTION("""COMPUTED_VALUE"""),1133.0)</f>
        <v>1133</v>
      </c>
      <c r="H2505" s="5">
        <f>IFERROR(__xludf.DUMMYFUNCTION("""COMPUTED_VALUE"""),9465.68)</f>
        <v>9465.68</v>
      </c>
      <c r="I2505" s="5">
        <f>IFERROR(__xludf.DUMMYFUNCTION("""COMPUTED_VALUE"""),6294.13)</f>
        <v>6294.13</v>
      </c>
      <c r="J2505" s="5">
        <f>IFERROR(__xludf.DUMMYFUNCTION("""COMPUTED_VALUE"""),3880.57)</f>
        <v>3880.57</v>
      </c>
      <c r="K2505" s="5">
        <f>IFERROR(__xludf.DUMMYFUNCTION("""COMPUTED_VALUE"""),8946.11)</f>
        <v>8946.11</v>
      </c>
      <c r="L2505" s="4">
        <f>IFERROR(__xludf.DUMMYFUNCTION("""COMPUTED_VALUE"""),18.0)</f>
        <v>18</v>
      </c>
      <c r="M2505" s="4">
        <f>IFERROR(__xludf.DUMMYFUNCTION("""COMPUTED_VALUE"""),43.0)</f>
        <v>43</v>
      </c>
      <c r="N2505" s="2" t="b">
        <f>IFERROR(__xludf.DUMMYFUNCTION("""COMPUTED_VALUE"""),FALSE)</f>
        <v>0</v>
      </c>
    </row>
    <row r="2506">
      <c r="A2506" s="2">
        <f>IFERROR(__xludf.DUMMYFUNCTION("""COMPUTED_VALUE"""),2505.0)</f>
        <v>2505</v>
      </c>
      <c r="B2506" s="2" t="str">
        <f>IFERROR(__xludf.DUMMYFUNCTION("""COMPUTED_VALUE"""),"Lynn Kirwood")</f>
        <v>Lynn Kirwood</v>
      </c>
      <c r="C2506" s="2"/>
      <c r="D2506" s="4">
        <f>IFERROR(__xludf.DUMMYFUNCTION("""COMPUTED_VALUE"""),106.0)</f>
        <v>106</v>
      </c>
      <c r="E2506" s="4">
        <f>IFERROR(__xludf.DUMMYFUNCTION("""COMPUTED_VALUE"""),37.0)</f>
        <v>37</v>
      </c>
      <c r="F2506" s="4">
        <f>IFERROR(__xludf.DUMMYFUNCTION("""COMPUTED_VALUE"""),6.0)</f>
        <v>6</v>
      </c>
      <c r="G2506" s="4">
        <f>IFERROR(__xludf.DUMMYFUNCTION("""COMPUTED_VALUE"""),1045.0)</f>
        <v>1045</v>
      </c>
      <c r="H2506" s="5">
        <f>IFERROR(__xludf.DUMMYFUNCTION("""COMPUTED_VALUE"""),5191.78)</f>
        <v>5191.78</v>
      </c>
      <c r="I2506" s="5">
        <f>IFERROR(__xludf.DUMMYFUNCTION("""COMPUTED_VALUE"""),7733.09)</f>
        <v>7733.09</v>
      </c>
      <c r="J2506" s="5">
        <f>IFERROR(__xludf.DUMMYFUNCTION("""COMPUTED_VALUE"""),7192.82)</f>
        <v>7192.82</v>
      </c>
      <c r="K2506" s="5">
        <f>IFERROR(__xludf.DUMMYFUNCTION("""COMPUTED_VALUE"""),2344.6)</f>
        <v>2344.6</v>
      </c>
      <c r="L2506" s="4">
        <f>IFERROR(__xludf.DUMMYFUNCTION("""COMPUTED_VALUE"""),16.0)</f>
        <v>16</v>
      </c>
      <c r="M2506" s="4">
        <f>IFERROR(__xludf.DUMMYFUNCTION("""COMPUTED_VALUE"""),40.0)</f>
        <v>40</v>
      </c>
      <c r="N2506" s="2" t="b">
        <f>IFERROR(__xludf.DUMMYFUNCTION("""COMPUTED_VALUE"""),FALSE)</f>
        <v>0</v>
      </c>
    </row>
    <row r="2507">
      <c r="A2507" s="2">
        <f>IFERROR(__xludf.DUMMYFUNCTION("""COMPUTED_VALUE"""),2506.0)</f>
        <v>2506</v>
      </c>
      <c r="B2507" s="2" t="str">
        <f>IFERROR(__xludf.DUMMYFUNCTION("""COMPUTED_VALUE"""),"Rosy Scannell")</f>
        <v>Rosy Scannell</v>
      </c>
      <c r="C2507" s="2"/>
      <c r="D2507" s="4">
        <f>IFERROR(__xludf.DUMMYFUNCTION("""COMPUTED_VALUE"""),69.0)</f>
        <v>69</v>
      </c>
      <c r="E2507" s="4">
        <f>IFERROR(__xludf.DUMMYFUNCTION("""COMPUTED_VALUE"""),1.0)</f>
        <v>1</v>
      </c>
      <c r="F2507" s="4">
        <f>IFERROR(__xludf.DUMMYFUNCTION("""COMPUTED_VALUE"""),5.0)</f>
        <v>5</v>
      </c>
      <c r="G2507" s="4">
        <f>IFERROR(__xludf.DUMMYFUNCTION("""COMPUTED_VALUE"""),858.0)</f>
        <v>858</v>
      </c>
      <c r="H2507" s="5">
        <f>IFERROR(__xludf.DUMMYFUNCTION("""COMPUTED_VALUE"""),3050.53)</f>
        <v>3050.53</v>
      </c>
      <c r="I2507" s="5">
        <f>IFERROR(__xludf.DUMMYFUNCTION("""COMPUTED_VALUE"""),3732.43)</f>
        <v>3732.43</v>
      </c>
      <c r="J2507" s="5">
        <f>IFERROR(__xludf.DUMMYFUNCTION("""COMPUTED_VALUE"""),7969.25)</f>
        <v>7969.25</v>
      </c>
      <c r="K2507" s="5">
        <f>IFERROR(__xludf.DUMMYFUNCTION("""COMPUTED_VALUE"""),7015.09)</f>
        <v>7015.09</v>
      </c>
      <c r="L2507" s="4">
        <f>IFERROR(__xludf.DUMMYFUNCTION("""COMPUTED_VALUE"""),15.0)</f>
        <v>15</v>
      </c>
      <c r="M2507" s="4">
        <f>IFERROR(__xludf.DUMMYFUNCTION("""COMPUTED_VALUE"""),67.0)</f>
        <v>67</v>
      </c>
      <c r="N2507" s="2" t="b">
        <f>IFERROR(__xludf.DUMMYFUNCTION("""COMPUTED_VALUE"""),FALSE)</f>
        <v>0</v>
      </c>
    </row>
    <row r="2508">
      <c r="A2508" s="2">
        <f>IFERROR(__xludf.DUMMYFUNCTION("""COMPUTED_VALUE"""),2507.0)</f>
        <v>2507</v>
      </c>
      <c r="B2508" s="2" t="str">
        <f>IFERROR(__xludf.DUMMYFUNCTION("""COMPUTED_VALUE"""),"Allsun Pugsley")</f>
        <v>Allsun Pugsley</v>
      </c>
      <c r="C2508" s="2" t="str">
        <f>IFERROR(__xludf.DUMMYFUNCTION("""COMPUTED_VALUE"""),"apugsleye3@bloomberg.com")</f>
        <v>apugsleye3@bloomberg.com</v>
      </c>
      <c r="D2508" s="4">
        <f>IFERROR(__xludf.DUMMYFUNCTION("""COMPUTED_VALUE"""),139.0)</f>
        <v>139</v>
      </c>
      <c r="E2508" s="4">
        <f>IFERROR(__xludf.DUMMYFUNCTION("""COMPUTED_VALUE"""),49.0)</f>
        <v>49</v>
      </c>
      <c r="F2508" s="4">
        <f>IFERROR(__xludf.DUMMYFUNCTION("""COMPUTED_VALUE"""),10.0)</f>
        <v>10</v>
      </c>
      <c r="G2508" s="4">
        <f>IFERROR(__xludf.DUMMYFUNCTION("""COMPUTED_VALUE"""),1382.0)</f>
        <v>1382</v>
      </c>
      <c r="H2508" s="5">
        <f>IFERROR(__xludf.DUMMYFUNCTION("""COMPUTED_VALUE"""),9298.93)</f>
        <v>9298.93</v>
      </c>
      <c r="I2508" s="5">
        <f>IFERROR(__xludf.DUMMYFUNCTION("""COMPUTED_VALUE"""),5553.73)</f>
        <v>5553.73</v>
      </c>
      <c r="J2508" s="5">
        <f>IFERROR(__xludf.DUMMYFUNCTION("""COMPUTED_VALUE"""),3516.37)</f>
        <v>3516.37</v>
      </c>
      <c r="K2508" s="5">
        <f>IFERROR(__xludf.DUMMYFUNCTION("""COMPUTED_VALUE"""),6972.89)</f>
        <v>6972.89</v>
      </c>
      <c r="L2508" s="4">
        <f>IFERROR(__xludf.DUMMYFUNCTION("""COMPUTED_VALUE"""),6.0)</f>
        <v>6</v>
      </c>
      <c r="M2508" s="4">
        <f>IFERROR(__xludf.DUMMYFUNCTION("""COMPUTED_VALUE"""),43.0)</f>
        <v>43</v>
      </c>
      <c r="N2508" s="2" t="b">
        <f>IFERROR(__xludf.DUMMYFUNCTION("""COMPUTED_VALUE"""),TRUE)</f>
        <v>1</v>
      </c>
    </row>
    <row r="2509">
      <c r="A2509" s="2">
        <f>IFERROR(__xludf.DUMMYFUNCTION("""COMPUTED_VALUE"""),2508.0)</f>
        <v>2508</v>
      </c>
      <c r="B2509" s="2" t="str">
        <f>IFERROR(__xludf.DUMMYFUNCTION("""COMPUTED_VALUE"""),"Cathlene Fouracres")</f>
        <v>Cathlene Fouracres</v>
      </c>
      <c r="C2509" s="2"/>
      <c r="D2509" s="4">
        <f>IFERROR(__xludf.DUMMYFUNCTION("""COMPUTED_VALUE"""),154.0)</f>
        <v>154</v>
      </c>
      <c r="E2509" s="4">
        <f>IFERROR(__xludf.DUMMYFUNCTION("""COMPUTED_VALUE"""),88.0)</f>
        <v>88</v>
      </c>
      <c r="F2509" s="4">
        <f>IFERROR(__xludf.DUMMYFUNCTION("""COMPUTED_VALUE"""),3.0)</f>
        <v>3</v>
      </c>
      <c r="G2509" s="4">
        <f>IFERROR(__xludf.DUMMYFUNCTION("""COMPUTED_VALUE"""),1192.0)</f>
        <v>1192</v>
      </c>
      <c r="H2509" s="5">
        <f>IFERROR(__xludf.DUMMYFUNCTION("""COMPUTED_VALUE"""),2285.88)</f>
        <v>2285.88</v>
      </c>
      <c r="I2509" s="5">
        <f>IFERROR(__xludf.DUMMYFUNCTION("""COMPUTED_VALUE"""),3880.79)</f>
        <v>3880.79</v>
      </c>
      <c r="J2509" s="5">
        <f>IFERROR(__xludf.DUMMYFUNCTION("""COMPUTED_VALUE"""),3809.23)</f>
        <v>3809.23</v>
      </c>
      <c r="K2509" s="5">
        <f>IFERROR(__xludf.DUMMYFUNCTION("""COMPUTED_VALUE"""),7182.53)</f>
        <v>7182.53</v>
      </c>
      <c r="L2509" s="4">
        <f>IFERROR(__xludf.DUMMYFUNCTION("""COMPUTED_VALUE"""),9.0)</f>
        <v>9</v>
      </c>
      <c r="M2509" s="4">
        <f>IFERROR(__xludf.DUMMYFUNCTION("""COMPUTED_VALUE"""),14.0)</f>
        <v>14</v>
      </c>
      <c r="N2509" s="2" t="b">
        <f>IFERROR(__xludf.DUMMYFUNCTION("""COMPUTED_VALUE"""),FALSE)</f>
        <v>0</v>
      </c>
    </row>
    <row r="2510">
      <c r="A2510" s="2">
        <f>IFERROR(__xludf.DUMMYFUNCTION("""COMPUTED_VALUE"""),2509.0)</f>
        <v>2509</v>
      </c>
      <c r="B2510" s="2" t="str">
        <f>IFERROR(__xludf.DUMMYFUNCTION("""COMPUTED_VALUE"""),"Marchelle Elson")</f>
        <v>Marchelle Elson</v>
      </c>
      <c r="C2510" s="2" t="str">
        <f>IFERROR(__xludf.DUMMYFUNCTION("""COMPUTED_VALUE"""),"melsone5@mediafire.com")</f>
        <v>melsone5@mediafire.com</v>
      </c>
      <c r="D2510" s="4">
        <f>IFERROR(__xludf.DUMMYFUNCTION("""COMPUTED_VALUE"""),8.0)</f>
        <v>8</v>
      </c>
      <c r="E2510" s="4">
        <f>IFERROR(__xludf.DUMMYFUNCTION("""COMPUTED_VALUE"""),115.0)</f>
        <v>115</v>
      </c>
      <c r="F2510" s="4">
        <f>IFERROR(__xludf.DUMMYFUNCTION("""COMPUTED_VALUE"""),5.0)</f>
        <v>5</v>
      </c>
      <c r="G2510" s="4">
        <f>IFERROR(__xludf.DUMMYFUNCTION("""COMPUTED_VALUE"""),645.0)</f>
        <v>645</v>
      </c>
      <c r="H2510" s="5">
        <f>IFERROR(__xludf.DUMMYFUNCTION("""COMPUTED_VALUE"""),9201.43)</f>
        <v>9201.43</v>
      </c>
      <c r="I2510" s="5">
        <f>IFERROR(__xludf.DUMMYFUNCTION("""COMPUTED_VALUE"""),8549.65)</f>
        <v>8549.65</v>
      </c>
      <c r="J2510" s="5">
        <f>IFERROR(__xludf.DUMMYFUNCTION("""COMPUTED_VALUE"""),613.74)</f>
        <v>613.74</v>
      </c>
      <c r="K2510" s="5">
        <f>IFERROR(__xludf.DUMMYFUNCTION("""COMPUTED_VALUE"""),3399.46)</f>
        <v>3399.46</v>
      </c>
      <c r="L2510" s="4">
        <f>IFERROR(__xludf.DUMMYFUNCTION("""COMPUTED_VALUE"""),2.0)</f>
        <v>2</v>
      </c>
      <c r="M2510" s="4">
        <f>IFERROR(__xludf.DUMMYFUNCTION("""COMPUTED_VALUE"""),43.0)</f>
        <v>43</v>
      </c>
      <c r="N2510" s="2" t="b">
        <f>IFERROR(__xludf.DUMMYFUNCTION("""COMPUTED_VALUE"""),FALSE)</f>
        <v>0</v>
      </c>
    </row>
    <row r="2511">
      <c r="A2511" s="2">
        <f>IFERROR(__xludf.DUMMYFUNCTION("""COMPUTED_VALUE"""),2510.0)</f>
        <v>2510</v>
      </c>
      <c r="B2511" s="2" t="str">
        <f>IFERROR(__xludf.DUMMYFUNCTION("""COMPUTED_VALUE"""),"Krispin McGrale")</f>
        <v>Krispin McGrale</v>
      </c>
      <c r="C2511" s="2"/>
      <c r="D2511" s="4">
        <f>IFERROR(__xludf.DUMMYFUNCTION("""COMPUTED_VALUE"""),119.0)</f>
        <v>119</v>
      </c>
      <c r="E2511" s="4">
        <f>IFERROR(__xludf.DUMMYFUNCTION("""COMPUTED_VALUE"""),18.0)</f>
        <v>18</v>
      </c>
      <c r="F2511" s="4">
        <f>IFERROR(__xludf.DUMMYFUNCTION("""COMPUTED_VALUE"""),4.0)</f>
        <v>4</v>
      </c>
      <c r="G2511" s="4">
        <f>IFERROR(__xludf.DUMMYFUNCTION("""COMPUTED_VALUE"""),772.0)</f>
        <v>772</v>
      </c>
      <c r="H2511" s="5">
        <f>IFERROR(__xludf.DUMMYFUNCTION("""COMPUTED_VALUE"""),9214.86)</f>
        <v>9214.86</v>
      </c>
      <c r="I2511" s="5">
        <f>IFERROR(__xludf.DUMMYFUNCTION("""COMPUTED_VALUE"""),1103.43)</f>
        <v>1103.43</v>
      </c>
      <c r="J2511" s="5">
        <f>IFERROR(__xludf.DUMMYFUNCTION("""COMPUTED_VALUE"""),9318.34)</f>
        <v>9318.34</v>
      </c>
      <c r="K2511" s="5">
        <f>IFERROR(__xludf.DUMMYFUNCTION("""COMPUTED_VALUE"""),8204.63)</f>
        <v>8204.63</v>
      </c>
      <c r="L2511" s="4">
        <f>IFERROR(__xludf.DUMMYFUNCTION("""COMPUTED_VALUE"""),6.0)</f>
        <v>6</v>
      </c>
      <c r="M2511" s="4">
        <f>IFERROR(__xludf.DUMMYFUNCTION("""COMPUTED_VALUE"""),36.0)</f>
        <v>36</v>
      </c>
      <c r="N2511" s="2" t="b">
        <f>IFERROR(__xludf.DUMMYFUNCTION("""COMPUTED_VALUE"""),TRUE)</f>
        <v>1</v>
      </c>
    </row>
    <row r="2512">
      <c r="A2512" s="2">
        <f>IFERROR(__xludf.DUMMYFUNCTION("""COMPUTED_VALUE"""),2511.0)</f>
        <v>2511</v>
      </c>
      <c r="B2512" s="2" t="str">
        <f>IFERROR(__xludf.DUMMYFUNCTION("""COMPUTED_VALUE"""),"Nicolais Cossem")</f>
        <v>Nicolais Cossem</v>
      </c>
      <c r="C2512" s="2"/>
      <c r="D2512" s="4">
        <f>IFERROR(__xludf.DUMMYFUNCTION("""COMPUTED_VALUE"""),5.0)</f>
        <v>5</v>
      </c>
      <c r="E2512" s="4">
        <f>IFERROR(__xludf.DUMMYFUNCTION("""COMPUTED_VALUE"""),13.0)</f>
        <v>13</v>
      </c>
      <c r="F2512" s="4">
        <f>IFERROR(__xludf.DUMMYFUNCTION("""COMPUTED_VALUE"""),9.0)</f>
        <v>9</v>
      </c>
      <c r="G2512" s="4">
        <f>IFERROR(__xludf.DUMMYFUNCTION("""COMPUTED_VALUE"""),348.0)</f>
        <v>348</v>
      </c>
      <c r="H2512" s="5">
        <f>IFERROR(__xludf.DUMMYFUNCTION("""COMPUTED_VALUE"""),9975.59)</f>
        <v>9975.59</v>
      </c>
      <c r="I2512" s="5">
        <f>IFERROR(__xludf.DUMMYFUNCTION("""COMPUTED_VALUE"""),8259.51)</f>
        <v>8259.51</v>
      </c>
      <c r="J2512" s="5">
        <f>IFERROR(__xludf.DUMMYFUNCTION("""COMPUTED_VALUE"""),2797.94)</f>
        <v>2797.94</v>
      </c>
      <c r="K2512" s="5">
        <f>IFERROR(__xludf.DUMMYFUNCTION("""COMPUTED_VALUE"""),3946.0)</f>
        <v>3946</v>
      </c>
      <c r="L2512" s="4">
        <f>IFERROR(__xludf.DUMMYFUNCTION("""COMPUTED_VALUE"""),6.0)</f>
        <v>6</v>
      </c>
      <c r="M2512" s="4">
        <f>IFERROR(__xludf.DUMMYFUNCTION("""COMPUTED_VALUE"""),44.0)</f>
        <v>44</v>
      </c>
      <c r="N2512" s="2" t="b">
        <f>IFERROR(__xludf.DUMMYFUNCTION("""COMPUTED_VALUE"""),TRUE)</f>
        <v>1</v>
      </c>
    </row>
    <row r="2513">
      <c r="A2513" s="2">
        <f>IFERROR(__xludf.DUMMYFUNCTION("""COMPUTED_VALUE"""),2512.0)</f>
        <v>2512</v>
      </c>
      <c r="B2513" s="2" t="str">
        <f>IFERROR(__xludf.DUMMYFUNCTION("""COMPUTED_VALUE"""),"Guinevere Stitle")</f>
        <v>Guinevere Stitle</v>
      </c>
      <c r="C2513" s="2"/>
      <c r="D2513" s="4">
        <f>IFERROR(__xludf.DUMMYFUNCTION("""COMPUTED_VALUE"""),36.0)</f>
        <v>36</v>
      </c>
      <c r="E2513" s="4">
        <f>IFERROR(__xludf.DUMMYFUNCTION("""COMPUTED_VALUE"""),81.0)</f>
        <v>81</v>
      </c>
      <c r="F2513" s="4">
        <f>IFERROR(__xludf.DUMMYFUNCTION("""COMPUTED_VALUE"""),1.0)</f>
        <v>1</v>
      </c>
      <c r="G2513" s="4">
        <f>IFERROR(__xludf.DUMMYFUNCTION("""COMPUTED_VALUE"""),878.0)</f>
        <v>878</v>
      </c>
      <c r="H2513" s="5">
        <f>IFERROR(__xludf.DUMMYFUNCTION("""COMPUTED_VALUE"""),4330.92)</f>
        <v>4330.92</v>
      </c>
      <c r="I2513" s="5">
        <f>IFERROR(__xludf.DUMMYFUNCTION("""COMPUTED_VALUE"""),5044.26)</f>
        <v>5044.26</v>
      </c>
      <c r="J2513" s="5">
        <f>IFERROR(__xludf.DUMMYFUNCTION("""COMPUTED_VALUE"""),7920.45)</f>
        <v>7920.45</v>
      </c>
      <c r="K2513" s="5">
        <f>IFERROR(__xludf.DUMMYFUNCTION("""COMPUTED_VALUE"""),2714.47)</f>
        <v>2714.47</v>
      </c>
      <c r="L2513" s="4">
        <f>IFERROR(__xludf.DUMMYFUNCTION("""COMPUTED_VALUE"""),3.0)</f>
        <v>3</v>
      </c>
      <c r="M2513" s="4">
        <f>IFERROR(__xludf.DUMMYFUNCTION("""COMPUTED_VALUE"""),72.0)</f>
        <v>72</v>
      </c>
      <c r="N2513" s="2" t="b">
        <f>IFERROR(__xludf.DUMMYFUNCTION("""COMPUTED_VALUE"""),TRUE)</f>
        <v>1</v>
      </c>
    </row>
    <row r="2514">
      <c r="A2514" s="2">
        <f>IFERROR(__xludf.DUMMYFUNCTION("""COMPUTED_VALUE"""),2513.0)</f>
        <v>2513</v>
      </c>
      <c r="B2514" s="2" t="str">
        <f>IFERROR(__xludf.DUMMYFUNCTION("""COMPUTED_VALUE"""),"Jacklin Crips")</f>
        <v>Jacklin Crips</v>
      </c>
      <c r="C2514" s="2" t="str">
        <f>IFERROR(__xludf.DUMMYFUNCTION("""COMPUTED_VALUE"""),"jcripse9@reuters.com")</f>
        <v>jcripse9@reuters.com</v>
      </c>
      <c r="D2514" s="4">
        <f>IFERROR(__xludf.DUMMYFUNCTION("""COMPUTED_VALUE"""),30.0)</f>
        <v>30</v>
      </c>
      <c r="E2514" s="4">
        <f>IFERROR(__xludf.DUMMYFUNCTION("""COMPUTED_VALUE"""),86.0)</f>
        <v>86</v>
      </c>
      <c r="F2514" s="4">
        <f>IFERROR(__xludf.DUMMYFUNCTION("""COMPUTED_VALUE"""),9.0)</f>
        <v>9</v>
      </c>
      <c r="G2514" s="4">
        <f>IFERROR(__xludf.DUMMYFUNCTION("""COMPUTED_VALUE"""),572.0)</f>
        <v>572</v>
      </c>
      <c r="H2514" s="5">
        <f>IFERROR(__xludf.DUMMYFUNCTION("""COMPUTED_VALUE"""),1012.33)</f>
        <v>1012.33</v>
      </c>
      <c r="I2514" s="5">
        <f>IFERROR(__xludf.DUMMYFUNCTION("""COMPUTED_VALUE"""),6861.78)</f>
        <v>6861.78</v>
      </c>
      <c r="J2514" s="5">
        <f>IFERROR(__xludf.DUMMYFUNCTION("""COMPUTED_VALUE"""),86.84)</f>
        <v>86.84</v>
      </c>
      <c r="K2514" s="5">
        <f>IFERROR(__xludf.DUMMYFUNCTION("""COMPUTED_VALUE"""),8125.03)</f>
        <v>8125.03</v>
      </c>
      <c r="L2514" s="4">
        <f>IFERROR(__xludf.DUMMYFUNCTION("""COMPUTED_VALUE"""),15.0)</f>
        <v>15</v>
      </c>
      <c r="M2514" s="4">
        <f>IFERROR(__xludf.DUMMYFUNCTION("""COMPUTED_VALUE"""),69.0)</f>
        <v>69</v>
      </c>
      <c r="N2514" s="2" t="b">
        <f>IFERROR(__xludf.DUMMYFUNCTION("""COMPUTED_VALUE"""),TRUE)</f>
        <v>1</v>
      </c>
    </row>
    <row r="2515">
      <c r="A2515" s="2">
        <f>IFERROR(__xludf.DUMMYFUNCTION("""COMPUTED_VALUE"""),2514.0)</f>
        <v>2514</v>
      </c>
      <c r="B2515" s="2" t="str">
        <f>IFERROR(__xludf.DUMMYFUNCTION("""COMPUTED_VALUE"""),"Gerald Kleimt")</f>
        <v>Gerald Kleimt</v>
      </c>
      <c r="C2515" s="2"/>
      <c r="D2515" s="4">
        <f>IFERROR(__xludf.DUMMYFUNCTION("""COMPUTED_VALUE"""),103.0)</f>
        <v>103</v>
      </c>
      <c r="E2515" s="4">
        <f>IFERROR(__xludf.DUMMYFUNCTION("""COMPUTED_VALUE"""),58.0)</f>
        <v>58</v>
      </c>
      <c r="F2515" s="4">
        <f>IFERROR(__xludf.DUMMYFUNCTION("""COMPUTED_VALUE"""),9.0)</f>
        <v>9</v>
      </c>
      <c r="G2515" s="4">
        <f>IFERROR(__xludf.DUMMYFUNCTION("""COMPUTED_VALUE"""),121.0)</f>
        <v>121</v>
      </c>
      <c r="H2515" s="5">
        <f>IFERROR(__xludf.DUMMYFUNCTION("""COMPUTED_VALUE"""),2163.33)</f>
        <v>2163.33</v>
      </c>
      <c r="I2515" s="5">
        <f>IFERROR(__xludf.DUMMYFUNCTION("""COMPUTED_VALUE"""),3668.87)</f>
        <v>3668.87</v>
      </c>
      <c r="J2515" s="5">
        <f>IFERROR(__xludf.DUMMYFUNCTION("""COMPUTED_VALUE"""),6842.45)</f>
        <v>6842.45</v>
      </c>
      <c r="K2515" s="5">
        <f>IFERROR(__xludf.DUMMYFUNCTION("""COMPUTED_VALUE"""),8419.46)</f>
        <v>8419.46</v>
      </c>
      <c r="L2515" s="4">
        <f>IFERROR(__xludf.DUMMYFUNCTION("""COMPUTED_VALUE"""),9.0)</f>
        <v>9</v>
      </c>
      <c r="M2515" s="4">
        <f>IFERROR(__xludf.DUMMYFUNCTION("""COMPUTED_VALUE"""),49.0)</f>
        <v>49</v>
      </c>
      <c r="N2515" s="2" t="b">
        <f>IFERROR(__xludf.DUMMYFUNCTION("""COMPUTED_VALUE"""),TRUE)</f>
        <v>1</v>
      </c>
    </row>
    <row r="2516">
      <c r="A2516" s="2">
        <f>IFERROR(__xludf.DUMMYFUNCTION("""COMPUTED_VALUE"""),2515.0)</f>
        <v>2515</v>
      </c>
      <c r="B2516" s="2" t="str">
        <f>IFERROR(__xludf.DUMMYFUNCTION("""COMPUTED_VALUE"""),"Terri Spaight")</f>
        <v>Terri Spaight</v>
      </c>
      <c r="C2516" s="2" t="str">
        <f>IFERROR(__xludf.DUMMYFUNCTION("""COMPUTED_VALUE"""),"tspaighteb@nytimes.com")</f>
        <v>tspaighteb@nytimes.com</v>
      </c>
      <c r="D2516" s="4">
        <f>IFERROR(__xludf.DUMMYFUNCTION("""COMPUTED_VALUE"""),112.0)</f>
        <v>112</v>
      </c>
      <c r="E2516" s="4">
        <f>IFERROR(__xludf.DUMMYFUNCTION("""COMPUTED_VALUE"""),91.0)</f>
        <v>91</v>
      </c>
      <c r="F2516" s="4">
        <f>IFERROR(__xludf.DUMMYFUNCTION("""COMPUTED_VALUE"""),1.0)</f>
        <v>1</v>
      </c>
      <c r="G2516" s="4">
        <f>IFERROR(__xludf.DUMMYFUNCTION("""COMPUTED_VALUE"""),676.0)</f>
        <v>676</v>
      </c>
      <c r="H2516" s="5">
        <f>IFERROR(__xludf.DUMMYFUNCTION("""COMPUTED_VALUE"""),9028.96)</f>
        <v>9028.96</v>
      </c>
      <c r="I2516" s="5">
        <f>IFERROR(__xludf.DUMMYFUNCTION("""COMPUTED_VALUE"""),2019.85)</f>
        <v>2019.85</v>
      </c>
      <c r="J2516" s="5">
        <f>IFERROR(__xludf.DUMMYFUNCTION("""COMPUTED_VALUE"""),8648.56)</f>
        <v>8648.56</v>
      </c>
      <c r="K2516" s="5">
        <f>IFERROR(__xludf.DUMMYFUNCTION("""COMPUTED_VALUE"""),662.8)</f>
        <v>662.8</v>
      </c>
      <c r="L2516" s="4">
        <f>IFERROR(__xludf.DUMMYFUNCTION("""COMPUTED_VALUE"""),3.0)</f>
        <v>3</v>
      </c>
      <c r="M2516" s="4">
        <f>IFERROR(__xludf.DUMMYFUNCTION("""COMPUTED_VALUE"""),23.0)</f>
        <v>23</v>
      </c>
      <c r="N2516" s="2" t="b">
        <f>IFERROR(__xludf.DUMMYFUNCTION("""COMPUTED_VALUE"""),TRUE)</f>
        <v>1</v>
      </c>
    </row>
    <row r="2517">
      <c r="A2517" s="2">
        <f>IFERROR(__xludf.DUMMYFUNCTION("""COMPUTED_VALUE"""),2516.0)</f>
        <v>2516</v>
      </c>
      <c r="B2517" s="2" t="str">
        <f>IFERROR(__xludf.DUMMYFUNCTION("""COMPUTED_VALUE"""),"Wendye Cordobes")</f>
        <v>Wendye Cordobes</v>
      </c>
      <c r="C2517" s="2"/>
      <c r="D2517" s="4">
        <f>IFERROR(__xludf.DUMMYFUNCTION("""COMPUTED_VALUE"""),154.0)</f>
        <v>154</v>
      </c>
      <c r="E2517" s="4">
        <f>IFERROR(__xludf.DUMMYFUNCTION("""COMPUTED_VALUE"""),17.0)</f>
        <v>17</v>
      </c>
      <c r="F2517" s="4">
        <f>IFERROR(__xludf.DUMMYFUNCTION("""COMPUTED_VALUE"""),3.0)</f>
        <v>3</v>
      </c>
      <c r="G2517" s="4">
        <f>IFERROR(__xludf.DUMMYFUNCTION("""COMPUTED_VALUE"""),1596.0)</f>
        <v>1596</v>
      </c>
      <c r="H2517" s="5">
        <f>IFERROR(__xludf.DUMMYFUNCTION("""COMPUTED_VALUE"""),7440.96)</f>
        <v>7440.96</v>
      </c>
      <c r="I2517" s="5">
        <f>IFERROR(__xludf.DUMMYFUNCTION("""COMPUTED_VALUE"""),1836.73)</f>
        <v>1836.73</v>
      </c>
      <c r="J2517" s="5">
        <f>IFERROR(__xludf.DUMMYFUNCTION("""COMPUTED_VALUE"""),4998.65)</f>
        <v>4998.65</v>
      </c>
      <c r="K2517" s="5">
        <f>IFERROR(__xludf.DUMMYFUNCTION("""COMPUTED_VALUE"""),3534.44)</f>
        <v>3534.44</v>
      </c>
      <c r="L2517" s="4">
        <f>IFERROR(__xludf.DUMMYFUNCTION("""COMPUTED_VALUE"""),9.0)</f>
        <v>9</v>
      </c>
      <c r="M2517" s="4">
        <f>IFERROR(__xludf.DUMMYFUNCTION("""COMPUTED_VALUE"""),1.0)</f>
        <v>1</v>
      </c>
      <c r="N2517" s="2" t="b">
        <f>IFERROR(__xludf.DUMMYFUNCTION("""COMPUTED_VALUE"""),FALSE)</f>
        <v>0</v>
      </c>
    </row>
    <row r="2518">
      <c r="A2518" s="2">
        <f>IFERROR(__xludf.DUMMYFUNCTION("""COMPUTED_VALUE"""),2517.0)</f>
        <v>2517</v>
      </c>
      <c r="B2518" s="2" t="str">
        <f>IFERROR(__xludf.DUMMYFUNCTION("""COMPUTED_VALUE"""),"Sammy McGrath")</f>
        <v>Sammy McGrath</v>
      </c>
      <c r="C2518" s="2"/>
      <c r="D2518" s="4">
        <f>IFERROR(__xludf.DUMMYFUNCTION("""COMPUTED_VALUE"""),35.0)</f>
        <v>35</v>
      </c>
      <c r="E2518" s="4">
        <f>IFERROR(__xludf.DUMMYFUNCTION("""COMPUTED_VALUE"""),124.0)</f>
        <v>124</v>
      </c>
      <c r="F2518" s="4">
        <f>IFERROR(__xludf.DUMMYFUNCTION("""COMPUTED_VALUE"""),5.0)</f>
        <v>5</v>
      </c>
      <c r="G2518" s="4">
        <f>IFERROR(__xludf.DUMMYFUNCTION("""COMPUTED_VALUE"""),1345.0)</f>
        <v>1345</v>
      </c>
      <c r="H2518" s="5">
        <f>IFERROR(__xludf.DUMMYFUNCTION("""COMPUTED_VALUE"""),3044.82)</f>
        <v>3044.82</v>
      </c>
      <c r="I2518" s="5">
        <f>IFERROR(__xludf.DUMMYFUNCTION("""COMPUTED_VALUE"""),4826.07)</f>
        <v>4826.07</v>
      </c>
      <c r="J2518" s="5">
        <f>IFERROR(__xludf.DUMMYFUNCTION("""COMPUTED_VALUE"""),6805.63)</f>
        <v>6805.63</v>
      </c>
      <c r="K2518" s="5">
        <f>IFERROR(__xludf.DUMMYFUNCTION("""COMPUTED_VALUE"""),2814.25)</f>
        <v>2814.25</v>
      </c>
      <c r="L2518" s="4">
        <f>IFERROR(__xludf.DUMMYFUNCTION("""COMPUTED_VALUE"""),10.0)</f>
        <v>10</v>
      </c>
      <c r="M2518" s="4">
        <f>IFERROR(__xludf.DUMMYFUNCTION("""COMPUTED_VALUE"""),3.0)</f>
        <v>3</v>
      </c>
      <c r="N2518" s="2" t="b">
        <f>IFERROR(__xludf.DUMMYFUNCTION("""COMPUTED_VALUE"""),FALSE)</f>
        <v>0</v>
      </c>
    </row>
    <row r="2519">
      <c r="A2519" s="2">
        <f>IFERROR(__xludf.DUMMYFUNCTION("""COMPUTED_VALUE"""),2518.0)</f>
        <v>2518</v>
      </c>
      <c r="B2519" s="2" t="str">
        <f>IFERROR(__xludf.DUMMYFUNCTION("""COMPUTED_VALUE"""),"Ingeborg Brundrett")</f>
        <v>Ingeborg Brundrett</v>
      </c>
      <c r="C2519" s="2" t="str">
        <f>IFERROR(__xludf.DUMMYFUNCTION("""COMPUTED_VALUE"""),"ibrundrettee@wikispaces.com")</f>
        <v>ibrundrettee@wikispaces.com</v>
      </c>
      <c r="D2519" s="4">
        <f>IFERROR(__xludf.DUMMYFUNCTION("""COMPUTED_VALUE"""),93.0)</f>
        <v>93</v>
      </c>
      <c r="E2519" s="4">
        <f>IFERROR(__xludf.DUMMYFUNCTION("""COMPUTED_VALUE"""),41.0)</f>
        <v>41</v>
      </c>
      <c r="F2519" s="4">
        <f>IFERROR(__xludf.DUMMYFUNCTION("""COMPUTED_VALUE"""),10.0)</f>
        <v>10</v>
      </c>
      <c r="G2519" s="4">
        <f>IFERROR(__xludf.DUMMYFUNCTION("""COMPUTED_VALUE"""),158.0)</f>
        <v>158</v>
      </c>
      <c r="H2519" s="5">
        <f>IFERROR(__xludf.DUMMYFUNCTION("""COMPUTED_VALUE"""),5924.53)</f>
        <v>5924.53</v>
      </c>
      <c r="I2519" s="5">
        <f>IFERROR(__xludf.DUMMYFUNCTION("""COMPUTED_VALUE"""),3596.61)</f>
        <v>3596.61</v>
      </c>
      <c r="J2519" s="5">
        <f>IFERROR(__xludf.DUMMYFUNCTION("""COMPUTED_VALUE"""),7988.26)</f>
        <v>7988.26</v>
      </c>
      <c r="K2519" s="5">
        <f>IFERROR(__xludf.DUMMYFUNCTION("""COMPUTED_VALUE"""),317.68)</f>
        <v>317.68</v>
      </c>
      <c r="L2519" s="4">
        <f>IFERROR(__xludf.DUMMYFUNCTION("""COMPUTED_VALUE"""),20.0)</f>
        <v>20</v>
      </c>
      <c r="M2519" s="4">
        <f>IFERROR(__xludf.DUMMYFUNCTION("""COMPUTED_VALUE"""),41.0)</f>
        <v>41</v>
      </c>
      <c r="N2519" s="2" t="b">
        <f>IFERROR(__xludf.DUMMYFUNCTION("""COMPUTED_VALUE"""),TRUE)</f>
        <v>1</v>
      </c>
    </row>
    <row r="2520">
      <c r="A2520" s="2">
        <f>IFERROR(__xludf.DUMMYFUNCTION("""COMPUTED_VALUE"""),2519.0)</f>
        <v>2519</v>
      </c>
      <c r="B2520" s="2" t="str">
        <f>IFERROR(__xludf.DUMMYFUNCTION("""COMPUTED_VALUE"""),"Rowe Danelutti")</f>
        <v>Rowe Danelutti</v>
      </c>
      <c r="C2520" s="2" t="str">
        <f>IFERROR(__xludf.DUMMYFUNCTION("""COMPUTED_VALUE"""),"rdaneluttief@time.com")</f>
        <v>rdaneluttief@time.com</v>
      </c>
      <c r="D2520" s="4">
        <f>IFERROR(__xludf.DUMMYFUNCTION("""COMPUTED_VALUE"""),104.0)</f>
        <v>104</v>
      </c>
      <c r="E2520" s="4">
        <f>IFERROR(__xludf.DUMMYFUNCTION("""COMPUTED_VALUE"""),35.0)</f>
        <v>35</v>
      </c>
      <c r="F2520" s="4">
        <f>IFERROR(__xludf.DUMMYFUNCTION("""COMPUTED_VALUE"""),1.0)</f>
        <v>1</v>
      </c>
      <c r="G2520" s="4">
        <f>IFERROR(__xludf.DUMMYFUNCTION("""COMPUTED_VALUE"""),1067.0)</f>
        <v>1067</v>
      </c>
      <c r="H2520" s="5">
        <f>IFERROR(__xludf.DUMMYFUNCTION("""COMPUTED_VALUE"""),1359.82)</f>
        <v>1359.82</v>
      </c>
      <c r="I2520" s="5">
        <f>IFERROR(__xludf.DUMMYFUNCTION("""COMPUTED_VALUE"""),122.99)</f>
        <v>122.99</v>
      </c>
      <c r="J2520" s="5">
        <f>IFERROR(__xludf.DUMMYFUNCTION("""COMPUTED_VALUE"""),7473.13)</f>
        <v>7473.13</v>
      </c>
      <c r="K2520" s="5">
        <f>IFERROR(__xludf.DUMMYFUNCTION("""COMPUTED_VALUE"""),9456.85)</f>
        <v>9456.85</v>
      </c>
      <c r="L2520" s="4">
        <f>IFERROR(__xludf.DUMMYFUNCTION("""COMPUTED_VALUE"""),5.0)</f>
        <v>5</v>
      </c>
      <c r="M2520" s="4">
        <f>IFERROR(__xludf.DUMMYFUNCTION("""COMPUTED_VALUE"""),52.0)</f>
        <v>52</v>
      </c>
      <c r="N2520" s="2" t="b">
        <f>IFERROR(__xludf.DUMMYFUNCTION("""COMPUTED_VALUE"""),FALSE)</f>
        <v>0</v>
      </c>
    </row>
    <row r="2521">
      <c r="A2521" s="2">
        <f>IFERROR(__xludf.DUMMYFUNCTION("""COMPUTED_VALUE"""),2520.0)</f>
        <v>2520</v>
      </c>
      <c r="B2521" s="2" t="str">
        <f>IFERROR(__xludf.DUMMYFUNCTION("""COMPUTED_VALUE"""),"Donnie Rignall")</f>
        <v>Donnie Rignall</v>
      </c>
      <c r="C2521" s="2"/>
      <c r="D2521" s="4">
        <f>IFERROR(__xludf.DUMMYFUNCTION("""COMPUTED_VALUE"""),77.0)</f>
        <v>77</v>
      </c>
      <c r="E2521" s="4">
        <f>IFERROR(__xludf.DUMMYFUNCTION("""COMPUTED_VALUE"""),52.0)</f>
        <v>52</v>
      </c>
      <c r="F2521" s="4">
        <f>IFERROR(__xludf.DUMMYFUNCTION("""COMPUTED_VALUE"""),8.0)</f>
        <v>8</v>
      </c>
      <c r="G2521" s="4">
        <f>IFERROR(__xludf.DUMMYFUNCTION("""COMPUTED_VALUE"""),1395.0)</f>
        <v>1395</v>
      </c>
      <c r="H2521" s="5">
        <f>IFERROR(__xludf.DUMMYFUNCTION("""COMPUTED_VALUE"""),7521.59)</f>
        <v>7521.59</v>
      </c>
      <c r="I2521" s="5">
        <f>IFERROR(__xludf.DUMMYFUNCTION("""COMPUTED_VALUE"""),2521.25)</f>
        <v>2521.25</v>
      </c>
      <c r="J2521" s="5">
        <f>IFERROR(__xludf.DUMMYFUNCTION("""COMPUTED_VALUE"""),2756.35)</f>
        <v>2756.35</v>
      </c>
      <c r="K2521" s="5">
        <f>IFERROR(__xludf.DUMMYFUNCTION("""COMPUTED_VALUE"""),561.58)</f>
        <v>561.58</v>
      </c>
      <c r="L2521" s="4">
        <f>IFERROR(__xludf.DUMMYFUNCTION("""COMPUTED_VALUE"""),9.0)</f>
        <v>9</v>
      </c>
      <c r="M2521" s="4">
        <f>IFERROR(__xludf.DUMMYFUNCTION("""COMPUTED_VALUE"""),51.0)</f>
        <v>51</v>
      </c>
      <c r="N2521" s="2" t="b">
        <f>IFERROR(__xludf.DUMMYFUNCTION("""COMPUTED_VALUE"""),TRUE)</f>
        <v>1</v>
      </c>
    </row>
    <row r="2522">
      <c r="A2522" s="2">
        <f>IFERROR(__xludf.DUMMYFUNCTION("""COMPUTED_VALUE"""),2521.0)</f>
        <v>2521</v>
      </c>
      <c r="B2522" s="2" t="str">
        <f>IFERROR(__xludf.DUMMYFUNCTION("""COMPUTED_VALUE"""),"Phaidra Firmager")</f>
        <v>Phaidra Firmager</v>
      </c>
      <c r="C2522" s="2" t="str">
        <f>IFERROR(__xludf.DUMMYFUNCTION("""COMPUTED_VALUE"""),"pfirmagereh@irs.gov")</f>
        <v>pfirmagereh@irs.gov</v>
      </c>
      <c r="D2522" s="4">
        <f>IFERROR(__xludf.DUMMYFUNCTION("""COMPUTED_VALUE"""),93.0)</f>
        <v>93</v>
      </c>
      <c r="E2522" s="4">
        <f>IFERROR(__xludf.DUMMYFUNCTION("""COMPUTED_VALUE"""),23.0)</f>
        <v>23</v>
      </c>
      <c r="F2522" s="4">
        <f>IFERROR(__xludf.DUMMYFUNCTION("""COMPUTED_VALUE"""),11.0)</f>
        <v>11</v>
      </c>
      <c r="G2522" s="4">
        <f>IFERROR(__xludf.DUMMYFUNCTION("""COMPUTED_VALUE"""),723.0)</f>
        <v>723</v>
      </c>
      <c r="H2522" s="5">
        <f>IFERROR(__xludf.DUMMYFUNCTION("""COMPUTED_VALUE"""),3728.67)</f>
        <v>3728.67</v>
      </c>
      <c r="I2522" s="5">
        <f>IFERROR(__xludf.DUMMYFUNCTION("""COMPUTED_VALUE"""),3723.79)</f>
        <v>3723.79</v>
      </c>
      <c r="J2522" s="5">
        <f>IFERROR(__xludf.DUMMYFUNCTION("""COMPUTED_VALUE"""),4219.07)</f>
        <v>4219.07</v>
      </c>
      <c r="K2522" s="5">
        <f>IFERROR(__xludf.DUMMYFUNCTION("""COMPUTED_VALUE"""),5049.43)</f>
        <v>5049.43</v>
      </c>
      <c r="L2522" s="4">
        <f>IFERROR(__xludf.DUMMYFUNCTION("""COMPUTED_VALUE"""),9.0)</f>
        <v>9</v>
      </c>
      <c r="M2522" s="4">
        <f>IFERROR(__xludf.DUMMYFUNCTION("""COMPUTED_VALUE"""),95.0)</f>
        <v>95</v>
      </c>
      <c r="N2522" s="2" t="b">
        <f>IFERROR(__xludf.DUMMYFUNCTION("""COMPUTED_VALUE"""),FALSE)</f>
        <v>0</v>
      </c>
    </row>
    <row r="2523">
      <c r="A2523" s="2">
        <f>IFERROR(__xludf.DUMMYFUNCTION("""COMPUTED_VALUE"""),2522.0)</f>
        <v>2522</v>
      </c>
      <c r="B2523" s="2" t="str">
        <f>IFERROR(__xludf.DUMMYFUNCTION("""COMPUTED_VALUE"""),"Serena Joanic")</f>
        <v>Serena Joanic</v>
      </c>
      <c r="C2523" s="2" t="str">
        <f>IFERROR(__xludf.DUMMYFUNCTION("""COMPUTED_VALUE"""),"sjoanicei@51.la")</f>
        <v>sjoanicei@51.la</v>
      </c>
      <c r="D2523" s="4">
        <f>IFERROR(__xludf.DUMMYFUNCTION("""COMPUTED_VALUE"""),130.0)</f>
        <v>130</v>
      </c>
      <c r="E2523" s="4">
        <f>IFERROR(__xludf.DUMMYFUNCTION("""COMPUTED_VALUE"""),71.0)</f>
        <v>71</v>
      </c>
      <c r="F2523" s="4">
        <f>IFERROR(__xludf.DUMMYFUNCTION("""COMPUTED_VALUE"""),1.0)</f>
        <v>1</v>
      </c>
      <c r="G2523" s="4">
        <f>IFERROR(__xludf.DUMMYFUNCTION("""COMPUTED_VALUE"""),372.0)</f>
        <v>372</v>
      </c>
      <c r="H2523" s="5">
        <f>IFERROR(__xludf.DUMMYFUNCTION("""COMPUTED_VALUE"""),5202.8)</f>
        <v>5202.8</v>
      </c>
      <c r="I2523" s="5">
        <f>IFERROR(__xludf.DUMMYFUNCTION("""COMPUTED_VALUE"""),1713.28)</f>
        <v>1713.28</v>
      </c>
      <c r="J2523" s="5">
        <f>IFERROR(__xludf.DUMMYFUNCTION("""COMPUTED_VALUE"""),1621.13)</f>
        <v>1621.13</v>
      </c>
      <c r="K2523" s="5">
        <f>IFERROR(__xludf.DUMMYFUNCTION("""COMPUTED_VALUE"""),4645.59)</f>
        <v>4645.59</v>
      </c>
      <c r="L2523" s="4">
        <f>IFERROR(__xludf.DUMMYFUNCTION("""COMPUTED_VALUE"""),6.0)</f>
        <v>6</v>
      </c>
      <c r="M2523" s="4">
        <f>IFERROR(__xludf.DUMMYFUNCTION("""COMPUTED_VALUE"""),39.0)</f>
        <v>39</v>
      </c>
      <c r="N2523" s="2" t="b">
        <f>IFERROR(__xludf.DUMMYFUNCTION("""COMPUTED_VALUE"""),FALSE)</f>
        <v>0</v>
      </c>
    </row>
    <row r="2524">
      <c r="A2524" s="2">
        <f>IFERROR(__xludf.DUMMYFUNCTION("""COMPUTED_VALUE"""),2523.0)</f>
        <v>2523</v>
      </c>
      <c r="B2524" s="2" t="str">
        <f>IFERROR(__xludf.DUMMYFUNCTION("""COMPUTED_VALUE"""),"Hanni Macguire")</f>
        <v>Hanni Macguire</v>
      </c>
      <c r="C2524" s="2"/>
      <c r="D2524" s="4">
        <f>IFERROR(__xludf.DUMMYFUNCTION("""COMPUTED_VALUE"""),27.0)</f>
        <v>27</v>
      </c>
      <c r="E2524" s="4">
        <f>IFERROR(__xludf.DUMMYFUNCTION("""COMPUTED_VALUE"""),109.0)</f>
        <v>109</v>
      </c>
      <c r="F2524" s="4">
        <f>IFERROR(__xludf.DUMMYFUNCTION("""COMPUTED_VALUE"""),3.0)</f>
        <v>3</v>
      </c>
      <c r="G2524" s="4">
        <f>IFERROR(__xludf.DUMMYFUNCTION("""COMPUTED_VALUE"""),1013.0)</f>
        <v>1013</v>
      </c>
      <c r="H2524" s="5">
        <f>IFERROR(__xludf.DUMMYFUNCTION("""COMPUTED_VALUE"""),251.9)</f>
        <v>251.9</v>
      </c>
      <c r="I2524" s="5">
        <f>IFERROR(__xludf.DUMMYFUNCTION("""COMPUTED_VALUE"""),7353.44)</f>
        <v>7353.44</v>
      </c>
      <c r="J2524" s="5">
        <f>IFERROR(__xludf.DUMMYFUNCTION("""COMPUTED_VALUE"""),408.61)</f>
        <v>408.61</v>
      </c>
      <c r="K2524" s="5">
        <f>IFERROR(__xludf.DUMMYFUNCTION("""COMPUTED_VALUE"""),8132.28)</f>
        <v>8132.28</v>
      </c>
      <c r="L2524" s="4">
        <f>IFERROR(__xludf.DUMMYFUNCTION("""COMPUTED_VALUE"""),19.0)</f>
        <v>19</v>
      </c>
      <c r="M2524" s="4">
        <f>IFERROR(__xludf.DUMMYFUNCTION("""COMPUTED_VALUE"""),96.0)</f>
        <v>96</v>
      </c>
      <c r="N2524" s="2" t="b">
        <f>IFERROR(__xludf.DUMMYFUNCTION("""COMPUTED_VALUE"""),TRUE)</f>
        <v>1</v>
      </c>
    </row>
    <row r="2525">
      <c r="A2525" s="2">
        <f>IFERROR(__xludf.DUMMYFUNCTION("""COMPUTED_VALUE"""),2524.0)</f>
        <v>2524</v>
      </c>
      <c r="B2525" s="2" t="str">
        <f>IFERROR(__xludf.DUMMYFUNCTION("""COMPUTED_VALUE"""),"Melodie Le Marquand")</f>
        <v>Melodie Le Marquand</v>
      </c>
      <c r="C2525" s="2" t="str">
        <f>IFERROR(__xludf.DUMMYFUNCTION("""COMPUTED_VALUE"""),"mleek@aol.com")</f>
        <v>mleek@aol.com</v>
      </c>
      <c r="D2525" s="4">
        <f>IFERROR(__xludf.DUMMYFUNCTION("""COMPUTED_VALUE"""),99.0)</f>
        <v>99</v>
      </c>
      <c r="E2525" s="4">
        <f>IFERROR(__xludf.DUMMYFUNCTION("""COMPUTED_VALUE"""),39.0)</f>
        <v>39</v>
      </c>
      <c r="F2525" s="4">
        <f>IFERROR(__xludf.DUMMYFUNCTION("""COMPUTED_VALUE"""),9.0)</f>
        <v>9</v>
      </c>
      <c r="G2525" s="4">
        <f>IFERROR(__xludf.DUMMYFUNCTION("""COMPUTED_VALUE"""),711.0)</f>
        <v>711</v>
      </c>
      <c r="H2525" s="5">
        <f>IFERROR(__xludf.DUMMYFUNCTION("""COMPUTED_VALUE"""),307.26)</f>
        <v>307.26</v>
      </c>
      <c r="I2525" s="5">
        <f>IFERROR(__xludf.DUMMYFUNCTION("""COMPUTED_VALUE"""),3791.72)</f>
        <v>3791.72</v>
      </c>
      <c r="J2525" s="5">
        <f>IFERROR(__xludf.DUMMYFUNCTION("""COMPUTED_VALUE"""),7083.65)</f>
        <v>7083.65</v>
      </c>
      <c r="K2525" s="5">
        <f>IFERROR(__xludf.DUMMYFUNCTION("""COMPUTED_VALUE"""),1231.8)</f>
        <v>1231.8</v>
      </c>
      <c r="L2525" s="4">
        <f>IFERROR(__xludf.DUMMYFUNCTION("""COMPUTED_VALUE"""),11.0)</f>
        <v>11</v>
      </c>
      <c r="M2525" s="4">
        <f>IFERROR(__xludf.DUMMYFUNCTION("""COMPUTED_VALUE"""),82.0)</f>
        <v>82</v>
      </c>
      <c r="N2525" s="2" t="b">
        <f>IFERROR(__xludf.DUMMYFUNCTION("""COMPUTED_VALUE"""),FALSE)</f>
        <v>0</v>
      </c>
    </row>
    <row r="2526">
      <c r="A2526" s="2">
        <f>IFERROR(__xludf.DUMMYFUNCTION("""COMPUTED_VALUE"""),2525.0)</f>
        <v>2525</v>
      </c>
      <c r="B2526" s="2" t="str">
        <f>IFERROR(__xludf.DUMMYFUNCTION("""COMPUTED_VALUE"""),"Myrtice Gibb")</f>
        <v>Myrtice Gibb</v>
      </c>
      <c r="C2526" s="2"/>
      <c r="D2526" s="4">
        <f>IFERROR(__xludf.DUMMYFUNCTION("""COMPUTED_VALUE"""),18.0)</f>
        <v>18</v>
      </c>
      <c r="E2526" s="4">
        <f>IFERROR(__xludf.DUMMYFUNCTION("""COMPUTED_VALUE"""),38.0)</f>
        <v>38</v>
      </c>
      <c r="F2526" s="4">
        <f>IFERROR(__xludf.DUMMYFUNCTION("""COMPUTED_VALUE"""),8.0)</f>
        <v>8</v>
      </c>
      <c r="G2526" s="4">
        <f>IFERROR(__xludf.DUMMYFUNCTION("""COMPUTED_VALUE"""),6.0)</f>
        <v>6</v>
      </c>
      <c r="H2526" s="5">
        <f>IFERROR(__xludf.DUMMYFUNCTION("""COMPUTED_VALUE"""),3543.43)</f>
        <v>3543.43</v>
      </c>
      <c r="I2526" s="5">
        <f>IFERROR(__xludf.DUMMYFUNCTION("""COMPUTED_VALUE"""),1461.12)</f>
        <v>1461.12</v>
      </c>
      <c r="J2526" s="5">
        <f>IFERROR(__xludf.DUMMYFUNCTION("""COMPUTED_VALUE"""),2251.5)</f>
        <v>2251.5</v>
      </c>
      <c r="K2526" s="5">
        <f>IFERROR(__xludf.DUMMYFUNCTION("""COMPUTED_VALUE"""),5321.04)</f>
        <v>5321.04</v>
      </c>
      <c r="L2526" s="4">
        <f>IFERROR(__xludf.DUMMYFUNCTION("""COMPUTED_VALUE"""),7.0)</f>
        <v>7</v>
      </c>
      <c r="M2526" s="4">
        <f>IFERROR(__xludf.DUMMYFUNCTION("""COMPUTED_VALUE"""),34.0)</f>
        <v>34</v>
      </c>
      <c r="N2526" s="2" t="b">
        <f>IFERROR(__xludf.DUMMYFUNCTION("""COMPUTED_VALUE"""),FALSE)</f>
        <v>0</v>
      </c>
    </row>
    <row r="2527">
      <c r="A2527" s="2">
        <f>IFERROR(__xludf.DUMMYFUNCTION("""COMPUTED_VALUE"""),2526.0)</f>
        <v>2526</v>
      </c>
      <c r="B2527" s="2" t="str">
        <f>IFERROR(__xludf.DUMMYFUNCTION("""COMPUTED_VALUE"""),"Jayme Shoebridge")</f>
        <v>Jayme Shoebridge</v>
      </c>
      <c r="C2527" s="2"/>
      <c r="D2527" s="4">
        <f>IFERROR(__xludf.DUMMYFUNCTION("""COMPUTED_VALUE"""),126.0)</f>
        <v>126</v>
      </c>
      <c r="E2527" s="4">
        <f>IFERROR(__xludf.DUMMYFUNCTION("""COMPUTED_VALUE"""),80.0)</f>
        <v>80</v>
      </c>
      <c r="F2527" s="4">
        <f>IFERROR(__xludf.DUMMYFUNCTION("""COMPUTED_VALUE"""),4.0)</f>
        <v>4</v>
      </c>
      <c r="G2527" s="4">
        <f>IFERROR(__xludf.DUMMYFUNCTION("""COMPUTED_VALUE"""),1032.0)</f>
        <v>1032</v>
      </c>
      <c r="H2527" s="5">
        <f>IFERROR(__xludf.DUMMYFUNCTION("""COMPUTED_VALUE"""),3251.28)</f>
        <v>3251.28</v>
      </c>
      <c r="I2527" s="5">
        <f>IFERROR(__xludf.DUMMYFUNCTION("""COMPUTED_VALUE"""),7775.2)</f>
        <v>7775.2</v>
      </c>
      <c r="J2527" s="5">
        <f>IFERROR(__xludf.DUMMYFUNCTION("""COMPUTED_VALUE"""),3431.44)</f>
        <v>3431.44</v>
      </c>
      <c r="K2527" s="5">
        <f>IFERROR(__xludf.DUMMYFUNCTION("""COMPUTED_VALUE"""),5153.58)</f>
        <v>5153.58</v>
      </c>
      <c r="L2527" s="4">
        <f>IFERROR(__xludf.DUMMYFUNCTION("""COMPUTED_VALUE"""),16.0)</f>
        <v>16</v>
      </c>
      <c r="M2527" s="4">
        <f>IFERROR(__xludf.DUMMYFUNCTION("""COMPUTED_VALUE"""),76.0)</f>
        <v>76</v>
      </c>
      <c r="N2527" s="2" t="b">
        <f>IFERROR(__xludf.DUMMYFUNCTION("""COMPUTED_VALUE"""),TRUE)</f>
        <v>1</v>
      </c>
    </row>
    <row r="2528">
      <c r="A2528" s="2">
        <f>IFERROR(__xludf.DUMMYFUNCTION("""COMPUTED_VALUE"""),2527.0)</f>
        <v>2527</v>
      </c>
      <c r="B2528" s="2" t="str">
        <f>IFERROR(__xludf.DUMMYFUNCTION("""COMPUTED_VALUE"""),"Mara Ferreri")</f>
        <v>Mara Ferreri</v>
      </c>
      <c r="C2528" s="2"/>
      <c r="D2528" s="4">
        <f>IFERROR(__xludf.DUMMYFUNCTION("""COMPUTED_VALUE"""),132.0)</f>
        <v>132</v>
      </c>
      <c r="E2528" s="4">
        <f>IFERROR(__xludf.DUMMYFUNCTION("""COMPUTED_VALUE"""),48.0)</f>
        <v>48</v>
      </c>
      <c r="F2528" s="4">
        <f>IFERROR(__xludf.DUMMYFUNCTION("""COMPUTED_VALUE"""),5.0)</f>
        <v>5</v>
      </c>
      <c r="G2528" s="4">
        <f>IFERROR(__xludf.DUMMYFUNCTION("""COMPUTED_VALUE"""),574.0)</f>
        <v>574</v>
      </c>
      <c r="H2528" s="5">
        <f>IFERROR(__xludf.DUMMYFUNCTION("""COMPUTED_VALUE"""),998.84)</f>
        <v>998.84</v>
      </c>
      <c r="I2528" s="5">
        <f>IFERROR(__xludf.DUMMYFUNCTION("""COMPUTED_VALUE"""),5185.22)</f>
        <v>5185.22</v>
      </c>
      <c r="J2528" s="5">
        <f>IFERROR(__xludf.DUMMYFUNCTION("""COMPUTED_VALUE"""),1808.85)</f>
        <v>1808.85</v>
      </c>
      <c r="K2528" s="5">
        <f>IFERROR(__xludf.DUMMYFUNCTION("""COMPUTED_VALUE"""),9415.38)</f>
        <v>9415.38</v>
      </c>
      <c r="L2528" s="4">
        <f>IFERROR(__xludf.DUMMYFUNCTION("""COMPUTED_VALUE"""),4.0)</f>
        <v>4</v>
      </c>
      <c r="M2528" s="4">
        <f>IFERROR(__xludf.DUMMYFUNCTION("""COMPUTED_VALUE"""),49.0)</f>
        <v>49</v>
      </c>
      <c r="N2528" s="2" t="b">
        <f>IFERROR(__xludf.DUMMYFUNCTION("""COMPUTED_VALUE"""),FALSE)</f>
        <v>0</v>
      </c>
    </row>
    <row r="2529">
      <c r="A2529" s="2">
        <f>IFERROR(__xludf.DUMMYFUNCTION("""COMPUTED_VALUE"""),2528.0)</f>
        <v>2528</v>
      </c>
      <c r="B2529" s="2" t="str">
        <f>IFERROR(__xludf.DUMMYFUNCTION("""COMPUTED_VALUE"""),"Rab Gerrit")</f>
        <v>Rab Gerrit</v>
      </c>
      <c r="C2529" s="2"/>
      <c r="D2529" s="4">
        <f>IFERROR(__xludf.DUMMYFUNCTION("""COMPUTED_VALUE"""),36.0)</f>
        <v>36</v>
      </c>
      <c r="E2529" s="4">
        <f>IFERROR(__xludf.DUMMYFUNCTION("""COMPUTED_VALUE"""),95.0)</f>
        <v>95</v>
      </c>
      <c r="F2529" s="4">
        <f>IFERROR(__xludf.DUMMYFUNCTION("""COMPUTED_VALUE"""),5.0)</f>
        <v>5</v>
      </c>
      <c r="G2529" s="4">
        <f>IFERROR(__xludf.DUMMYFUNCTION("""COMPUTED_VALUE"""),52.0)</f>
        <v>52</v>
      </c>
      <c r="H2529" s="5">
        <f>IFERROR(__xludf.DUMMYFUNCTION("""COMPUTED_VALUE"""),359.59)</f>
        <v>359.59</v>
      </c>
      <c r="I2529" s="5">
        <f>IFERROR(__xludf.DUMMYFUNCTION("""COMPUTED_VALUE"""),1917.33)</f>
        <v>1917.33</v>
      </c>
      <c r="J2529" s="5">
        <f>IFERROR(__xludf.DUMMYFUNCTION("""COMPUTED_VALUE"""),9411.29)</f>
        <v>9411.29</v>
      </c>
      <c r="K2529" s="5">
        <f>IFERROR(__xludf.DUMMYFUNCTION("""COMPUTED_VALUE"""),5865.55)</f>
        <v>5865.55</v>
      </c>
      <c r="L2529" s="4">
        <f>IFERROR(__xludf.DUMMYFUNCTION("""COMPUTED_VALUE"""),3.0)</f>
        <v>3</v>
      </c>
      <c r="M2529" s="4">
        <f>IFERROR(__xludf.DUMMYFUNCTION("""COMPUTED_VALUE"""),51.0)</f>
        <v>51</v>
      </c>
      <c r="N2529" s="2" t="b">
        <f>IFERROR(__xludf.DUMMYFUNCTION("""COMPUTED_VALUE"""),FALSE)</f>
        <v>0</v>
      </c>
    </row>
    <row r="2530">
      <c r="A2530" s="2">
        <f>IFERROR(__xludf.DUMMYFUNCTION("""COMPUTED_VALUE"""),2529.0)</f>
        <v>2529</v>
      </c>
      <c r="B2530" s="2" t="str">
        <f>IFERROR(__xludf.DUMMYFUNCTION("""COMPUTED_VALUE"""),"Boonie Caird")</f>
        <v>Boonie Caird</v>
      </c>
      <c r="C2530" s="2"/>
      <c r="D2530" s="4">
        <f>IFERROR(__xludf.DUMMYFUNCTION("""COMPUTED_VALUE"""),120.0)</f>
        <v>120</v>
      </c>
      <c r="E2530" s="4">
        <f>IFERROR(__xludf.DUMMYFUNCTION("""COMPUTED_VALUE"""),5.0)</f>
        <v>5</v>
      </c>
      <c r="F2530" s="4">
        <f>IFERROR(__xludf.DUMMYFUNCTION("""COMPUTED_VALUE"""),7.0)</f>
        <v>7</v>
      </c>
      <c r="G2530" s="4">
        <f>IFERROR(__xludf.DUMMYFUNCTION("""COMPUTED_VALUE"""),1260.0)</f>
        <v>1260</v>
      </c>
      <c r="H2530" s="5">
        <f>IFERROR(__xludf.DUMMYFUNCTION("""COMPUTED_VALUE"""),2449.75)</f>
        <v>2449.75</v>
      </c>
      <c r="I2530" s="5">
        <f>IFERROR(__xludf.DUMMYFUNCTION("""COMPUTED_VALUE"""),5540.13)</f>
        <v>5540.13</v>
      </c>
      <c r="J2530" s="5">
        <f>IFERROR(__xludf.DUMMYFUNCTION("""COMPUTED_VALUE"""),7425.46)</f>
        <v>7425.46</v>
      </c>
      <c r="K2530" s="5">
        <f>IFERROR(__xludf.DUMMYFUNCTION("""COMPUTED_VALUE"""),6920.81)</f>
        <v>6920.81</v>
      </c>
      <c r="L2530" s="4">
        <f>IFERROR(__xludf.DUMMYFUNCTION("""COMPUTED_VALUE"""),12.0)</f>
        <v>12</v>
      </c>
      <c r="M2530" s="4">
        <f>IFERROR(__xludf.DUMMYFUNCTION("""COMPUTED_VALUE"""),75.0)</f>
        <v>75</v>
      </c>
      <c r="N2530" s="2" t="b">
        <f>IFERROR(__xludf.DUMMYFUNCTION("""COMPUTED_VALUE"""),TRUE)</f>
        <v>1</v>
      </c>
    </row>
    <row r="2531">
      <c r="A2531" s="2">
        <f>IFERROR(__xludf.DUMMYFUNCTION("""COMPUTED_VALUE"""),2530.0)</f>
        <v>2530</v>
      </c>
      <c r="B2531" s="2" t="str">
        <f>IFERROR(__xludf.DUMMYFUNCTION("""COMPUTED_VALUE"""),"Adey Herion")</f>
        <v>Adey Herion</v>
      </c>
      <c r="C2531" s="2"/>
      <c r="D2531" s="4">
        <f>IFERROR(__xludf.DUMMYFUNCTION("""COMPUTED_VALUE"""),6.0)</f>
        <v>6</v>
      </c>
      <c r="E2531" s="4">
        <f>IFERROR(__xludf.DUMMYFUNCTION("""COMPUTED_VALUE"""),10.0)</f>
        <v>10</v>
      </c>
      <c r="F2531" s="4">
        <f>IFERROR(__xludf.DUMMYFUNCTION("""COMPUTED_VALUE"""),11.0)</f>
        <v>11</v>
      </c>
      <c r="G2531" s="4">
        <f>IFERROR(__xludf.DUMMYFUNCTION("""COMPUTED_VALUE"""),851.0)</f>
        <v>851</v>
      </c>
      <c r="H2531" s="5">
        <f>IFERROR(__xludf.DUMMYFUNCTION("""COMPUTED_VALUE"""),4884.28)</f>
        <v>4884.28</v>
      </c>
      <c r="I2531" s="5">
        <f>IFERROR(__xludf.DUMMYFUNCTION("""COMPUTED_VALUE"""),983.81)</f>
        <v>983.81</v>
      </c>
      <c r="J2531" s="5">
        <f>IFERROR(__xludf.DUMMYFUNCTION("""COMPUTED_VALUE"""),9504.23)</f>
        <v>9504.23</v>
      </c>
      <c r="K2531" s="5">
        <f>IFERROR(__xludf.DUMMYFUNCTION("""COMPUTED_VALUE"""),9897.03)</f>
        <v>9897.03</v>
      </c>
      <c r="L2531" s="4">
        <f>IFERROR(__xludf.DUMMYFUNCTION("""COMPUTED_VALUE"""),4.0)</f>
        <v>4</v>
      </c>
      <c r="M2531" s="4">
        <f>IFERROR(__xludf.DUMMYFUNCTION("""COMPUTED_VALUE"""),2.0)</f>
        <v>2</v>
      </c>
      <c r="N2531" s="2" t="b">
        <f>IFERROR(__xludf.DUMMYFUNCTION("""COMPUTED_VALUE"""),TRUE)</f>
        <v>1</v>
      </c>
    </row>
    <row r="2532">
      <c r="A2532" s="2">
        <f>IFERROR(__xludf.DUMMYFUNCTION("""COMPUTED_VALUE"""),2531.0)</f>
        <v>2531</v>
      </c>
      <c r="B2532" s="2" t="str">
        <f>IFERROR(__xludf.DUMMYFUNCTION("""COMPUTED_VALUE"""),"Mathian Mascall")</f>
        <v>Mathian Mascall</v>
      </c>
      <c r="C2532" s="2" t="str">
        <f>IFERROR(__xludf.DUMMYFUNCTION("""COMPUTED_VALUE"""),"mmascaller@cnet.com")</f>
        <v>mmascaller@cnet.com</v>
      </c>
      <c r="D2532" s="4">
        <f>IFERROR(__xludf.DUMMYFUNCTION("""COMPUTED_VALUE"""),134.0)</f>
        <v>134</v>
      </c>
      <c r="E2532" s="4">
        <f>IFERROR(__xludf.DUMMYFUNCTION("""COMPUTED_VALUE"""),10.0)</f>
        <v>10</v>
      </c>
      <c r="F2532" s="4">
        <f>IFERROR(__xludf.DUMMYFUNCTION("""COMPUTED_VALUE"""),9.0)</f>
        <v>9</v>
      </c>
      <c r="G2532" s="4">
        <f>IFERROR(__xludf.DUMMYFUNCTION("""COMPUTED_VALUE"""),1581.0)</f>
        <v>1581</v>
      </c>
      <c r="H2532" s="5">
        <f>IFERROR(__xludf.DUMMYFUNCTION("""COMPUTED_VALUE"""),2820.44)</f>
        <v>2820.44</v>
      </c>
      <c r="I2532" s="5">
        <f>IFERROR(__xludf.DUMMYFUNCTION("""COMPUTED_VALUE"""),459.21)</f>
        <v>459.21</v>
      </c>
      <c r="J2532" s="5">
        <f>IFERROR(__xludf.DUMMYFUNCTION("""COMPUTED_VALUE"""),9904.35)</f>
        <v>9904.35</v>
      </c>
      <c r="K2532" s="5">
        <f>IFERROR(__xludf.DUMMYFUNCTION("""COMPUTED_VALUE"""),8097.98)</f>
        <v>8097.98</v>
      </c>
      <c r="L2532" s="4">
        <f>IFERROR(__xludf.DUMMYFUNCTION("""COMPUTED_VALUE"""),18.0)</f>
        <v>18</v>
      </c>
      <c r="M2532" s="4">
        <f>IFERROR(__xludf.DUMMYFUNCTION("""COMPUTED_VALUE"""),22.0)</f>
        <v>22</v>
      </c>
      <c r="N2532" s="2" t="b">
        <f>IFERROR(__xludf.DUMMYFUNCTION("""COMPUTED_VALUE"""),FALSE)</f>
        <v>0</v>
      </c>
    </row>
    <row r="2533">
      <c r="A2533" s="2">
        <f>IFERROR(__xludf.DUMMYFUNCTION("""COMPUTED_VALUE"""),2532.0)</f>
        <v>2532</v>
      </c>
      <c r="B2533" s="2" t="str">
        <f>IFERROR(__xludf.DUMMYFUNCTION("""COMPUTED_VALUE"""),"Sasha Wharby")</f>
        <v>Sasha Wharby</v>
      </c>
      <c r="C2533" s="2"/>
      <c r="D2533" s="4">
        <f>IFERROR(__xludf.DUMMYFUNCTION("""COMPUTED_VALUE"""),146.0)</f>
        <v>146</v>
      </c>
      <c r="E2533" s="4">
        <f>IFERROR(__xludf.DUMMYFUNCTION("""COMPUTED_VALUE"""),88.0)</f>
        <v>88</v>
      </c>
      <c r="F2533" s="4">
        <f>IFERROR(__xludf.DUMMYFUNCTION("""COMPUTED_VALUE"""),11.0)</f>
        <v>11</v>
      </c>
      <c r="G2533" s="4">
        <f>IFERROR(__xludf.DUMMYFUNCTION("""COMPUTED_VALUE"""),904.0)</f>
        <v>904</v>
      </c>
      <c r="H2533" s="5">
        <f>IFERROR(__xludf.DUMMYFUNCTION("""COMPUTED_VALUE"""),3222.17)</f>
        <v>3222.17</v>
      </c>
      <c r="I2533" s="5">
        <f>IFERROR(__xludf.DUMMYFUNCTION("""COMPUTED_VALUE"""),8814.4)</f>
        <v>8814.4</v>
      </c>
      <c r="J2533" s="5">
        <f>IFERROR(__xludf.DUMMYFUNCTION("""COMPUTED_VALUE"""),6054.11)</f>
        <v>6054.11</v>
      </c>
      <c r="K2533" s="5">
        <f>IFERROR(__xludf.DUMMYFUNCTION("""COMPUTED_VALUE"""),1948.7)</f>
        <v>1948.7</v>
      </c>
      <c r="L2533" s="4">
        <f>IFERROR(__xludf.DUMMYFUNCTION("""COMPUTED_VALUE"""),7.0)</f>
        <v>7</v>
      </c>
      <c r="M2533" s="4">
        <f>IFERROR(__xludf.DUMMYFUNCTION("""COMPUTED_VALUE"""),59.0)</f>
        <v>59</v>
      </c>
      <c r="N2533" s="2" t="b">
        <f>IFERROR(__xludf.DUMMYFUNCTION("""COMPUTED_VALUE"""),FALSE)</f>
        <v>0</v>
      </c>
    </row>
    <row r="2534">
      <c r="A2534" s="2">
        <f>IFERROR(__xludf.DUMMYFUNCTION("""COMPUTED_VALUE"""),2533.0)</f>
        <v>2533</v>
      </c>
      <c r="B2534" s="2" t="str">
        <f>IFERROR(__xludf.DUMMYFUNCTION("""COMPUTED_VALUE"""),"Micki Buckham")</f>
        <v>Micki Buckham</v>
      </c>
      <c r="C2534" s="2"/>
      <c r="D2534" s="4">
        <f>IFERROR(__xludf.DUMMYFUNCTION("""COMPUTED_VALUE"""),41.0)</f>
        <v>41</v>
      </c>
      <c r="E2534" s="4">
        <f>IFERROR(__xludf.DUMMYFUNCTION("""COMPUTED_VALUE"""),45.0)</f>
        <v>45</v>
      </c>
      <c r="F2534" s="4">
        <f>IFERROR(__xludf.DUMMYFUNCTION("""COMPUTED_VALUE"""),8.0)</f>
        <v>8</v>
      </c>
      <c r="G2534" s="4">
        <f>IFERROR(__xludf.DUMMYFUNCTION("""COMPUTED_VALUE"""),1011.0)</f>
        <v>1011</v>
      </c>
      <c r="H2534" s="5">
        <f>IFERROR(__xludf.DUMMYFUNCTION("""COMPUTED_VALUE"""),4435.12)</f>
        <v>4435.12</v>
      </c>
      <c r="I2534" s="5">
        <f>IFERROR(__xludf.DUMMYFUNCTION("""COMPUTED_VALUE"""),6414.86)</f>
        <v>6414.86</v>
      </c>
      <c r="J2534" s="5">
        <f>IFERROR(__xludf.DUMMYFUNCTION("""COMPUTED_VALUE"""),6368.34)</f>
        <v>6368.34</v>
      </c>
      <c r="K2534" s="5">
        <f>IFERROR(__xludf.DUMMYFUNCTION("""COMPUTED_VALUE"""),9626.16)</f>
        <v>9626.16</v>
      </c>
      <c r="L2534" s="4">
        <f>IFERROR(__xludf.DUMMYFUNCTION("""COMPUTED_VALUE"""),17.0)</f>
        <v>17</v>
      </c>
      <c r="M2534" s="4">
        <f>IFERROR(__xludf.DUMMYFUNCTION("""COMPUTED_VALUE"""),55.0)</f>
        <v>55</v>
      </c>
      <c r="N2534" s="2" t="b">
        <f>IFERROR(__xludf.DUMMYFUNCTION("""COMPUTED_VALUE"""),TRUE)</f>
        <v>1</v>
      </c>
    </row>
    <row r="2535">
      <c r="A2535" s="2">
        <f>IFERROR(__xludf.DUMMYFUNCTION("""COMPUTED_VALUE"""),2534.0)</f>
        <v>2534</v>
      </c>
      <c r="B2535" s="2" t="str">
        <f>IFERROR(__xludf.DUMMYFUNCTION("""COMPUTED_VALUE"""),"Nikki Laughton")</f>
        <v>Nikki Laughton</v>
      </c>
      <c r="C2535" s="2"/>
      <c r="D2535" s="4">
        <f>IFERROR(__xludf.DUMMYFUNCTION("""COMPUTED_VALUE"""),100.0)</f>
        <v>100</v>
      </c>
      <c r="E2535" s="4">
        <f>IFERROR(__xludf.DUMMYFUNCTION("""COMPUTED_VALUE"""),78.0)</f>
        <v>78</v>
      </c>
      <c r="F2535" s="4">
        <f>IFERROR(__xludf.DUMMYFUNCTION("""COMPUTED_VALUE"""),7.0)</f>
        <v>7</v>
      </c>
      <c r="G2535" s="4">
        <f>IFERROR(__xludf.DUMMYFUNCTION("""COMPUTED_VALUE"""),238.0)</f>
        <v>238</v>
      </c>
      <c r="H2535" s="5">
        <f>IFERROR(__xludf.DUMMYFUNCTION("""COMPUTED_VALUE"""),8382.4)</f>
        <v>8382.4</v>
      </c>
      <c r="I2535" s="5">
        <f>IFERROR(__xludf.DUMMYFUNCTION("""COMPUTED_VALUE"""),3798.42)</f>
        <v>3798.42</v>
      </c>
      <c r="J2535" s="5">
        <f>IFERROR(__xludf.DUMMYFUNCTION("""COMPUTED_VALUE"""),4268.86)</f>
        <v>4268.86</v>
      </c>
      <c r="K2535" s="5">
        <f>IFERROR(__xludf.DUMMYFUNCTION("""COMPUTED_VALUE"""),5751.82)</f>
        <v>5751.82</v>
      </c>
      <c r="L2535" s="4">
        <f>IFERROR(__xludf.DUMMYFUNCTION("""COMPUTED_VALUE"""),11.0)</f>
        <v>11</v>
      </c>
      <c r="M2535" s="4">
        <f>IFERROR(__xludf.DUMMYFUNCTION("""COMPUTED_VALUE"""),62.0)</f>
        <v>62</v>
      </c>
      <c r="N2535" s="2" t="b">
        <f>IFERROR(__xludf.DUMMYFUNCTION("""COMPUTED_VALUE"""),FALSE)</f>
        <v>0</v>
      </c>
    </row>
    <row r="2536">
      <c r="A2536" s="2">
        <f>IFERROR(__xludf.DUMMYFUNCTION("""COMPUTED_VALUE"""),2535.0)</f>
        <v>2535</v>
      </c>
      <c r="B2536" s="2" t="str">
        <f>IFERROR(__xludf.DUMMYFUNCTION("""COMPUTED_VALUE"""),"Marita Smallbone")</f>
        <v>Marita Smallbone</v>
      </c>
      <c r="C2536" s="2" t="str">
        <f>IFERROR(__xludf.DUMMYFUNCTION("""COMPUTED_VALUE"""),"msmallboneev@hc360.com")</f>
        <v>msmallboneev@hc360.com</v>
      </c>
      <c r="D2536" s="4">
        <f>IFERROR(__xludf.DUMMYFUNCTION("""COMPUTED_VALUE"""),142.0)</f>
        <v>142</v>
      </c>
      <c r="E2536" s="4">
        <f>IFERROR(__xludf.DUMMYFUNCTION("""COMPUTED_VALUE"""),117.0)</f>
        <v>117</v>
      </c>
      <c r="F2536" s="4">
        <f>IFERROR(__xludf.DUMMYFUNCTION("""COMPUTED_VALUE"""),8.0)</f>
        <v>8</v>
      </c>
      <c r="G2536" s="4">
        <f>IFERROR(__xludf.DUMMYFUNCTION("""COMPUTED_VALUE"""),923.0)</f>
        <v>923</v>
      </c>
      <c r="H2536" s="5">
        <f>IFERROR(__xludf.DUMMYFUNCTION("""COMPUTED_VALUE"""),6729.82)</f>
        <v>6729.82</v>
      </c>
      <c r="I2536" s="5">
        <f>IFERROR(__xludf.DUMMYFUNCTION("""COMPUTED_VALUE"""),8584.51)</f>
        <v>8584.51</v>
      </c>
      <c r="J2536" s="5">
        <f>IFERROR(__xludf.DUMMYFUNCTION("""COMPUTED_VALUE"""),6150.78)</f>
        <v>6150.78</v>
      </c>
      <c r="K2536" s="5">
        <f>IFERROR(__xludf.DUMMYFUNCTION("""COMPUTED_VALUE"""),3414.14)</f>
        <v>3414.14</v>
      </c>
      <c r="L2536" s="4">
        <f>IFERROR(__xludf.DUMMYFUNCTION("""COMPUTED_VALUE"""),20.0)</f>
        <v>20</v>
      </c>
      <c r="M2536" s="4">
        <f>IFERROR(__xludf.DUMMYFUNCTION("""COMPUTED_VALUE"""),42.0)</f>
        <v>42</v>
      </c>
      <c r="N2536" s="2" t="b">
        <f>IFERROR(__xludf.DUMMYFUNCTION("""COMPUTED_VALUE"""),TRUE)</f>
        <v>1</v>
      </c>
    </row>
    <row r="2537">
      <c r="A2537" s="2">
        <f>IFERROR(__xludf.DUMMYFUNCTION("""COMPUTED_VALUE"""),2536.0)</f>
        <v>2536</v>
      </c>
      <c r="B2537" s="2" t="str">
        <f>IFERROR(__xludf.DUMMYFUNCTION("""COMPUTED_VALUE"""),"Carmelia Barker")</f>
        <v>Carmelia Barker</v>
      </c>
      <c r="C2537" s="2"/>
      <c r="D2537" s="4">
        <f>IFERROR(__xludf.DUMMYFUNCTION("""COMPUTED_VALUE"""),21.0)</f>
        <v>21</v>
      </c>
      <c r="E2537" s="4">
        <f>IFERROR(__xludf.DUMMYFUNCTION("""COMPUTED_VALUE"""),3.0)</f>
        <v>3</v>
      </c>
      <c r="F2537" s="4">
        <f>IFERROR(__xludf.DUMMYFUNCTION("""COMPUTED_VALUE"""),4.0)</f>
        <v>4</v>
      </c>
      <c r="G2537" s="4">
        <f>IFERROR(__xludf.DUMMYFUNCTION("""COMPUTED_VALUE"""),360.0)</f>
        <v>360</v>
      </c>
      <c r="H2537" s="5">
        <f>IFERROR(__xludf.DUMMYFUNCTION("""COMPUTED_VALUE"""),5379.32)</f>
        <v>5379.32</v>
      </c>
      <c r="I2537" s="5">
        <f>IFERROR(__xludf.DUMMYFUNCTION("""COMPUTED_VALUE"""),1212.89)</f>
        <v>1212.89</v>
      </c>
      <c r="J2537" s="5">
        <f>IFERROR(__xludf.DUMMYFUNCTION("""COMPUTED_VALUE"""),5892.76)</f>
        <v>5892.76</v>
      </c>
      <c r="K2537" s="5">
        <f>IFERROR(__xludf.DUMMYFUNCTION("""COMPUTED_VALUE"""),2343.51)</f>
        <v>2343.51</v>
      </c>
      <c r="L2537" s="4">
        <f>IFERROR(__xludf.DUMMYFUNCTION("""COMPUTED_VALUE"""),13.0)</f>
        <v>13</v>
      </c>
      <c r="M2537" s="4">
        <f>IFERROR(__xludf.DUMMYFUNCTION("""COMPUTED_VALUE"""),51.0)</f>
        <v>51</v>
      </c>
      <c r="N2537" s="2" t="b">
        <f>IFERROR(__xludf.DUMMYFUNCTION("""COMPUTED_VALUE"""),FALSE)</f>
        <v>0</v>
      </c>
    </row>
    <row r="2538">
      <c r="A2538" s="2">
        <f>IFERROR(__xludf.DUMMYFUNCTION("""COMPUTED_VALUE"""),2537.0)</f>
        <v>2537</v>
      </c>
      <c r="B2538" s="2" t="str">
        <f>IFERROR(__xludf.DUMMYFUNCTION("""COMPUTED_VALUE"""),"Louie Carabine")</f>
        <v>Louie Carabine</v>
      </c>
      <c r="C2538" s="2"/>
      <c r="D2538" s="4">
        <f>IFERROR(__xludf.DUMMYFUNCTION("""COMPUTED_VALUE"""),16.0)</f>
        <v>16</v>
      </c>
      <c r="E2538" s="4">
        <f>IFERROR(__xludf.DUMMYFUNCTION("""COMPUTED_VALUE"""),46.0)</f>
        <v>46</v>
      </c>
      <c r="F2538" s="4">
        <f>IFERROR(__xludf.DUMMYFUNCTION("""COMPUTED_VALUE"""),1.0)</f>
        <v>1</v>
      </c>
      <c r="G2538" s="4">
        <f>IFERROR(__xludf.DUMMYFUNCTION("""COMPUTED_VALUE"""),31.0)</f>
        <v>31</v>
      </c>
      <c r="H2538" s="5">
        <f>IFERROR(__xludf.DUMMYFUNCTION("""COMPUTED_VALUE"""),4652.11)</f>
        <v>4652.11</v>
      </c>
      <c r="I2538" s="5">
        <f>IFERROR(__xludf.DUMMYFUNCTION("""COMPUTED_VALUE"""),3047.98)</f>
        <v>3047.98</v>
      </c>
      <c r="J2538" s="5">
        <f>IFERROR(__xludf.DUMMYFUNCTION("""COMPUTED_VALUE"""),4237.86)</f>
        <v>4237.86</v>
      </c>
      <c r="K2538" s="5">
        <f>IFERROR(__xludf.DUMMYFUNCTION("""COMPUTED_VALUE"""),3086.63)</f>
        <v>3086.63</v>
      </c>
      <c r="L2538" s="4">
        <f>IFERROR(__xludf.DUMMYFUNCTION("""COMPUTED_VALUE"""),17.0)</f>
        <v>17</v>
      </c>
      <c r="M2538" s="4">
        <f>IFERROR(__xludf.DUMMYFUNCTION("""COMPUTED_VALUE"""),52.0)</f>
        <v>52</v>
      </c>
      <c r="N2538" s="2" t="b">
        <f>IFERROR(__xludf.DUMMYFUNCTION("""COMPUTED_VALUE"""),FALSE)</f>
        <v>0</v>
      </c>
    </row>
    <row r="2539">
      <c r="A2539" s="2">
        <f>IFERROR(__xludf.DUMMYFUNCTION("""COMPUTED_VALUE"""),2538.0)</f>
        <v>2538</v>
      </c>
      <c r="B2539" s="2" t="str">
        <f>IFERROR(__xludf.DUMMYFUNCTION("""COMPUTED_VALUE"""),"Marylee Confait")</f>
        <v>Marylee Confait</v>
      </c>
      <c r="C2539" s="2" t="str">
        <f>IFERROR(__xludf.DUMMYFUNCTION("""COMPUTED_VALUE"""),"mconfaitey@bigcartel.com")</f>
        <v>mconfaitey@bigcartel.com</v>
      </c>
      <c r="D2539" s="4">
        <f>IFERROR(__xludf.DUMMYFUNCTION("""COMPUTED_VALUE"""),96.0)</f>
        <v>96</v>
      </c>
      <c r="E2539" s="4">
        <f>IFERROR(__xludf.DUMMYFUNCTION("""COMPUTED_VALUE"""),76.0)</f>
        <v>76</v>
      </c>
      <c r="F2539" s="4">
        <f>IFERROR(__xludf.DUMMYFUNCTION("""COMPUTED_VALUE"""),4.0)</f>
        <v>4</v>
      </c>
      <c r="G2539" s="4">
        <f>IFERROR(__xludf.DUMMYFUNCTION("""COMPUTED_VALUE"""),1518.0)</f>
        <v>1518</v>
      </c>
      <c r="H2539" s="5">
        <f>IFERROR(__xludf.DUMMYFUNCTION("""COMPUTED_VALUE"""),4571.52)</f>
        <v>4571.52</v>
      </c>
      <c r="I2539" s="5">
        <f>IFERROR(__xludf.DUMMYFUNCTION("""COMPUTED_VALUE"""),1723.19)</f>
        <v>1723.19</v>
      </c>
      <c r="J2539" s="5">
        <f>IFERROR(__xludf.DUMMYFUNCTION("""COMPUTED_VALUE"""),7057.29)</f>
        <v>7057.29</v>
      </c>
      <c r="K2539" s="5">
        <f>IFERROR(__xludf.DUMMYFUNCTION("""COMPUTED_VALUE"""),7240.65)</f>
        <v>7240.65</v>
      </c>
      <c r="L2539" s="4">
        <f>IFERROR(__xludf.DUMMYFUNCTION("""COMPUTED_VALUE"""),12.0)</f>
        <v>12</v>
      </c>
      <c r="M2539" s="4">
        <f>IFERROR(__xludf.DUMMYFUNCTION("""COMPUTED_VALUE"""),18.0)</f>
        <v>18</v>
      </c>
      <c r="N2539" s="2" t="b">
        <f>IFERROR(__xludf.DUMMYFUNCTION("""COMPUTED_VALUE"""),FALSE)</f>
        <v>0</v>
      </c>
    </row>
    <row r="2540">
      <c r="A2540" s="2">
        <f>IFERROR(__xludf.DUMMYFUNCTION("""COMPUTED_VALUE"""),2539.0)</f>
        <v>2539</v>
      </c>
      <c r="B2540" s="2" t="str">
        <f>IFERROR(__xludf.DUMMYFUNCTION("""COMPUTED_VALUE"""),"Padgett Segebrecht")</f>
        <v>Padgett Segebrecht</v>
      </c>
      <c r="C2540" s="2"/>
      <c r="D2540" s="4">
        <f>IFERROR(__xludf.DUMMYFUNCTION("""COMPUTED_VALUE"""),4.0)</f>
        <v>4</v>
      </c>
      <c r="E2540" s="4">
        <f>IFERROR(__xludf.DUMMYFUNCTION("""COMPUTED_VALUE"""),81.0)</f>
        <v>81</v>
      </c>
      <c r="F2540" s="4">
        <f>IFERROR(__xludf.DUMMYFUNCTION("""COMPUTED_VALUE"""),8.0)</f>
        <v>8</v>
      </c>
      <c r="G2540" s="4">
        <f>IFERROR(__xludf.DUMMYFUNCTION("""COMPUTED_VALUE"""),1301.0)</f>
        <v>1301</v>
      </c>
      <c r="H2540" s="5">
        <f>IFERROR(__xludf.DUMMYFUNCTION("""COMPUTED_VALUE"""),7694.69)</f>
        <v>7694.69</v>
      </c>
      <c r="I2540" s="5">
        <f>IFERROR(__xludf.DUMMYFUNCTION("""COMPUTED_VALUE"""),9461.48)</f>
        <v>9461.48</v>
      </c>
      <c r="J2540" s="5">
        <f>IFERROR(__xludf.DUMMYFUNCTION("""COMPUTED_VALUE"""),8284.94)</f>
        <v>8284.94</v>
      </c>
      <c r="K2540" s="5">
        <f>IFERROR(__xludf.DUMMYFUNCTION("""COMPUTED_VALUE"""),801.37)</f>
        <v>801.37</v>
      </c>
      <c r="L2540" s="4">
        <f>IFERROR(__xludf.DUMMYFUNCTION("""COMPUTED_VALUE"""),5.0)</f>
        <v>5</v>
      </c>
      <c r="M2540" s="4">
        <f>IFERROR(__xludf.DUMMYFUNCTION("""COMPUTED_VALUE"""),84.0)</f>
        <v>84</v>
      </c>
      <c r="N2540" s="2" t="b">
        <f>IFERROR(__xludf.DUMMYFUNCTION("""COMPUTED_VALUE"""),TRUE)</f>
        <v>1</v>
      </c>
    </row>
    <row r="2541">
      <c r="A2541" s="2">
        <f>IFERROR(__xludf.DUMMYFUNCTION("""COMPUTED_VALUE"""),2540.0)</f>
        <v>2540</v>
      </c>
      <c r="B2541" s="2" t="str">
        <f>IFERROR(__xludf.DUMMYFUNCTION("""COMPUTED_VALUE"""),"Jenni Pryell")</f>
        <v>Jenni Pryell</v>
      </c>
      <c r="C2541" s="2" t="str">
        <f>IFERROR(__xludf.DUMMYFUNCTION("""COMPUTED_VALUE"""),"jpryellf0@alexa.com")</f>
        <v>jpryellf0@alexa.com</v>
      </c>
      <c r="D2541" s="4">
        <f>IFERROR(__xludf.DUMMYFUNCTION("""COMPUTED_VALUE"""),151.0)</f>
        <v>151</v>
      </c>
      <c r="E2541" s="4">
        <f>IFERROR(__xludf.DUMMYFUNCTION("""COMPUTED_VALUE"""),58.0)</f>
        <v>58</v>
      </c>
      <c r="F2541" s="4">
        <f>IFERROR(__xludf.DUMMYFUNCTION("""COMPUTED_VALUE"""),9.0)</f>
        <v>9</v>
      </c>
      <c r="G2541" s="4">
        <f>IFERROR(__xludf.DUMMYFUNCTION("""COMPUTED_VALUE"""),398.0)</f>
        <v>398</v>
      </c>
      <c r="H2541" s="5">
        <f>IFERROR(__xludf.DUMMYFUNCTION("""COMPUTED_VALUE"""),7750.01)</f>
        <v>7750.01</v>
      </c>
      <c r="I2541" s="5">
        <f>IFERROR(__xludf.DUMMYFUNCTION("""COMPUTED_VALUE"""),8053.34)</f>
        <v>8053.34</v>
      </c>
      <c r="J2541" s="5">
        <f>IFERROR(__xludf.DUMMYFUNCTION("""COMPUTED_VALUE"""),5659.35)</f>
        <v>5659.35</v>
      </c>
      <c r="K2541" s="5">
        <f>IFERROR(__xludf.DUMMYFUNCTION("""COMPUTED_VALUE"""),3718.01)</f>
        <v>3718.01</v>
      </c>
      <c r="L2541" s="4">
        <f>IFERROR(__xludf.DUMMYFUNCTION("""COMPUTED_VALUE"""),5.0)</f>
        <v>5</v>
      </c>
      <c r="M2541" s="4">
        <f>IFERROR(__xludf.DUMMYFUNCTION("""COMPUTED_VALUE"""),44.0)</f>
        <v>44</v>
      </c>
      <c r="N2541" s="2" t="b">
        <f>IFERROR(__xludf.DUMMYFUNCTION("""COMPUTED_VALUE"""),FALSE)</f>
        <v>0</v>
      </c>
    </row>
    <row r="2542">
      <c r="A2542" s="2">
        <f>IFERROR(__xludf.DUMMYFUNCTION("""COMPUTED_VALUE"""),2541.0)</f>
        <v>2541</v>
      </c>
      <c r="B2542" s="2" t="str">
        <f>IFERROR(__xludf.DUMMYFUNCTION("""COMPUTED_VALUE"""),"Kayle Tomei")</f>
        <v>Kayle Tomei</v>
      </c>
      <c r="C2542" s="2" t="str">
        <f>IFERROR(__xludf.DUMMYFUNCTION("""COMPUTED_VALUE"""),"ktomeif1@drupal.org")</f>
        <v>ktomeif1@drupal.org</v>
      </c>
      <c r="D2542" s="4">
        <f>IFERROR(__xludf.DUMMYFUNCTION("""COMPUTED_VALUE"""),9.0)</f>
        <v>9</v>
      </c>
      <c r="E2542" s="4">
        <f>IFERROR(__xludf.DUMMYFUNCTION("""COMPUTED_VALUE"""),66.0)</f>
        <v>66</v>
      </c>
      <c r="F2542" s="4">
        <f>IFERROR(__xludf.DUMMYFUNCTION("""COMPUTED_VALUE"""),13.0)</f>
        <v>13</v>
      </c>
      <c r="G2542" s="4">
        <f>IFERROR(__xludf.DUMMYFUNCTION("""COMPUTED_VALUE"""),34.0)</f>
        <v>34</v>
      </c>
      <c r="H2542" s="5">
        <f>IFERROR(__xludf.DUMMYFUNCTION("""COMPUTED_VALUE"""),7521.84)</f>
        <v>7521.84</v>
      </c>
      <c r="I2542" s="5">
        <f>IFERROR(__xludf.DUMMYFUNCTION("""COMPUTED_VALUE"""),4867.21)</f>
        <v>4867.21</v>
      </c>
      <c r="J2542" s="5">
        <f>IFERROR(__xludf.DUMMYFUNCTION("""COMPUTED_VALUE"""),6013.2)</f>
        <v>6013.2</v>
      </c>
      <c r="K2542" s="5">
        <f>IFERROR(__xludf.DUMMYFUNCTION("""COMPUTED_VALUE"""),7423.46)</f>
        <v>7423.46</v>
      </c>
      <c r="L2542" s="4">
        <f>IFERROR(__xludf.DUMMYFUNCTION("""COMPUTED_VALUE"""),6.0)</f>
        <v>6</v>
      </c>
      <c r="M2542" s="4">
        <f>IFERROR(__xludf.DUMMYFUNCTION("""COMPUTED_VALUE"""),88.0)</f>
        <v>88</v>
      </c>
      <c r="N2542" s="2" t="b">
        <f>IFERROR(__xludf.DUMMYFUNCTION("""COMPUTED_VALUE"""),FALSE)</f>
        <v>0</v>
      </c>
    </row>
    <row r="2543">
      <c r="A2543" s="2">
        <f>IFERROR(__xludf.DUMMYFUNCTION("""COMPUTED_VALUE"""),2542.0)</f>
        <v>2542</v>
      </c>
      <c r="B2543" s="2" t="str">
        <f>IFERROR(__xludf.DUMMYFUNCTION("""COMPUTED_VALUE"""),"Sidney Binner")</f>
        <v>Sidney Binner</v>
      </c>
      <c r="C2543" s="2"/>
      <c r="D2543" s="4">
        <f>IFERROR(__xludf.DUMMYFUNCTION("""COMPUTED_VALUE"""),78.0)</f>
        <v>78</v>
      </c>
      <c r="E2543" s="4">
        <f>IFERROR(__xludf.DUMMYFUNCTION("""COMPUTED_VALUE"""),46.0)</f>
        <v>46</v>
      </c>
      <c r="F2543" s="4">
        <f>IFERROR(__xludf.DUMMYFUNCTION("""COMPUTED_VALUE"""),10.0)</f>
        <v>10</v>
      </c>
      <c r="G2543" s="4">
        <f>IFERROR(__xludf.DUMMYFUNCTION("""COMPUTED_VALUE"""),569.0)</f>
        <v>569</v>
      </c>
      <c r="H2543" s="5">
        <f>IFERROR(__xludf.DUMMYFUNCTION("""COMPUTED_VALUE"""),4154.17)</f>
        <v>4154.17</v>
      </c>
      <c r="I2543" s="5">
        <f>IFERROR(__xludf.DUMMYFUNCTION("""COMPUTED_VALUE"""),2737.99)</f>
        <v>2737.99</v>
      </c>
      <c r="J2543" s="5">
        <f>IFERROR(__xludf.DUMMYFUNCTION("""COMPUTED_VALUE"""),6709.54)</f>
        <v>6709.54</v>
      </c>
      <c r="K2543" s="5">
        <f>IFERROR(__xludf.DUMMYFUNCTION("""COMPUTED_VALUE"""),5246.11)</f>
        <v>5246.11</v>
      </c>
      <c r="L2543" s="4">
        <f>IFERROR(__xludf.DUMMYFUNCTION("""COMPUTED_VALUE"""),18.0)</f>
        <v>18</v>
      </c>
      <c r="M2543" s="4">
        <f>IFERROR(__xludf.DUMMYFUNCTION("""COMPUTED_VALUE"""),12.0)</f>
        <v>12</v>
      </c>
      <c r="N2543" s="2" t="b">
        <f>IFERROR(__xludf.DUMMYFUNCTION("""COMPUTED_VALUE"""),TRUE)</f>
        <v>1</v>
      </c>
    </row>
    <row r="2544">
      <c r="A2544" s="2">
        <f>IFERROR(__xludf.DUMMYFUNCTION("""COMPUTED_VALUE"""),2543.0)</f>
        <v>2543</v>
      </c>
      <c r="B2544" s="2" t="str">
        <f>IFERROR(__xludf.DUMMYFUNCTION("""COMPUTED_VALUE"""),"Benedick Ivanenko")</f>
        <v>Benedick Ivanenko</v>
      </c>
      <c r="C2544" s="2"/>
      <c r="D2544" s="4">
        <f>IFERROR(__xludf.DUMMYFUNCTION("""COMPUTED_VALUE"""),137.0)</f>
        <v>137</v>
      </c>
      <c r="E2544" s="4">
        <f>IFERROR(__xludf.DUMMYFUNCTION("""COMPUTED_VALUE"""),66.0)</f>
        <v>66</v>
      </c>
      <c r="F2544" s="4">
        <f>IFERROR(__xludf.DUMMYFUNCTION("""COMPUTED_VALUE"""),7.0)</f>
        <v>7</v>
      </c>
      <c r="G2544" s="4">
        <f>IFERROR(__xludf.DUMMYFUNCTION("""COMPUTED_VALUE"""),640.0)</f>
        <v>640</v>
      </c>
      <c r="H2544" s="5">
        <f>IFERROR(__xludf.DUMMYFUNCTION("""COMPUTED_VALUE"""),3334.46)</f>
        <v>3334.46</v>
      </c>
      <c r="I2544" s="5">
        <f>IFERROR(__xludf.DUMMYFUNCTION("""COMPUTED_VALUE"""),3751.48)</f>
        <v>3751.48</v>
      </c>
      <c r="J2544" s="5">
        <f>IFERROR(__xludf.DUMMYFUNCTION("""COMPUTED_VALUE"""),7970.23)</f>
        <v>7970.23</v>
      </c>
      <c r="K2544" s="5">
        <f>IFERROR(__xludf.DUMMYFUNCTION("""COMPUTED_VALUE"""),7267.27)</f>
        <v>7267.27</v>
      </c>
      <c r="L2544" s="4">
        <f>IFERROR(__xludf.DUMMYFUNCTION("""COMPUTED_VALUE"""),18.0)</f>
        <v>18</v>
      </c>
      <c r="M2544" s="4">
        <f>IFERROR(__xludf.DUMMYFUNCTION("""COMPUTED_VALUE"""),84.0)</f>
        <v>84</v>
      </c>
      <c r="N2544" s="2" t="b">
        <f>IFERROR(__xludf.DUMMYFUNCTION("""COMPUTED_VALUE"""),FALSE)</f>
        <v>0</v>
      </c>
    </row>
    <row r="2545">
      <c r="A2545" s="2">
        <f>IFERROR(__xludf.DUMMYFUNCTION("""COMPUTED_VALUE"""),2544.0)</f>
        <v>2544</v>
      </c>
      <c r="B2545" s="2" t="str">
        <f>IFERROR(__xludf.DUMMYFUNCTION("""COMPUTED_VALUE"""),"Trix Stening")</f>
        <v>Trix Stening</v>
      </c>
      <c r="C2545" s="2"/>
      <c r="D2545" s="4">
        <f>IFERROR(__xludf.DUMMYFUNCTION("""COMPUTED_VALUE"""),116.0)</f>
        <v>116</v>
      </c>
      <c r="E2545" s="4">
        <f>IFERROR(__xludf.DUMMYFUNCTION("""COMPUTED_VALUE"""),74.0)</f>
        <v>74</v>
      </c>
      <c r="F2545" s="4">
        <f>IFERROR(__xludf.DUMMYFUNCTION("""COMPUTED_VALUE"""),1.0)</f>
        <v>1</v>
      </c>
      <c r="G2545" s="4">
        <f>IFERROR(__xludf.DUMMYFUNCTION("""COMPUTED_VALUE"""),131.0)</f>
        <v>131</v>
      </c>
      <c r="H2545" s="5">
        <f>IFERROR(__xludf.DUMMYFUNCTION("""COMPUTED_VALUE"""),4514.74)</f>
        <v>4514.74</v>
      </c>
      <c r="I2545" s="5">
        <f>IFERROR(__xludf.DUMMYFUNCTION("""COMPUTED_VALUE"""),9188.64)</f>
        <v>9188.64</v>
      </c>
      <c r="J2545" s="5">
        <f>IFERROR(__xludf.DUMMYFUNCTION("""COMPUTED_VALUE"""),7601.4)</f>
        <v>7601.4</v>
      </c>
      <c r="K2545" s="5">
        <f>IFERROR(__xludf.DUMMYFUNCTION("""COMPUTED_VALUE"""),1190.23)</f>
        <v>1190.23</v>
      </c>
      <c r="L2545" s="4">
        <f>IFERROR(__xludf.DUMMYFUNCTION("""COMPUTED_VALUE"""),12.0)</f>
        <v>12</v>
      </c>
      <c r="M2545" s="4">
        <f>IFERROR(__xludf.DUMMYFUNCTION("""COMPUTED_VALUE"""),76.0)</f>
        <v>76</v>
      </c>
      <c r="N2545" s="2" t="b">
        <f>IFERROR(__xludf.DUMMYFUNCTION("""COMPUTED_VALUE"""),TRUE)</f>
        <v>1</v>
      </c>
    </row>
    <row r="2546">
      <c r="A2546" s="2">
        <f>IFERROR(__xludf.DUMMYFUNCTION("""COMPUTED_VALUE"""),2545.0)</f>
        <v>2545</v>
      </c>
      <c r="B2546" s="2" t="str">
        <f>IFERROR(__xludf.DUMMYFUNCTION("""COMPUTED_VALUE"""),"Emalee Lafflina")</f>
        <v>Emalee Lafflina</v>
      </c>
      <c r="C2546" s="2" t="str">
        <f>IFERROR(__xludf.DUMMYFUNCTION("""COMPUTED_VALUE"""),"elafflinaf5@mashable.com")</f>
        <v>elafflinaf5@mashable.com</v>
      </c>
      <c r="D2546" s="4">
        <f>IFERROR(__xludf.DUMMYFUNCTION("""COMPUTED_VALUE"""),32.0)</f>
        <v>32</v>
      </c>
      <c r="E2546" s="4">
        <f>IFERROR(__xludf.DUMMYFUNCTION("""COMPUTED_VALUE"""),35.0)</f>
        <v>35</v>
      </c>
      <c r="F2546" s="4">
        <f>IFERROR(__xludf.DUMMYFUNCTION("""COMPUTED_VALUE"""),1.0)</f>
        <v>1</v>
      </c>
      <c r="G2546" s="4">
        <f>IFERROR(__xludf.DUMMYFUNCTION("""COMPUTED_VALUE"""),383.0)</f>
        <v>383</v>
      </c>
      <c r="H2546" s="5">
        <f>IFERROR(__xludf.DUMMYFUNCTION("""COMPUTED_VALUE"""),6220.91)</f>
        <v>6220.91</v>
      </c>
      <c r="I2546" s="5">
        <f>IFERROR(__xludf.DUMMYFUNCTION("""COMPUTED_VALUE"""),7443.36)</f>
        <v>7443.36</v>
      </c>
      <c r="J2546" s="5">
        <f>IFERROR(__xludf.DUMMYFUNCTION("""COMPUTED_VALUE"""),5822.87)</f>
        <v>5822.87</v>
      </c>
      <c r="K2546" s="5">
        <f>IFERROR(__xludf.DUMMYFUNCTION("""COMPUTED_VALUE"""),9852.34)</f>
        <v>9852.34</v>
      </c>
      <c r="L2546" s="4">
        <f>IFERROR(__xludf.DUMMYFUNCTION("""COMPUTED_VALUE"""),14.0)</f>
        <v>14</v>
      </c>
      <c r="M2546" s="4">
        <f>IFERROR(__xludf.DUMMYFUNCTION("""COMPUTED_VALUE"""),31.0)</f>
        <v>31</v>
      </c>
      <c r="N2546" s="2" t="b">
        <f>IFERROR(__xludf.DUMMYFUNCTION("""COMPUTED_VALUE"""),FALSE)</f>
        <v>0</v>
      </c>
    </row>
    <row r="2547">
      <c r="A2547" s="2">
        <f>IFERROR(__xludf.DUMMYFUNCTION("""COMPUTED_VALUE"""),2546.0)</f>
        <v>2546</v>
      </c>
      <c r="B2547" s="2" t="str">
        <f>IFERROR(__xludf.DUMMYFUNCTION("""COMPUTED_VALUE"""),"Dalila Zanetti")</f>
        <v>Dalila Zanetti</v>
      </c>
      <c r="C2547" s="2"/>
      <c r="D2547" s="4">
        <f>IFERROR(__xludf.DUMMYFUNCTION("""COMPUTED_VALUE"""),141.0)</f>
        <v>141</v>
      </c>
      <c r="E2547" s="4">
        <f>IFERROR(__xludf.DUMMYFUNCTION("""COMPUTED_VALUE"""),94.0)</f>
        <v>94</v>
      </c>
      <c r="F2547" s="4">
        <f>IFERROR(__xludf.DUMMYFUNCTION("""COMPUTED_VALUE"""),10.0)</f>
        <v>10</v>
      </c>
      <c r="G2547" s="4">
        <f>IFERROR(__xludf.DUMMYFUNCTION("""COMPUTED_VALUE"""),1327.0)</f>
        <v>1327</v>
      </c>
      <c r="H2547" s="5">
        <f>IFERROR(__xludf.DUMMYFUNCTION("""COMPUTED_VALUE"""),7282.19)</f>
        <v>7282.19</v>
      </c>
      <c r="I2547" s="5">
        <f>IFERROR(__xludf.DUMMYFUNCTION("""COMPUTED_VALUE"""),6396.17)</f>
        <v>6396.17</v>
      </c>
      <c r="J2547" s="5">
        <f>IFERROR(__xludf.DUMMYFUNCTION("""COMPUTED_VALUE"""),4183.86)</f>
        <v>4183.86</v>
      </c>
      <c r="K2547" s="5">
        <f>IFERROR(__xludf.DUMMYFUNCTION("""COMPUTED_VALUE"""),3234.1)</f>
        <v>3234.1</v>
      </c>
      <c r="L2547" s="4">
        <f>IFERROR(__xludf.DUMMYFUNCTION("""COMPUTED_VALUE"""),2.0)</f>
        <v>2</v>
      </c>
      <c r="M2547" s="4">
        <f>IFERROR(__xludf.DUMMYFUNCTION("""COMPUTED_VALUE"""),37.0)</f>
        <v>37</v>
      </c>
      <c r="N2547" s="2" t="b">
        <f>IFERROR(__xludf.DUMMYFUNCTION("""COMPUTED_VALUE"""),TRUE)</f>
        <v>1</v>
      </c>
    </row>
    <row r="2548">
      <c r="A2548" s="2">
        <f>IFERROR(__xludf.DUMMYFUNCTION("""COMPUTED_VALUE"""),2547.0)</f>
        <v>2547</v>
      </c>
      <c r="B2548" s="2" t="str">
        <f>IFERROR(__xludf.DUMMYFUNCTION("""COMPUTED_VALUE"""),"Lewie Menault")</f>
        <v>Lewie Menault</v>
      </c>
      <c r="C2548" s="2"/>
      <c r="D2548" s="4">
        <f>IFERROR(__xludf.DUMMYFUNCTION("""COMPUTED_VALUE"""),147.0)</f>
        <v>147</v>
      </c>
      <c r="E2548" s="4">
        <f>IFERROR(__xludf.DUMMYFUNCTION("""COMPUTED_VALUE"""),7.0)</f>
        <v>7</v>
      </c>
      <c r="F2548" s="4">
        <f>IFERROR(__xludf.DUMMYFUNCTION("""COMPUTED_VALUE"""),10.0)</f>
        <v>10</v>
      </c>
      <c r="G2548" s="4">
        <f>IFERROR(__xludf.DUMMYFUNCTION("""COMPUTED_VALUE"""),1275.0)</f>
        <v>1275</v>
      </c>
      <c r="H2548" s="5">
        <f>IFERROR(__xludf.DUMMYFUNCTION("""COMPUTED_VALUE"""),152.67)</f>
        <v>152.67</v>
      </c>
      <c r="I2548" s="5">
        <f>IFERROR(__xludf.DUMMYFUNCTION("""COMPUTED_VALUE"""),8058.03)</f>
        <v>8058.03</v>
      </c>
      <c r="J2548" s="5">
        <f>IFERROR(__xludf.DUMMYFUNCTION("""COMPUTED_VALUE"""),5556.37)</f>
        <v>5556.37</v>
      </c>
      <c r="K2548" s="5">
        <f>IFERROR(__xludf.DUMMYFUNCTION("""COMPUTED_VALUE"""),4431.48)</f>
        <v>4431.48</v>
      </c>
      <c r="L2548" s="4">
        <f>IFERROR(__xludf.DUMMYFUNCTION("""COMPUTED_VALUE"""),14.0)</f>
        <v>14</v>
      </c>
      <c r="M2548" s="4">
        <f>IFERROR(__xludf.DUMMYFUNCTION("""COMPUTED_VALUE"""),3.0)</f>
        <v>3</v>
      </c>
      <c r="N2548" s="2" t="b">
        <f>IFERROR(__xludf.DUMMYFUNCTION("""COMPUTED_VALUE"""),FALSE)</f>
        <v>0</v>
      </c>
    </row>
    <row r="2549">
      <c r="A2549" s="2">
        <f>IFERROR(__xludf.DUMMYFUNCTION("""COMPUTED_VALUE"""),2548.0)</f>
        <v>2548</v>
      </c>
      <c r="B2549" s="2" t="str">
        <f>IFERROR(__xludf.DUMMYFUNCTION("""COMPUTED_VALUE"""),"Moritz Gritten")</f>
        <v>Moritz Gritten</v>
      </c>
      <c r="C2549" s="2" t="str">
        <f>IFERROR(__xludf.DUMMYFUNCTION("""COMPUTED_VALUE"""),"mgrittenf8@delicious.com")</f>
        <v>mgrittenf8@delicious.com</v>
      </c>
      <c r="D2549" s="4">
        <f>IFERROR(__xludf.DUMMYFUNCTION("""COMPUTED_VALUE"""),141.0)</f>
        <v>141</v>
      </c>
      <c r="E2549" s="4">
        <f>IFERROR(__xludf.DUMMYFUNCTION("""COMPUTED_VALUE"""),40.0)</f>
        <v>40</v>
      </c>
      <c r="F2549" s="4">
        <f>IFERROR(__xludf.DUMMYFUNCTION("""COMPUTED_VALUE"""),9.0)</f>
        <v>9</v>
      </c>
      <c r="G2549" s="4">
        <f>IFERROR(__xludf.DUMMYFUNCTION("""COMPUTED_VALUE"""),914.0)</f>
        <v>914</v>
      </c>
      <c r="H2549" s="5">
        <f>IFERROR(__xludf.DUMMYFUNCTION("""COMPUTED_VALUE"""),115.4)</f>
        <v>115.4</v>
      </c>
      <c r="I2549" s="5">
        <f>IFERROR(__xludf.DUMMYFUNCTION("""COMPUTED_VALUE"""),6595.74)</f>
        <v>6595.74</v>
      </c>
      <c r="J2549" s="5">
        <f>IFERROR(__xludf.DUMMYFUNCTION("""COMPUTED_VALUE"""),8623.23)</f>
        <v>8623.23</v>
      </c>
      <c r="K2549" s="5">
        <f>IFERROR(__xludf.DUMMYFUNCTION("""COMPUTED_VALUE"""),6906.32)</f>
        <v>6906.32</v>
      </c>
      <c r="L2549" s="4">
        <f>IFERROR(__xludf.DUMMYFUNCTION("""COMPUTED_VALUE"""),5.0)</f>
        <v>5</v>
      </c>
      <c r="M2549" s="4">
        <f>IFERROR(__xludf.DUMMYFUNCTION("""COMPUTED_VALUE"""),47.0)</f>
        <v>47</v>
      </c>
      <c r="N2549" s="2" t="b">
        <f>IFERROR(__xludf.DUMMYFUNCTION("""COMPUTED_VALUE"""),FALSE)</f>
        <v>0</v>
      </c>
    </row>
    <row r="2550">
      <c r="A2550" s="2">
        <f>IFERROR(__xludf.DUMMYFUNCTION("""COMPUTED_VALUE"""),2549.0)</f>
        <v>2549</v>
      </c>
      <c r="B2550" s="2" t="str">
        <f>IFERROR(__xludf.DUMMYFUNCTION("""COMPUTED_VALUE"""),"Monty Cooney")</f>
        <v>Monty Cooney</v>
      </c>
      <c r="C2550" s="2" t="str">
        <f>IFERROR(__xludf.DUMMYFUNCTION("""COMPUTED_VALUE"""),"mcooneyf9@ebay.com")</f>
        <v>mcooneyf9@ebay.com</v>
      </c>
      <c r="D2550" s="4">
        <f>IFERROR(__xludf.DUMMYFUNCTION("""COMPUTED_VALUE"""),105.0)</f>
        <v>105</v>
      </c>
      <c r="E2550" s="4">
        <f>IFERROR(__xludf.DUMMYFUNCTION("""COMPUTED_VALUE"""),57.0)</f>
        <v>57</v>
      </c>
      <c r="F2550" s="4">
        <f>IFERROR(__xludf.DUMMYFUNCTION("""COMPUTED_VALUE"""),4.0)</f>
        <v>4</v>
      </c>
      <c r="G2550" s="4">
        <f>IFERROR(__xludf.DUMMYFUNCTION("""COMPUTED_VALUE"""),833.0)</f>
        <v>833</v>
      </c>
      <c r="H2550" s="5">
        <f>IFERROR(__xludf.DUMMYFUNCTION("""COMPUTED_VALUE"""),5502.26)</f>
        <v>5502.26</v>
      </c>
      <c r="I2550" s="5">
        <f>IFERROR(__xludf.DUMMYFUNCTION("""COMPUTED_VALUE"""),5702.44)</f>
        <v>5702.44</v>
      </c>
      <c r="J2550" s="5">
        <f>IFERROR(__xludf.DUMMYFUNCTION("""COMPUTED_VALUE"""),9565.71)</f>
        <v>9565.71</v>
      </c>
      <c r="K2550" s="5">
        <f>IFERROR(__xludf.DUMMYFUNCTION("""COMPUTED_VALUE"""),4968.53)</f>
        <v>4968.53</v>
      </c>
      <c r="L2550" s="4">
        <f>IFERROR(__xludf.DUMMYFUNCTION("""COMPUTED_VALUE"""),18.0)</f>
        <v>18</v>
      </c>
      <c r="M2550" s="4">
        <f>IFERROR(__xludf.DUMMYFUNCTION("""COMPUTED_VALUE"""),83.0)</f>
        <v>83</v>
      </c>
      <c r="N2550" s="2" t="b">
        <f>IFERROR(__xludf.DUMMYFUNCTION("""COMPUTED_VALUE"""),FALSE)</f>
        <v>0</v>
      </c>
    </row>
    <row r="2551">
      <c r="A2551" s="2">
        <f>IFERROR(__xludf.DUMMYFUNCTION("""COMPUTED_VALUE"""),2550.0)</f>
        <v>2550</v>
      </c>
      <c r="B2551" s="2" t="str">
        <f>IFERROR(__xludf.DUMMYFUNCTION("""COMPUTED_VALUE"""),"Matilde Woodroof")</f>
        <v>Matilde Woodroof</v>
      </c>
      <c r="C2551" s="2" t="str">
        <f>IFERROR(__xludf.DUMMYFUNCTION("""COMPUTED_VALUE"""),"mwoodrooffa@cdc.gov")</f>
        <v>mwoodrooffa@cdc.gov</v>
      </c>
      <c r="D2551" s="4">
        <f>IFERROR(__xludf.DUMMYFUNCTION("""COMPUTED_VALUE"""),148.0)</f>
        <v>148</v>
      </c>
      <c r="E2551" s="4">
        <f>IFERROR(__xludf.DUMMYFUNCTION("""COMPUTED_VALUE"""),51.0)</f>
        <v>51</v>
      </c>
      <c r="F2551" s="4">
        <f>IFERROR(__xludf.DUMMYFUNCTION("""COMPUTED_VALUE"""),1.0)</f>
        <v>1</v>
      </c>
      <c r="G2551" s="4">
        <f>IFERROR(__xludf.DUMMYFUNCTION("""COMPUTED_VALUE"""),1061.0)</f>
        <v>1061</v>
      </c>
      <c r="H2551" s="5">
        <f>IFERROR(__xludf.DUMMYFUNCTION("""COMPUTED_VALUE"""),5260.27)</f>
        <v>5260.27</v>
      </c>
      <c r="I2551" s="5">
        <f>IFERROR(__xludf.DUMMYFUNCTION("""COMPUTED_VALUE"""),7233.01)</f>
        <v>7233.01</v>
      </c>
      <c r="J2551" s="5">
        <f>IFERROR(__xludf.DUMMYFUNCTION("""COMPUTED_VALUE"""),5692.46)</f>
        <v>5692.46</v>
      </c>
      <c r="K2551" s="5">
        <f>IFERROR(__xludf.DUMMYFUNCTION("""COMPUTED_VALUE"""),8404.18)</f>
        <v>8404.18</v>
      </c>
      <c r="L2551" s="4">
        <f>IFERROR(__xludf.DUMMYFUNCTION("""COMPUTED_VALUE"""),6.0)</f>
        <v>6</v>
      </c>
      <c r="M2551" s="4">
        <f>IFERROR(__xludf.DUMMYFUNCTION("""COMPUTED_VALUE"""),64.0)</f>
        <v>64</v>
      </c>
      <c r="N2551" s="2" t="b">
        <f>IFERROR(__xludf.DUMMYFUNCTION("""COMPUTED_VALUE"""),TRUE)</f>
        <v>1</v>
      </c>
    </row>
    <row r="2552">
      <c r="A2552" s="2">
        <f>IFERROR(__xludf.DUMMYFUNCTION("""COMPUTED_VALUE"""),2551.0)</f>
        <v>2551</v>
      </c>
      <c r="B2552" s="2" t="str">
        <f>IFERROR(__xludf.DUMMYFUNCTION("""COMPUTED_VALUE"""),"Ansley O' Liddy")</f>
        <v>Ansley O' Liddy</v>
      </c>
      <c r="C2552" s="2"/>
      <c r="D2552" s="4">
        <f>IFERROR(__xludf.DUMMYFUNCTION("""COMPUTED_VALUE"""),82.0)</f>
        <v>82</v>
      </c>
      <c r="E2552" s="4">
        <f>IFERROR(__xludf.DUMMYFUNCTION("""COMPUTED_VALUE"""),93.0)</f>
        <v>93</v>
      </c>
      <c r="F2552" s="4">
        <f>IFERROR(__xludf.DUMMYFUNCTION("""COMPUTED_VALUE"""),12.0)</f>
        <v>12</v>
      </c>
      <c r="G2552" s="4">
        <f>IFERROR(__xludf.DUMMYFUNCTION("""COMPUTED_VALUE"""),1179.0)</f>
        <v>1179</v>
      </c>
      <c r="H2552" s="5">
        <f>IFERROR(__xludf.DUMMYFUNCTION("""COMPUTED_VALUE"""),2124.64)</f>
        <v>2124.64</v>
      </c>
      <c r="I2552" s="5">
        <f>IFERROR(__xludf.DUMMYFUNCTION("""COMPUTED_VALUE"""),5041.24)</f>
        <v>5041.24</v>
      </c>
      <c r="J2552" s="5">
        <f>IFERROR(__xludf.DUMMYFUNCTION("""COMPUTED_VALUE"""),6933.61)</f>
        <v>6933.61</v>
      </c>
      <c r="K2552" s="5">
        <f>IFERROR(__xludf.DUMMYFUNCTION("""COMPUTED_VALUE"""),6611.25)</f>
        <v>6611.25</v>
      </c>
      <c r="L2552" s="4">
        <f>IFERROR(__xludf.DUMMYFUNCTION("""COMPUTED_VALUE"""),8.0)</f>
        <v>8</v>
      </c>
      <c r="M2552" s="4">
        <f>IFERROR(__xludf.DUMMYFUNCTION("""COMPUTED_VALUE"""),44.0)</f>
        <v>44</v>
      </c>
      <c r="N2552" s="2" t="b">
        <f>IFERROR(__xludf.DUMMYFUNCTION("""COMPUTED_VALUE"""),FALSE)</f>
        <v>0</v>
      </c>
    </row>
    <row r="2553">
      <c r="A2553" s="2">
        <f>IFERROR(__xludf.DUMMYFUNCTION("""COMPUTED_VALUE"""),2552.0)</f>
        <v>2552</v>
      </c>
      <c r="B2553" s="2" t="str">
        <f>IFERROR(__xludf.DUMMYFUNCTION("""COMPUTED_VALUE"""),"Even Slowan")</f>
        <v>Even Slowan</v>
      </c>
      <c r="C2553" s="2" t="str">
        <f>IFERROR(__xludf.DUMMYFUNCTION("""COMPUTED_VALUE"""),"eslowanfc@tuttocitta.it")</f>
        <v>eslowanfc@tuttocitta.it</v>
      </c>
      <c r="D2553" s="4">
        <f>IFERROR(__xludf.DUMMYFUNCTION("""COMPUTED_VALUE"""),114.0)</f>
        <v>114</v>
      </c>
      <c r="E2553" s="4">
        <f>IFERROR(__xludf.DUMMYFUNCTION("""COMPUTED_VALUE"""),6.0)</f>
        <v>6</v>
      </c>
      <c r="F2553" s="4">
        <f>IFERROR(__xludf.DUMMYFUNCTION("""COMPUTED_VALUE"""),2.0)</f>
        <v>2</v>
      </c>
      <c r="G2553" s="4">
        <f>IFERROR(__xludf.DUMMYFUNCTION("""COMPUTED_VALUE"""),1373.0)</f>
        <v>1373</v>
      </c>
      <c r="H2553" s="5">
        <f>IFERROR(__xludf.DUMMYFUNCTION("""COMPUTED_VALUE"""),5275.04)</f>
        <v>5275.04</v>
      </c>
      <c r="I2553" s="5">
        <f>IFERROR(__xludf.DUMMYFUNCTION("""COMPUTED_VALUE"""),3210.91)</f>
        <v>3210.91</v>
      </c>
      <c r="J2553" s="5">
        <f>IFERROR(__xludf.DUMMYFUNCTION("""COMPUTED_VALUE"""),2547.48)</f>
        <v>2547.48</v>
      </c>
      <c r="K2553" s="5">
        <f>IFERROR(__xludf.DUMMYFUNCTION("""COMPUTED_VALUE"""),2385.98)</f>
        <v>2385.98</v>
      </c>
      <c r="L2553" s="4">
        <f>IFERROR(__xludf.DUMMYFUNCTION("""COMPUTED_VALUE"""),4.0)</f>
        <v>4</v>
      </c>
      <c r="M2553" s="4">
        <f>IFERROR(__xludf.DUMMYFUNCTION("""COMPUTED_VALUE"""),76.0)</f>
        <v>76</v>
      </c>
      <c r="N2553" s="2" t="b">
        <f>IFERROR(__xludf.DUMMYFUNCTION("""COMPUTED_VALUE"""),TRUE)</f>
        <v>1</v>
      </c>
    </row>
    <row r="2554">
      <c r="A2554" s="2">
        <f>IFERROR(__xludf.DUMMYFUNCTION("""COMPUTED_VALUE"""),2553.0)</f>
        <v>2553</v>
      </c>
      <c r="B2554" s="2" t="str">
        <f>IFERROR(__xludf.DUMMYFUNCTION("""COMPUTED_VALUE"""),"Kermit Haverty")</f>
        <v>Kermit Haverty</v>
      </c>
      <c r="C2554" s="2" t="str">
        <f>IFERROR(__xludf.DUMMYFUNCTION("""COMPUTED_VALUE"""),"khavertyfd@spiegel.de")</f>
        <v>khavertyfd@spiegel.de</v>
      </c>
      <c r="D2554" s="4">
        <f>IFERROR(__xludf.DUMMYFUNCTION("""COMPUTED_VALUE"""),85.0)</f>
        <v>85</v>
      </c>
      <c r="E2554" s="4">
        <f>IFERROR(__xludf.DUMMYFUNCTION("""COMPUTED_VALUE"""),120.0)</f>
        <v>120</v>
      </c>
      <c r="F2554" s="4">
        <f>IFERROR(__xludf.DUMMYFUNCTION("""COMPUTED_VALUE"""),8.0)</f>
        <v>8</v>
      </c>
      <c r="G2554" s="4">
        <f>IFERROR(__xludf.DUMMYFUNCTION("""COMPUTED_VALUE"""),595.0)</f>
        <v>595</v>
      </c>
      <c r="H2554" s="5">
        <f>IFERROR(__xludf.DUMMYFUNCTION("""COMPUTED_VALUE"""),9280.39)</f>
        <v>9280.39</v>
      </c>
      <c r="I2554" s="5">
        <f>IFERROR(__xludf.DUMMYFUNCTION("""COMPUTED_VALUE"""),3960.03)</f>
        <v>3960.03</v>
      </c>
      <c r="J2554" s="5">
        <f>IFERROR(__xludf.DUMMYFUNCTION("""COMPUTED_VALUE"""),5886.52)</f>
        <v>5886.52</v>
      </c>
      <c r="K2554" s="5">
        <f>IFERROR(__xludf.DUMMYFUNCTION("""COMPUTED_VALUE"""),2683.27)</f>
        <v>2683.27</v>
      </c>
      <c r="L2554" s="4">
        <f>IFERROR(__xludf.DUMMYFUNCTION("""COMPUTED_VALUE"""),17.0)</f>
        <v>17</v>
      </c>
      <c r="M2554" s="4">
        <f>IFERROR(__xludf.DUMMYFUNCTION("""COMPUTED_VALUE"""),3.0)</f>
        <v>3</v>
      </c>
      <c r="N2554" s="2" t="b">
        <f>IFERROR(__xludf.DUMMYFUNCTION("""COMPUTED_VALUE"""),FALSE)</f>
        <v>0</v>
      </c>
    </row>
    <row r="2555">
      <c r="A2555" s="2">
        <f>IFERROR(__xludf.DUMMYFUNCTION("""COMPUTED_VALUE"""),2554.0)</f>
        <v>2554</v>
      </c>
      <c r="B2555" s="2" t="str">
        <f>IFERROR(__xludf.DUMMYFUNCTION("""COMPUTED_VALUE"""),"Robinet Weatherell")</f>
        <v>Robinet Weatherell</v>
      </c>
      <c r="C2555" s="2"/>
      <c r="D2555" s="4">
        <f>IFERROR(__xludf.DUMMYFUNCTION("""COMPUTED_VALUE"""),29.0)</f>
        <v>29</v>
      </c>
      <c r="E2555" s="4">
        <f>IFERROR(__xludf.DUMMYFUNCTION("""COMPUTED_VALUE"""),52.0)</f>
        <v>52</v>
      </c>
      <c r="F2555" s="4">
        <f>IFERROR(__xludf.DUMMYFUNCTION("""COMPUTED_VALUE"""),12.0)</f>
        <v>12</v>
      </c>
      <c r="G2555" s="4">
        <f>IFERROR(__xludf.DUMMYFUNCTION("""COMPUTED_VALUE"""),1137.0)</f>
        <v>1137</v>
      </c>
      <c r="H2555" s="5">
        <f>IFERROR(__xludf.DUMMYFUNCTION("""COMPUTED_VALUE"""),6402.16)</f>
        <v>6402.16</v>
      </c>
      <c r="I2555" s="5">
        <f>IFERROR(__xludf.DUMMYFUNCTION("""COMPUTED_VALUE"""),6599.22)</f>
        <v>6599.22</v>
      </c>
      <c r="J2555" s="5">
        <f>IFERROR(__xludf.DUMMYFUNCTION("""COMPUTED_VALUE"""),9605.8)</f>
        <v>9605.8</v>
      </c>
      <c r="K2555" s="5">
        <f>IFERROR(__xludf.DUMMYFUNCTION("""COMPUTED_VALUE"""),919.17)</f>
        <v>919.17</v>
      </c>
      <c r="L2555" s="4">
        <f>IFERROR(__xludf.DUMMYFUNCTION("""COMPUTED_VALUE"""),16.0)</f>
        <v>16</v>
      </c>
      <c r="M2555" s="4">
        <f>IFERROR(__xludf.DUMMYFUNCTION("""COMPUTED_VALUE"""),26.0)</f>
        <v>26</v>
      </c>
      <c r="N2555" s="2" t="b">
        <f>IFERROR(__xludf.DUMMYFUNCTION("""COMPUTED_VALUE"""),FALSE)</f>
        <v>0</v>
      </c>
    </row>
    <row r="2556">
      <c r="A2556" s="2">
        <f>IFERROR(__xludf.DUMMYFUNCTION("""COMPUTED_VALUE"""),2555.0)</f>
        <v>2555</v>
      </c>
      <c r="B2556" s="2" t="str">
        <f>IFERROR(__xludf.DUMMYFUNCTION("""COMPUTED_VALUE"""),"Francyne Tripp")</f>
        <v>Francyne Tripp</v>
      </c>
      <c r="C2556" s="2" t="str">
        <f>IFERROR(__xludf.DUMMYFUNCTION("""COMPUTED_VALUE"""),"ftrippff@disqus.com")</f>
        <v>ftrippff@disqus.com</v>
      </c>
      <c r="D2556" s="4">
        <f>IFERROR(__xludf.DUMMYFUNCTION("""COMPUTED_VALUE"""),31.0)</f>
        <v>31</v>
      </c>
      <c r="E2556" s="4">
        <f>IFERROR(__xludf.DUMMYFUNCTION("""COMPUTED_VALUE"""),76.0)</f>
        <v>76</v>
      </c>
      <c r="F2556" s="4">
        <f>IFERROR(__xludf.DUMMYFUNCTION("""COMPUTED_VALUE"""),6.0)</f>
        <v>6</v>
      </c>
      <c r="G2556" s="4">
        <f>IFERROR(__xludf.DUMMYFUNCTION("""COMPUTED_VALUE"""),113.0)</f>
        <v>113</v>
      </c>
      <c r="H2556" s="5">
        <f>IFERROR(__xludf.DUMMYFUNCTION("""COMPUTED_VALUE"""),7350.06)</f>
        <v>7350.06</v>
      </c>
      <c r="I2556" s="5">
        <f>IFERROR(__xludf.DUMMYFUNCTION("""COMPUTED_VALUE"""),5335.35)</f>
        <v>5335.35</v>
      </c>
      <c r="J2556" s="5">
        <f>IFERROR(__xludf.DUMMYFUNCTION("""COMPUTED_VALUE"""),5437.57)</f>
        <v>5437.57</v>
      </c>
      <c r="K2556" s="5">
        <f>IFERROR(__xludf.DUMMYFUNCTION("""COMPUTED_VALUE"""),9504.22)</f>
        <v>9504.22</v>
      </c>
      <c r="L2556" s="4">
        <f>IFERROR(__xludf.DUMMYFUNCTION("""COMPUTED_VALUE"""),2.0)</f>
        <v>2</v>
      </c>
      <c r="M2556" s="4">
        <f>IFERROR(__xludf.DUMMYFUNCTION("""COMPUTED_VALUE"""),84.0)</f>
        <v>84</v>
      </c>
      <c r="N2556" s="2" t="b">
        <f>IFERROR(__xludf.DUMMYFUNCTION("""COMPUTED_VALUE"""),TRUE)</f>
        <v>1</v>
      </c>
    </row>
    <row r="2557">
      <c r="A2557" s="2">
        <f>IFERROR(__xludf.DUMMYFUNCTION("""COMPUTED_VALUE"""),2556.0)</f>
        <v>2556</v>
      </c>
      <c r="B2557" s="2" t="str">
        <f>IFERROR(__xludf.DUMMYFUNCTION("""COMPUTED_VALUE"""),"Sayre Hennington")</f>
        <v>Sayre Hennington</v>
      </c>
      <c r="C2557" s="2"/>
      <c r="D2557" s="4">
        <f>IFERROR(__xludf.DUMMYFUNCTION("""COMPUTED_VALUE"""),138.0)</f>
        <v>138</v>
      </c>
      <c r="E2557" s="4">
        <f>IFERROR(__xludf.DUMMYFUNCTION("""COMPUTED_VALUE"""),15.0)</f>
        <v>15</v>
      </c>
      <c r="F2557" s="4">
        <f>IFERROR(__xludf.DUMMYFUNCTION("""COMPUTED_VALUE"""),3.0)</f>
        <v>3</v>
      </c>
      <c r="G2557" s="4">
        <f>IFERROR(__xludf.DUMMYFUNCTION("""COMPUTED_VALUE"""),171.0)</f>
        <v>171</v>
      </c>
      <c r="H2557" s="5">
        <f>IFERROR(__xludf.DUMMYFUNCTION("""COMPUTED_VALUE"""),5766.16)</f>
        <v>5766.16</v>
      </c>
      <c r="I2557" s="5">
        <f>IFERROR(__xludf.DUMMYFUNCTION("""COMPUTED_VALUE"""),1384.14)</f>
        <v>1384.14</v>
      </c>
      <c r="J2557" s="5">
        <f>IFERROR(__xludf.DUMMYFUNCTION("""COMPUTED_VALUE"""),784.96)</f>
        <v>784.96</v>
      </c>
      <c r="K2557" s="5">
        <f>IFERROR(__xludf.DUMMYFUNCTION("""COMPUTED_VALUE"""),5732.8)</f>
        <v>5732.8</v>
      </c>
      <c r="L2557" s="4">
        <f>IFERROR(__xludf.DUMMYFUNCTION("""COMPUTED_VALUE"""),11.0)</f>
        <v>11</v>
      </c>
      <c r="M2557" s="4">
        <f>IFERROR(__xludf.DUMMYFUNCTION("""COMPUTED_VALUE"""),57.0)</f>
        <v>57</v>
      </c>
      <c r="N2557" s="2" t="b">
        <f>IFERROR(__xludf.DUMMYFUNCTION("""COMPUTED_VALUE"""),TRUE)</f>
        <v>1</v>
      </c>
    </row>
    <row r="2558">
      <c r="A2558" s="2">
        <f>IFERROR(__xludf.DUMMYFUNCTION("""COMPUTED_VALUE"""),2557.0)</f>
        <v>2557</v>
      </c>
      <c r="B2558" s="2" t="str">
        <f>IFERROR(__xludf.DUMMYFUNCTION("""COMPUTED_VALUE"""),"Nelly Hamber")</f>
        <v>Nelly Hamber</v>
      </c>
      <c r="C2558" s="2"/>
      <c r="D2558" s="4">
        <f>IFERROR(__xludf.DUMMYFUNCTION("""COMPUTED_VALUE"""),81.0)</f>
        <v>81</v>
      </c>
      <c r="E2558" s="4">
        <f>IFERROR(__xludf.DUMMYFUNCTION("""COMPUTED_VALUE"""),67.0)</f>
        <v>67</v>
      </c>
      <c r="F2558" s="4">
        <f>IFERROR(__xludf.DUMMYFUNCTION("""COMPUTED_VALUE"""),11.0)</f>
        <v>11</v>
      </c>
      <c r="G2558" s="4">
        <f>IFERROR(__xludf.DUMMYFUNCTION("""COMPUTED_VALUE"""),130.0)</f>
        <v>130</v>
      </c>
      <c r="H2558" s="5">
        <f>IFERROR(__xludf.DUMMYFUNCTION("""COMPUTED_VALUE"""),5983.48)</f>
        <v>5983.48</v>
      </c>
      <c r="I2558" s="5">
        <f>IFERROR(__xludf.DUMMYFUNCTION("""COMPUTED_VALUE"""),8276.93)</f>
        <v>8276.93</v>
      </c>
      <c r="J2558" s="5">
        <f>IFERROR(__xludf.DUMMYFUNCTION("""COMPUTED_VALUE"""),9455.26)</f>
        <v>9455.26</v>
      </c>
      <c r="K2558" s="5">
        <f>IFERROR(__xludf.DUMMYFUNCTION("""COMPUTED_VALUE"""),8865.51)</f>
        <v>8865.51</v>
      </c>
      <c r="L2558" s="4">
        <f>IFERROR(__xludf.DUMMYFUNCTION("""COMPUTED_VALUE"""),3.0)</f>
        <v>3</v>
      </c>
      <c r="M2558" s="4">
        <f>IFERROR(__xludf.DUMMYFUNCTION("""COMPUTED_VALUE"""),36.0)</f>
        <v>36</v>
      </c>
      <c r="N2558" s="2" t="b">
        <f>IFERROR(__xludf.DUMMYFUNCTION("""COMPUTED_VALUE"""),TRUE)</f>
        <v>1</v>
      </c>
    </row>
    <row r="2559">
      <c r="A2559" s="2">
        <f>IFERROR(__xludf.DUMMYFUNCTION("""COMPUTED_VALUE"""),2558.0)</f>
        <v>2558</v>
      </c>
      <c r="B2559" s="2" t="str">
        <f>IFERROR(__xludf.DUMMYFUNCTION("""COMPUTED_VALUE"""),"Luce Poleye")</f>
        <v>Luce Poleye</v>
      </c>
      <c r="C2559" s="2" t="str">
        <f>IFERROR(__xludf.DUMMYFUNCTION("""COMPUTED_VALUE"""),"lpoleyefi@springer.com")</f>
        <v>lpoleyefi@springer.com</v>
      </c>
      <c r="D2559" s="4">
        <f>IFERROR(__xludf.DUMMYFUNCTION("""COMPUTED_VALUE"""),69.0)</f>
        <v>69</v>
      </c>
      <c r="E2559" s="4">
        <f>IFERROR(__xludf.DUMMYFUNCTION("""COMPUTED_VALUE"""),42.0)</f>
        <v>42</v>
      </c>
      <c r="F2559" s="4">
        <f>IFERROR(__xludf.DUMMYFUNCTION("""COMPUTED_VALUE"""),7.0)</f>
        <v>7</v>
      </c>
      <c r="G2559" s="4">
        <f>IFERROR(__xludf.DUMMYFUNCTION("""COMPUTED_VALUE"""),170.0)</f>
        <v>170</v>
      </c>
      <c r="H2559" s="5">
        <f>IFERROR(__xludf.DUMMYFUNCTION("""COMPUTED_VALUE"""),3326.12)</f>
        <v>3326.12</v>
      </c>
      <c r="I2559" s="5">
        <f>IFERROR(__xludf.DUMMYFUNCTION("""COMPUTED_VALUE"""),333.22)</f>
        <v>333.22</v>
      </c>
      <c r="J2559" s="5">
        <f>IFERROR(__xludf.DUMMYFUNCTION("""COMPUTED_VALUE"""),7952.68)</f>
        <v>7952.68</v>
      </c>
      <c r="K2559" s="5">
        <f>IFERROR(__xludf.DUMMYFUNCTION("""COMPUTED_VALUE"""),3493.18)</f>
        <v>3493.18</v>
      </c>
      <c r="L2559" s="4">
        <f>IFERROR(__xludf.DUMMYFUNCTION("""COMPUTED_VALUE"""),2.0)</f>
        <v>2</v>
      </c>
      <c r="M2559" s="4">
        <f>IFERROR(__xludf.DUMMYFUNCTION("""COMPUTED_VALUE"""),9.0)</f>
        <v>9</v>
      </c>
      <c r="N2559" s="2" t="b">
        <f>IFERROR(__xludf.DUMMYFUNCTION("""COMPUTED_VALUE"""),FALSE)</f>
        <v>0</v>
      </c>
    </row>
    <row r="2560">
      <c r="A2560" s="2">
        <f>IFERROR(__xludf.DUMMYFUNCTION("""COMPUTED_VALUE"""),2559.0)</f>
        <v>2559</v>
      </c>
      <c r="B2560" s="2" t="str">
        <f>IFERROR(__xludf.DUMMYFUNCTION("""COMPUTED_VALUE"""),"Breena Ruthen")</f>
        <v>Breena Ruthen</v>
      </c>
      <c r="C2560" s="2" t="str">
        <f>IFERROR(__xludf.DUMMYFUNCTION("""COMPUTED_VALUE"""),"bruthenfj@pinterest.com")</f>
        <v>bruthenfj@pinterest.com</v>
      </c>
      <c r="D2560" s="4">
        <f>IFERROR(__xludf.DUMMYFUNCTION("""COMPUTED_VALUE"""),66.0)</f>
        <v>66</v>
      </c>
      <c r="E2560" s="4">
        <f>IFERROR(__xludf.DUMMYFUNCTION("""COMPUTED_VALUE"""),17.0)</f>
        <v>17</v>
      </c>
      <c r="F2560" s="4">
        <f>IFERROR(__xludf.DUMMYFUNCTION("""COMPUTED_VALUE"""),8.0)</f>
        <v>8</v>
      </c>
      <c r="G2560" s="4">
        <f>IFERROR(__xludf.DUMMYFUNCTION("""COMPUTED_VALUE"""),1015.0)</f>
        <v>1015</v>
      </c>
      <c r="H2560" s="5">
        <f>IFERROR(__xludf.DUMMYFUNCTION("""COMPUTED_VALUE"""),1747.53)</f>
        <v>1747.53</v>
      </c>
      <c r="I2560" s="5">
        <f>IFERROR(__xludf.DUMMYFUNCTION("""COMPUTED_VALUE"""),847.18)</f>
        <v>847.18</v>
      </c>
      <c r="J2560" s="5">
        <f>IFERROR(__xludf.DUMMYFUNCTION("""COMPUTED_VALUE"""),3774.06)</f>
        <v>3774.06</v>
      </c>
      <c r="K2560" s="5">
        <f>IFERROR(__xludf.DUMMYFUNCTION("""COMPUTED_VALUE"""),3343.54)</f>
        <v>3343.54</v>
      </c>
      <c r="L2560" s="4">
        <f>IFERROR(__xludf.DUMMYFUNCTION("""COMPUTED_VALUE"""),15.0)</f>
        <v>15</v>
      </c>
      <c r="M2560" s="4">
        <f>IFERROR(__xludf.DUMMYFUNCTION("""COMPUTED_VALUE"""),37.0)</f>
        <v>37</v>
      </c>
      <c r="N2560" s="2" t="b">
        <f>IFERROR(__xludf.DUMMYFUNCTION("""COMPUTED_VALUE"""),FALSE)</f>
        <v>0</v>
      </c>
    </row>
    <row r="2561">
      <c r="A2561" s="2">
        <f>IFERROR(__xludf.DUMMYFUNCTION("""COMPUTED_VALUE"""),2560.0)</f>
        <v>2560</v>
      </c>
      <c r="B2561" s="2" t="str">
        <f>IFERROR(__xludf.DUMMYFUNCTION("""COMPUTED_VALUE"""),"Gibbie Crownshaw")</f>
        <v>Gibbie Crownshaw</v>
      </c>
      <c r="C2561" s="2"/>
      <c r="D2561" s="4">
        <f>IFERROR(__xludf.DUMMYFUNCTION("""COMPUTED_VALUE"""),160.0)</f>
        <v>160</v>
      </c>
      <c r="E2561" s="4">
        <f>IFERROR(__xludf.DUMMYFUNCTION("""COMPUTED_VALUE"""),51.0)</f>
        <v>51</v>
      </c>
      <c r="F2561" s="4">
        <f>IFERROR(__xludf.DUMMYFUNCTION("""COMPUTED_VALUE"""),5.0)</f>
        <v>5</v>
      </c>
      <c r="G2561" s="4">
        <f>IFERROR(__xludf.DUMMYFUNCTION("""COMPUTED_VALUE"""),46.0)</f>
        <v>46</v>
      </c>
      <c r="H2561" s="5">
        <f>IFERROR(__xludf.DUMMYFUNCTION("""COMPUTED_VALUE"""),7644.88)</f>
        <v>7644.88</v>
      </c>
      <c r="I2561" s="5">
        <f>IFERROR(__xludf.DUMMYFUNCTION("""COMPUTED_VALUE"""),792.98)</f>
        <v>792.98</v>
      </c>
      <c r="J2561" s="5">
        <f>IFERROR(__xludf.DUMMYFUNCTION("""COMPUTED_VALUE"""),2163.59)</f>
        <v>2163.59</v>
      </c>
      <c r="K2561" s="5">
        <f>IFERROR(__xludf.DUMMYFUNCTION("""COMPUTED_VALUE"""),9647.19)</f>
        <v>9647.19</v>
      </c>
      <c r="L2561" s="4">
        <f>IFERROR(__xludf.DUMMYFUNCTION("""COMPUTED_VALUE"""),14.0)</f>
        <v>14</v>
      </c>
      <c r="M2561" s="4">
        <f>IFERROR(__xludf.DUMMYFUNCTION("""COMPUTED_VALUE"""),76.0)</f>
        <v>76</v>
      </c>
      <c r="N2561" s="2" t="b">
        <f>IFERROR(__xludf.DUMMYFUNCTION("""COMPUTED_VALUE"""),TRUE)</f>
        <v>1</v>
      </c>
    </row>
    <row r="2562">
      <c r="A2562" s="2">
        <f>IFERROR(__xludf.DUMMYFUNCTION("""COMPUTED_VALUE"""),2561.0)</f>
        <v>2561</v>
      </c>
      <c r="B2562" s="2" t="str">
        <f>IFERROR(__xludf.DUMMYFUNCTION("""COMPUTED_VALUE"""),"Hew Sheen")</f>
        <v>Hew Sheen</v>
      </c>
      <c r="C2562" s="2" t="str">
        <f>IFERROR(__xludf.DUMMYFUNCTION("""COMPUTED_VALUE"""),"hsheenfl@businesswire.com")</f>
        <v>hsheenfl@businesswire.com</v>
      </c>
      <c r="D2562" s="4">
        <f>IFERROR(__xludf.DUMMYFUNCTION("""COMPUTED_VALUE"""),102.0)</f>
        <v>102</v>
      </c>
      <c r="E2562" s="4">
        <f>IFERROR(__xludf.DUMMYFUNCTION("""COMPUTED_VALUE"""),14.0)</f>
        <v>14</v>
      </c>
      <c r="F2562" s="4">
        <f>IFERROR(__xludf.DUMMYFUNCTION("""COMPUTED_VALUE"""),4.0)</f>
        <v>4</v>
      </c>
      <c r="G2562" s="4">
        <f>IFERROR(__xludf.DUMMYFUNCTION("""COMPUTED_VALUE"""),86.0)</f>
        <v>86</v>
      </c>
      <c r="H2562" s="5">
        <f>IFERROR(__xludf.DUMMYFUNCTION("""COMPUTED_VALUE"""),5675.84)</f>
        <v>5675.84</v>
      </c>
      <c r="I2562" s="5">
        <f>IFERROR(__xludf.DUMMYFUNCTION("""COMPUTED_VALUE"""),622.76)</f>
        <v>622.76</v>
      </c>
      <c r="J2562" s="5">
        <f>IFERROR(__xludf.DUMMYFUNCTION("""COMPUTED_VALUE"""),3261.01)</f>
        <v>3261.01</v>
      </c>
      <c r="K2562" s="5">
        <f>IFERROR(__xludf.DUMMYFUNCTION("""COMPUTED_VALUE"""),4815.85)</f>
        <v>4815.85</v>
      </c>
      <c r="L2562" s="4">
        <f>IFERROR(__xludf.DUMMYFUNCTION("""COMPUTED_VALUE"""),9.0)</f>
        <v>9</v>
      </c>
      <c r="M2562" s="4">
        <f>IFERROR(__xludf.DUMMYFUNCTION("""COMPUTED_VALUE"""),86.0)</f>
        <v>86</v>
      </c>
      <c r="N2562" s="2" t="b">
        <f>IFERROR(__xludf.DUMMYFUNCTION("""COMPUTED_VALUE"""),FALSE)</f>
        <v>0</v>
      </c>
    </row>
    <row r="2563">
      <c r="A2563" s="2">
        <f>IFERROR(__xludf.DUMMYFUNCTION("""COMPUTED_VALUE"""),2562.0)</f>
        <v>2562</v>
      </c>
      <c r="B2563" s="2" t="str">
        <f>IFERROR(__xludf.DUMMYFUNCTION("""COMPUTED_VALUE"""),"Helge Wolsey")</f>
        <v>Helge Wolsey</v>
      </c>
      <c r="C2563" s="2"/>
      <c r="D2563" s="4">
        <f>IFERROR(__xludf.DUMMYFUNCTION("""COMPUTED_VALUE"""),98.0)</f>
        <v>98</v>
      </c>
      <c r="E2563" s="4">
        <f>IFERROR(__xludf.DUMMYFUNCTION("""COMPUTED_VALUE"""),11.0)</f>
        <v>11</v>
      </c>
      <c r="F2563" s="4">
        <f>IFERROR(__xludf.DUMMYFUNCTION("""COMPUTED_VALUE"""),9.0)</f>
        <v>9</v>
      </c>
      <c r="G2563" s="4">
        <f>IFERROR(__xludf.DUMMYFUNCTION("""COMPUTED_VALUE"""),1065.0)</f>
        <v>1065</v>
      </c>
      <c r="H2563" s="5">
        <f>IFERROR(__xludf.DUMMYFUNCTION("""COMPUTED_VALUE"""),2159.67)</f>
        <v>2159.67</v>
      </c>
      <c r="I2563" s="5">
        <f>IFERROR(__xludf.DUMMYFUNCTION("""COMPUTED_VALUE"""),3063.17)</f>
        <v>3063.17</v>
      </c>
      <c r="J2563" s="5">
        <f>IFERROR(__xludf.DUMMYFUNCTION("""COMPUTED_VALUE"""),8659.04)</f>
        <v>8659.04</v>
      </c>
      <c r="K2563" s="5">
        <f>IFERROR(__xludf.DUMMYFUNCTION("""COMPUTED_VALUE"""),2781.21)</f>
        <v>2781.21</v>
      </c>
      <c r="L2563" s="4">
        <f>IFERROR(__xludf.DUMMYFUNCTION("""COMPUTED_VALUE"""),7.0)</f>
        <v>7</v>
      </c>
      <c r="M2563" s="4">
        <f>IFERROR(__xludf.DUMMYFUNCTION("""COMPUTED_VALUE"""),94.0)</f>
        <v>94</v>
      </c>
      <c r="N2563" s="2" t="b">
        <f>IFERROR(__xludf.DUMMYFUNCTION("""COMPUTED_VALUE"""),TRUE)</f>
        <v>1</v>
      </c>
    </row>
    <row r="2564">
      <c r="A2564" s="2">
        <f>IFERROR(__xludf.DUMMYFUNCTION("""COMPUTED_VALUE"""),2563.0)</f>
        <v>2563</v>
      </c>
      <c r="B2564" s="2" t="str">
        <f>IFERROR(__xludf.DUMMYFUNCTION("""COMPUTED_VALUE"""),"Scottie Grosier")</f>
        <v>Scottie Grosier</v>
      </c>
      <c r="C2564" s="2" t="str">
        <f>IFERROR(__xludf.DUMMYFUNCTION("""COMPUTED_VALUE"""),"sgrosierfn@naver.com")</f>
        <v>sgrosierfn@naver.com</v>
      </c>
      <c r="D2564" s="4">
        <f>IFERROR(__xludf.DUMMYFUNCTION("""COMPUTED_VALUE"""),38.0)</f>
        <v>38</v>
      </c>
      <c r="E2564" s="4">
        <f>IFERROR(__xludf.DUMMYFUNCTION("""COMPUTED_VALUE"""),95.0)</f>
        <v>95</v>
      </c>
      <c r="F2564" s="4">
        <f>IFERROR(__xludf.DUMMYFUNCTION("""COMPUTED_VALUE"""),3.0)</f>
        <v>3</v>
      </c>
      <c r="G2564" s="4">
        <f>IFERROR(__xludf.DUMMYFUNCTION("""COMPUTED_VALUE"""),1306.0)</f>
        <v>1306</v>
      </c>
      <c r="H2564" s="5">
        <f>IFERROR(__xludf.DUMMYFUNCTION("""COMPUTED_VALUE"""),64.74)</f>
        <v>64.74</v>
      </c>
      <c r="I2564" s="5">
        <f>IFERROR(__xludf.DUMMYFUNCTION("""COMPUTED_VALUE"""),2361.29)</f>
        <v>2361.29</v>
      </c>
      <c r="J2564" s="5">
        <f>IFERROR(__xludf.DUMMYFUNCTION("""COMPUTED_VALUE"""),5095.6)</f>
        <v>5095.6</v>
      </c>
      <c r="K2564" s="5">
        <f>IFERROR(__xludf.DUMMYFUNCTION("""COMPUTED_VALUE"""),2360.68)</f>
        <v>2360.68</v>
      </c>
      <c r="L2564" s="4">
        <f>IFERROR(__xludf.DUMMYFUNCTION("""COMPUTED_VALUE"""),13.0)</f>
        <v>13</v>
      </c>
      <c r="M2564" s="4">
        <f>IFERROR(__xludf.DUMMYFUNCTION("""COMPUTED_VALUE"""),78.0)</f>
        <v>78</v>
      </c>
      <c r="N2564" s="2" t="b">
        <f>IFERROR(__xludf.DUMMYFUNCTION("""COMPUTED_VALUE"""),TRUE)</f>
        <v>1</v>
      </c>
    </row>
    <row r="2565">
      <c r="A2565" s="2">
        <f>IFERROR(__xludf.DUMMYFUNCTION("""COMPUTED_VALUE"""),2564.0)</f>
        <v>2564</v>
      </c>
      <c r="B2565" s="2" t="str">
        <f>IFERROR(__xludf.DUMMYFUNCTION("""COMPUTED_VALUE"""),"Nanon Jaouen")</f>
        <v>Nanon Jaouen</v>
      </c>
      <c r="C2565" s="2" t="str">
        <f>IFERROR(__xludf.DUMMYFUNCTION("""COMPUTED_VALUE"""),"njaouenfo@myspace.com")</f>
        <v>njaouenfo@myspace.com</v>
      </c>
      <c r="D2565" s="4">
        <f>IFERROR(__xludf.DUMMYFUNCTION("""COMPUTED_VALUE"""),88.0)</f>
        <v>88</v>
      </c>
      <c r="E2565" s="4">
        <f>IFERROR(__xludf.DUMMYFUNCTION("""COMPUTED_VALUE"""),85.0)</f>
        <v>85</v>
      </c>
      <c r="F2565" s="4">
        <f>IFERROR(__xludf.DUMMYFUNCTION("""COMPUTED_VALUE"""),5.0)</f>
        <v>5</v>
      </c>
      <c r="G2565" s="4">
        <f>IFERROR(__xludf.DUMMYFUNCTION("""COMPUTED_VALUE"""),938.0)</f>
        <v>938</v>
      </c>
      <c r="H2565" s="5">
        <f>IFERROR(__xludf.DUMMYFUNCTION("""COMPUTED_VALUE"""),3317.66)</f>
        <v>3317.66</v>
      </c>
      <c r="I2565" s="5">
        <f>IFERROR(__xludf.DUMMYFUNCTION("""COMPUTED_VALUE"""),3562.97)</f>
        <v>3562.97</v>
      </c>
      <c r="J2565" s="5">
        <f>IFERROR(__xludf.DUMMYFUNCTION("""COMPUTED_VALUE"""),1651.89)</f>
        <v>1651.89</v>
      </c>
      <c r="K2565" s="5">
        <f>IFERROR(__xludf.DUMMYFUNCTION("""COMPUTED_VALUE"""),290.28)</f>
        <v>290.28</v>
      </c>
      <c r="L2565" s="4">
        <f>IFERROR(__xludf.DUMMYFUNCTION("""COMPUTED_VALUE"""),8.0)</f>
        <v>8</v>
      </c>
      <c r="M2565" s="4">
        <f>IFERROR(__xludf.DUMMYFUNCTION("""COMPUTED_VALUE"""),96.0)</f>
        <v>96</v>
      </c>
      <c r="N2565" s="2" t="b">
        <f>IFERROR(__xludf.DUMMYFUNCTION("""COMPUTED_VALUE"""),FALSE)</f>
        <v>0</v>
      </c>
    </row>
    <row r="2566">
      <c r="A2566" s="2">
        <f>IFERROR(__xludf.DUMMYFUNCTION("""COMPUTED_VALUE"""),2565.0)</f>
        <v>2565</v>
      </c>
      <c r="B2566" s="2" t="str">
        <f>IFERROR(__xludf.DUMMYFUNCTION("""COMPUTED_VALUE"""),"Fidelio McCorkell")</f>
        <v>Fidelio McCorkell</v>
      </c>
      <c r="C2566" s="2" t="str">
        <f>IFERROR(__xludf.DUMMYFUNCTION("""COMPUTED_VALUE"""),"fmccorkellfp@live.com")</f>
        <v>fmccorkellfp@live.com</v>
      </c>
      <c r="D2566" s="4">
        <f>IFERROR(__xludf.DUMMYFUNCTION("""COMPUTED_VALUE"""),120.0)</f>
        <v>120</v>
      </c>
      <c r="E2566" s="4">
        <f>IFERROR(__xludf.DUMMYFUNCTION("""COMPUTED_VALUE"""),105.0)</f>
        <v>105</v>
      </c>
      <c r="F2566" s="4">
        <f>IFERROR(__xludf.DUMMYFUNCTION("""COMPUTED_VALUE"""),7.0)</f>
        <v>7</v>
      </c>
      <c r="G2566" s="4">
        <f>IFERROR(__xludf.DUMMYFUNCTION("""COMPUTED_VALUE"""),1356.0)</f>
        <v>1356</v>
      </c>
      <c r="H2566" s="5">
        <f>IFERROR(__xludf.DUMMYFUNCTION("""COMPUTED_VALUE"""),3135.49)</f>
        <v>3135.49</v>
      </c>
      <c r="I2566" s="5">
        <f>IFERROR(__xludf.DUMMYFUNCTION("""COMPUTED_VALUE"""),305.33)</f>
        <v>305.33</v>
      </c>
      <c r="J2566" s="5">
        <f>IFERROR(__xludf.DUMMYFUNCTION("""COMPUTED_VALUE"""),7006.15)</f>
        <v>7006.15</v>
      </c>
      <c r="K2566" s="5">
        <f>IFERROR(__xludf.DUMMYFUNCTION("""COMPUTED_VALUE"""),6479.41)</f>
        <v>6479.41</v>
      </c>
      <c r="L2566" s="4">
        <f>IFERROR(__xludf.DUMMYFUNCTION("""COMPUTED_VALUE"""),3.0)</f>
        <v>3</v>
      </c>
      <c r="M2566" s="4">
        <f>IFERROR(__xludf.DUMMYFUNCTION("""COMPUTED_VALUE"""),71.0)</f>
        <v>71</v>
      </c>
      <c r="N2566" s="2" t="b">
        <f>IFERROR(__xludf.DUMMYFUNCTION("""COMPUTED_VALUE"""),TRUE)</f>
        <v>1</v>
      </c>
    </row>
    <row r="2567">
      <c r="A2567" s="2">
        <f>IFERROR(__xludf.DUMMYFUNCTION("""COMPUTED_VALUE"""),2566.0)</f>
        <v>2566</v>
      </c>
      <c r="B2567" s="2" t="str">
        <f>IFERROR(__xludf.DUMMYFUNCTION("""COMPUTED_VALUE"""),"Silvia Dongall")</f>
        <v>Silvia Dongall</v>
      </c>
      <c r="C2567" s="2" t="str">
        <f>IFERROR(__xludf.DUMMYFUNCTION("""COMPUTED_VALUE"""),"sdongallfq@ftc.gov")</f>
        <v>sdongallfq@ftc.gov</v>
      </c>
      <c r="D2567" s="4">
        <f>IFERROR(__xludf.DUMMYFUNCTION("""COMPUTED_VALUE"""),154.0)</f>
        <v>154</v>
      </c>
      <c r="E2567" s="4">
        <f>IFERROR(__xludf.DUMMYFUNCTION("""COMPUTED_VALUE"""),101.0)</f>
        <v>101</v>
      </c>
      <c r="F2567" s="4">
        <f>IFERROR(__xludf.DUMMYFUNCTION("""COMPUTED_VALUE"""),13.0)</f>
        <v>13</v>
      </c>
      <c r="G2567" s="4">
        <f>IFERROR(__xludf.DUMMYFUNCTION("""COMPUTED_VALUE"""),720.0)</f>
        <v>720</v>
      </c>
      <c r="H2567" s="5">
        <f>IFERROR(__xludf.DUMMYFUNCTION("""COMPUTED_VALUE"""),7722.12)</f>
        <v>7722.12</v>
      </c>
      <c r="I2567" s="5">
        <f>IFERROR(__xludf.DUMMYFUNCTION("""COMPUTED_VALUE"""),6596.31)</f>
        <v>6596.31</v>
      </c>
      <c r="J2567" s="5">
        <f>IFERROR(__xludf.DUMMYFUNCTION("""COMPUTED_VALUE"""),187.35)</f>
        <v>187.35</v>
      </c>
      <c r="K2567" s="5">
        <f>IFERROR(__xludf.DUMMYFUNCTION("""COMPUTED_VALUE"""),4089.76)</f>
        <v>4089.76</v>
      </c>
      <c r="L2567" s="4">
        <f>IFERROR(__xludf.DUMMYFUNCTION("""COMPUTED_VALUE"""),4.0)</f>
        <v>4</v>
      </c>
      <c r="M2567" s="4">
        <f>IFERROR(__xludf.DUMMYFUNCTION("""COMPUTED_VALUE"""),44.0)</f>
        <v>44</v>
      </c>
      <c r="N2567" s="2" t="b">
        <f>IFERROR(__xludf.DUMMYFUNCTION("""COMPUTED_VALUE"""),FALSE)</f>
        <v>0</v>
      </c>
    </row>
    <row r="2568">
      <c r="A2568" s="2">
        <f>IFERROR(__xludf.DUMMYFUNCTION("""COMPUTED_VALUE"""),2567.0)</f>
        <v>2567</v>
      </c>
      <c r="B2568" s="2" t="str">
        <f>IFERROR(__xludf.DUMMYFUNCTION("""COMPUTED_VALUE"""),"Etta Morrilly")</f>
        <v>Etta Morrilly</v>
      </c>
      <c r="C2568" s="2" t="str">
        <f>IFERROR(__xludf.DUMMYFUNCTION("""COMPUTED_VALUE"""),"emorrillyfr@sphinn.com")</f>
        <v>emorrillyfr@sphinn.com</v>
      </c>
      <c r="D2568" s="4">
        <f>IFERROR(__xludf.DUMMYFUNCTION("""COMPUTED_VALUE"""),29.0)</f>
        <v>29</v>
      </c>
      <c r="E2568" s="4">
        <f>IFERROR(__xludf.DUMMYFUNCTION("""COMPUTED_VALUE"""),44.0)</f>
        <v>44</v>
      </c>
      <c r="F2568" s="4">
        <f>IFERROR(__xludf.DUMMYFUNCTION("""COMPUTED_VALUE"""),2.0)</f>
        <v>2</v>
      </c>
      <c r="G2568" s="4">
        <f>IFERROR(__xludf.DUMMYFUNCTION("""COMPUTED_VALUE"""),884.0)</f>
        <v>884</v>
      </c>
      <c r="H2568" s="5">
        <f>IFERROR(__xludf.DUMMYFUNCTION("""COMPUTED_VALUE"""),1115.01)</f>
        <v>1115.01</v>
      </c>
      <c r="I2568" s="5">
        <f>IFERROR(__xludf.DUMMYFUNCTION("""COMPUTED_VALUE"""),818.13)</f>
        <v>818.13</v>
      </c>
      <c r="J2568" s="5">
        <f>IFERROR(__xludf.DUMMYFUNCTION("""COMPUTED_VALUE"""),6037.35)</f>
        <v>6037.35</v>
      </c>
      <c r="K2568" s="5">
        <f>IFERROR(__xludf.DUMMYFUNCTION("""COMPUTED_VALUE"""),7733.71)</f>
        <v>7733.71</v>
      </c>
      <c r="L2568" s="4">
        <f>IFERROR(__xludf.DUMMYFUNCTION("""COMPUTED_VALUE"""),19.0)</f>
        <v>19</v>
      </c>
      <c r="M2568" s="4">
        <f>IFERROR(__xludf.DUMMYFUNCTION("""COMPUTED_VALUE"""),21.0)</f>
        <v>21</v>
      </c>
      <c r="N2568" s="2" t="b">
        <f>IFERROR(__xludf.DUMMYFUNCTION("""COMPUTED_VALUE"""),FALSE)</f>
        <v>0</v>
      </c>
    </row>
    <row r="2569">
      <c r="A2569" s="2">
        <f>IFERROR(__xludf.DUMMYFUNCTION("""COMPUTED_VALUE"""),2568.0)</f>
        <v>2568</v>
      </c>
      <c r="B2569" s="2" t="str">
        <f>IFERROR(__xludf.DUMMYFUNCTION("""COMPUTED_VALUE"""),"Rosalynd Sebert")</f>
        <v>Rosalynd Sebert</v>
      </c>
      <c r="C2569" s="2"/>
      <c r="D2569" s="4">
        <f>IFERROR(__xludf.DUMMYFUNCTION("""COMPUTED_VALUE"""),6.0)</f>
        <v>6</v>
      </c>
      <c r="E2569" s="4">
        <f>IFERROR(__xludf.DUMMYFUNCTION("""COMPUTED_VALUE"""),10.0)</f>
        <v>10</v>
      </c>
      <c r="F2569" s="4">
        <f>IFERROR(__xludf.DUMMYFUNCTION("""COMPUTED_VALUE"""),2.0)</f>
        <v>2</v>
      </c>
      <c r="G2569" s="4">
        <f>IFERROR(__xludf.DUMMYFUNCTION("""COMPUTED_VALUE"""),1321.0)</f>
        <v>1321</v>
      </c>
      <c r="H2569" s="5">
        <f>IFERROR(__xludf.DUMMYFUNCTION("""COMPUTED_VALUE"""),4398.73)</f>
        <v>4398.73</v>
      </c>
      <c r="I2569" s="5">
        <f>IFERROR(__xludf.DUMMYFUNCTION("""COMPUTED_VALUE"""),5104.86)</f>
        <v>5104.86</v>
      </c>
      <c r="J2569" s="5">
        <f>IFERROR(__xludf.DUMMYFUNCTION("""COMPUTED_VALUE"""),3321.37)</f>
        <v>3321.37</v>
      </c>
      <c r="K2569" s="5">
        <f>IFERROR(__xludf.DUMMYFUNCTION("""COMPUTED_VALUE"""),338.67)</f>
        <v>338.67</v>
      </c>
      <c r="L2569" s="4">
        <f>IFERROR(__xludf.DUMMYFUNCTION("""COMPUTED_VALUE"""),17.0)</f>
        <v>17</v>
      </c>
      <c r="M2569" s="4">
        <f>IFERROR(__xludf.DUMMYFUNCTION("""COMPUTED_VALUE"""),27.0)</f>
        <v>27</v>
      </c>
      <c r="N2569" s="2" t="b">
        <f>IFERROR(__xludf.DUMMYFUNCTION("""COMPUTED_VALUE"""),FALSE)</f>
        <v>0</v>
      </c>
    </row>
    <row r="2570">
      <c r="A2570" s="2">
        <f>IFERROR(__xludf.DUMMYFUNCTION("""COMPUTED_VALUE"""),2569.0)</f>
        <v>2569</v>
      </c>
      <c r="B2570" s="2" t="str">
        <f>IFERROR(__xludf.DUMMYFUNCTION("""COMPUTED_VALUE"""),"Pooh Jell")</f>
        <v>Pooh Jell</v>
      </c>
      <c r="C2570" s="2" t="str">
        <f>IFERROR(__xludf.DUMMYFUNCTION("""COMPUTED_VALUE"""),"pjellft@altervista.org")</f>
        <v>pjellft@altervista.org</v>
      </c>
      <c r="D2570" s="4">
        <f>IFERROR(__xludf.DUMMYFUNCTION("""COMPUTED_VALUE"""),94.0)</f>
        <v>94</v>
      </c>
      <c r="E2570" s="4">
        <f>IFERROR(__xludf.DUMMYFUNCTION("""COMPUTED_VALUE"""),109.0)</f>
        <v>109</v>
      </c>
      <c r="F2570" s="4">
        <f>IFERROR(__xludf.DUMMYFUNCTION("""COMPUTED_VALUE"""),8.0)</f>
        <v>8</v>
      </c>
      <c r="G2570" s="4">
        <f>IFERROR(__xludf.DUMMYFUNCTION("""COMPUTED_VALUE"""),1027.0)</f>
        <v>1027</v>
      </c>
      <c r="H2570" s="5">
        <f>IFERROR(__xludf.DUMMYFUNCTION("""COMPUTED_VALUE"""),461.91)</f>
        <v>461.91</v>
      </c>
      <c r="I2570" s="5">
        <f>IFERROR(__xludf.DUMMYFUNCTION("""COMPUTED_VALUE"""),2735.65)</f>
        <v>2735.65</v>
      </c>
      <c r="J2570" s="5">
        <f>IFERROR(__xludf.DUMMYFUNCTION("""COMPUTED_VALUE"""),7814.54)</f>
        <v>7814.54</v>
      </c>
      <c r="K2570" s="5">
        <f>IFERROR(__xludf.DUMMYFUNCTION("""COMPUTED_VALUE"""),920.97)</f>
        <v>920.97</v>
      </c>
      <c r="L2570" s="4">
        <f>IFERROR(__xludf.DUMMYFUNCTION("""COMPUTED_VALUE"""),11.0)</f>
        <v>11</v>
      </c>
      <c r="M2570" s="4">
        <f>IFERROR(__xludf.DUMMYFUNCTION("""COMPUTED_VALUE"""),52.0)</f>
        <v>52</v>
      </c>
      <c r="N2570" s="2" t="b">
        <f>IFERROR(__xludf.DUMMYFUNCTION("""COMPUTED_VALUE"""),TRUE)</f>
        <v>1</v>
      </c>
    </row>
    <row r="2571">
      <c r="A2571" s="2">
        <f>IFERROR(__xludf.DUMMYFUNCTION("""COMPUTED_VALUE"""),2570.0)</f>
        <v>2570</v>
      </c>
      <c r="B2571" s="2" t="str">
        <f>IFERROR(__xludf.DUMMYFUNCTION("""COMPUTED_VALUE"""),"Cecelia Rains")</f>
        <v>Cecelia Rains</v>
      </c>
      <c r="C2571" s="2" t="str">
        <f>IFERROR(__xludf.DUMMYFUNCTION("""COMPUTED_VALUE"""),"crainsfu@smugmug.com")</f>
        <v>crainsfu@smugmug.com</v>
      </c>
      <c r="D2571" s="4">
        <f>IFERROR(__xludf.DUMMYFUNCTION("""COMPUTED_VALUE"""),11.0)</f>
        <v>11</v>
      </c>
      <c r="E2571" s="4">
        <f>IFERROR(__xludf.DUMMYFUNCTION("""COMPUTED_VALUE"""),68.0)</f>
        <v>68</v>
      </c>
      <c r="F2571" s="4">
        <f>IFERROR(__xludf.DUMMYFUNCTION("""COMPUTED_VALUE"""),7.0)</f>
        <v>7</v>
      </c>
      <c r="G2571" s="4">
        <f>IFERROR(__xludf.DUMMYFUNCTION("""COMPUTED_VALUE"""),1000.0)</f>
        <v>1000</v>
      </c>
      <c r="H2571" s="5">
        <f>IFERROR(__xludf.DUMMYFUNCTION("""COMPUTED_VALUE"""),6904.8)</f>
        <v>6904.8</v>
      </c>
      <c r="I2571" s="5">
        <f>IFERROR(__xludf.DUMMYFUNCTION("""COMPUTED_VALUE"""),9170.07)</f>
        <v>9170.07</v>
      </c>
      <c r="J2571" s="5">
        <f>IFERROR(__xludf.DUMMYFUNCTION("""COMPUTED_VALUE"""),5205.19)</f>
        <v>5205.19</v>
      </c>
      <c r="K2571" s="5">
        <f>IFERROR(__xludf.DUMMYFUNCTION("""COMPUTED_VALUE"""),1936.94)</f>
        <v>1936.94</v>
      </c>
      <c r="L2571" s="4">
        <f>IFERROR(__xludf.DUMMYFUNCTION("""COMPUTED_VALUE"""),7.0)</f>
        <v>7</v>
      </c>
      <c r="M2571" s="4">
        <f>IFERROR(__xludf.DUMMYFUNCTION("""COMPUTED_VALUE"""),2.0)</f>
        <v>2</v>
      </c>
      <c r="N2571" s="2" t="b">
        <f>IFERROR(__xludf.DUMMYFUNCTION("""COMPUTED_VALUE"""),FALSE)</f>
        <v>0</v>
      </c>
    </row>
    <row r="2572">
      <c r="A2572" s="2">
        <f>IFERROR(__xludf.DUMMYFUNCTION("""COMPUTED_VALUE"""),2571.0)</f>
        <v>2571</v>
      </c>
      <c r="B2572" s="2" t="str">
        <f>IFERROR(__xludf.DUMMYFUNCTION("""COMPUTED_VALUE"""),"Consuelo Mardee")</f>
        <v>Consuelo Mardee</v>
      </c>
      <c r="C2572" s="2"/>
      <c r="D2572" s="4">
        <f>IFERROR(__xludf.DUMMYFUNCTION("""COMPUTED_VALUE"""),128.0)</f>
        <v>128</v>
      </c>
      <c r="E2572" s="4">
        <f>IFERROR(__xludf.DUMMYFUNCTION("""COMPUTED_VALUE"""),19.0)</f>
        <v>19</v>
      </c>
      <c r="F2572" s="4">
        <f>IFERROR(__xludf.DUMMYFUNCTION("""COMPUTED_VALUE"""),6.0)</f>
        <v>6</v>
      </c>
      <c r="G2572" s="4">
        <f>IFERROR(__xludf.DUMMYFUNCTION("""COMPUTED_VALUE"""),159.0)</f>
        <v>159</v>
      </c>
      <c r="H2572" s="5">
        <f>IFERROR(__xludf.DUMMYFUNCTION("""COMPUTED_VALUE"""),1630.92)</f>
        <v>1630.92</v>
      </c>
      <c r="I2572" s="5">
        <f>IFERROR(__xludf.DUMMYFUNCTION("""COMPUTED_VALUE"""),8046.54)</f>
        <v>8046.54</v>
      </c>
      <c r="J2572" s="5">
        <f>IFERROR(__xludf.DUMMYFUNCTION("""COMPUTED_VALUE"""),7142.76)</f>
        <v>7142.76</v>
      </c>
      <c r="K2572" s="5">
        <f>IFERROR(__xludf.DUMMYFUNCTION("""COMPUTED_VALUE"""),1770.4)</f>
        <v>1770.4</v>
      </c>
      <c r="L2572" s="4">
        <f>IFERROR(__xludf.DUMMYFUNCTION("""COMPUTED_VALUE"""),11.0)</f>
        <v>11</v>
      </c>
      <c r="M2572" s="4">
        <f>IFERROR(__xludf.DUMMYFUNCTION("""COMPUTED_VALUE"""),73.0)</f>
        <v>73</v>
      </c>
      <c r="N2572" s="2" t="b">
        <f>IFERROR(__xludf.DUMMYFUNCTION("""COMPUTED_VALUE"""),FALSE)</f>
        <v>0</v>
      </c>
    </row>
    <row r="2573">
      <c r="A2573" s="2">
        <f>IFERROR(__xludf.DUMMYFUNCTION("""COMPUTED_VALUE"""),2572.0)</f>
        <v>2572</v>
      </c>
      <c r="B2573" s="2" t="str">
        <f>IFERROR(__xludf.DUMMYFUNCTION("""COMPUTED_VALUE"""),"Mahalia Silmon")</f>
        <v>Mahalia Silmon</v>
      </c>
      <c r="C2573" s="2"/>
      <c r="D2573" s="4">
        <f>IFERROR(__xludf.DUMMYFUNCTION("""COMPUTED_VALUE"""),131.0)</f>
        <v>131</v>
      </c>
      <c r="E2573" s="4">
        <f>IFERROR(__xludf.DUMMYFUNCTION("""COMPUTED_VALUE"""),99.0)</f>
        <v>99</v>
      </c>
      <c r="F2573" s="4">
        <f>IFERROR(__xludf.DUMMYFUNCTION("""COMPUTED_VALUE"""),3.0)</f>
        <v>3</v>
      </c>
      <c r="G2573" s="4">
        <f>IFERROR(__xludf.DUMMYFUNCTION("""COMPUTED_VALUE"""),142.0)</f>
        <v>142</v>
      </c>
      <c r="H2573" s="5">
        <f>IFERROR(__xludf.DUMMYFUNCTION("""COMPUTED_VALUE"""),5440.5)</f>
        <v>5440.5</v>
      </c>
      <c r="I2573" s="5">
        <f>IFERROR(__xludf.DUMMYFUNCTION("""COMPUTED_VALUE"""),9995.32)</f>
        <v>9995.32</v>
      </c>
      <c r="J2573" s="5">
        <f>IFERROR(__xludf.DUMMYFUNCTION("""COMPUTED_VALUE"""),7051.74)</f>
        <v>7051.74</v>
      </c>
      <c r="K2573" s="5">
        <f>IFERROR(__xludf.DUMMYFUNCTION("""COMPUTED_VALUE"""),4950.07)</f>
        <v>4950.07</v>
      </c>
      <c r="L2573" s="4">
        <f>IFERROR(__xludf.DUMMYFUNCTION("""COMPUTED_VALUE"""),17.0)</f>
        <v>17</v>
      </c>
      <c r="M2573" s="4">
        <f>IFERROR(__xludf.DUMMYFUNCTION("""COMPUTED_VALUE"""),99.0)</f>
        <v>99</v>
      </c>
      <c r="N2573" s="2" t="b">
        <f>IFERROR(__xludf.DUMMYFUNCTION("""COMPUTED_VALUE"""),FALSE)</f>
        <v>0</v>
      </c>
    </row>
    <row r="2574">
      <c r="A2574" s="2">
        <f>IFERROR(__xludf.DUMMYFUNCTION("""COMPUTED_VALUE"""),2573.0)</f>
        <v>2573</v>
      </c>
      <c r="B2574" s="2" t="str">
        <f>IFERROR(__xludf.DUMMYFUNCTION("""COMPUTED_VALUE"""),"Frederica Skipping")</f>
        <v>Frederica Skipping</v>
      </c>
      <c r="C2574" s="2"/>
      <c r="D2574" s="4">
        <f>IFERROR(__xludf.DUMMYFUNCTION("""COMPUTED_VALUE"""),48.0)</f>
        <v>48</v>
      </c>
      <c r="E2574" s="4">
        <f>IFERROR(__xludf.DUMMYFUNCTION("""COMPUTED_VALUE"""),5.0)</f>
        <v>5</v>
      </c>
      <c r="F2574" s="4">
        <f>IFERROR(__xludf.DUMMYFUNCTION("""COMPUTED_VALUE"""),9.0)</f>
        <v>9</v>
      </c>
      <c r="G2574" s="4">
        <f>IFERROR(__xludf.DUMMYFUNCTION("""COMPUTED_VALUE"""),1320.0)</f>
        <v>1320</v>
      </c>
      <c r="H2574" s="5">
        <f>IFERROR(__xludf.DUMMYFUNCTION("""COMPUTED_VALUE"""),2666.86)</f>
        <v>2666.86</v>
      </c>
      <c r="I2574" s="5">
        <f>IFERROR(__xludf.DUMMYFUNCTION("""COMPUTED_VALUE"""),8690.08)</f>
        <v>8690.08</v>
      </c>
      <c r="J2574" s="5">
        <f>IFERROR(__xludf.DUMMYFUNCTION("""COMPUTED_VALUE"""),6797.79)</f>
        <v>6797.79</v>
      </c>
      <c r="K2574" s="5">
        <f>IFERROR(__xludf.DUMMYFUNCTION("""COMPUTED_VALUE"""),1797.05)</f>
        <v>1797.05</v>
      </c>
      <c r="L2574" s="4">
        <f>IFERROR(__xludf.DUMMYFUNCTION("""COMPUTED_VALUE"""),15.0)</f>
        <v>15</v>
      </c>
      <c r="M2574" s="4">
        <f>IFERROR(__xludf.DUMMYFUNCTION("""COMPUTED_VALUE"""),46.0)</f>
        <v>46</v>
      </c>
      <c r="N2574" s="2" t="b">
        <f>IFERROR(__xludf.DUMMYFUNCTION("""COMPUTED_VALUE"""),TRUE)</f>
        <v>1</v>
      </c>
    </row>
    <row r="2575">
      <c r="A2575" s="2">
        <f>IFERROR(__xludf.DUMMYFUNCTION("""COMPUTED_VALUE"""),2574.0)</f>
        <v>2574</v>
      </c>
      <c r="B2575" s="2" t="str">
        <f>IFERROR(__xludf.DUMMYFUNCTION("""COMPUTED_VALUE"""),"Christal Boyson")</f>
        <v>Christal Boyson</v>
      </c>
      <c r="C2575" s="2" t="str">
        <f>IFERROR(__xludf.DUMMYFUNCTION("""COMPUTED_VALUE"""),"cboysonfy@miibeian.gov.cn")</f>
        <v>cboysonfy@miibeian.gov.cn</v>
      </c>
      <c r="D2575" s="4">
        <f>IFERROR(__xludf.DUMMYFUNCTION("""COMPUTED_VALUE"""),64.0)</f>
        <v>64</v>
      </c>
      <c r="E2575" s="4">
        <f>IFERROR(__xludf.DUMMYFUNCTION("""COMPUTED_VALUE"""),6.0)</f>
        <v>6</v>
      </c>
      <c r="F2575" s="4">
        <f>IFERROR(__xludf.DUMMYFUNCTION("""COMPUTED_VALUE"""),1.0)</f>
        <v>1</v>
      </c>
      <c r="G2575" s="4">
        <f>IFERROR(__xludf.DUMMYFUNCTION("""COMPUTED_VALUE"""),1166.0)</f>
        <v>1166</v>
      </c>
      <c r="H2575" s="5">
        <f>IFERROR(__xludf.DUMMYFUNCTION("""COMPUTED_VALUE"""),9326.47)</f>
        <v>9326.47</v>
      </c>
      <c r="I2575" s="5">
        <f>IFERROR(__xludf.DUMMYFUNCTION("""COMPUTED_VALUE"""),4774.96)</f>
        <v>4774.96</v>
      </c>
      <c r="J2575" s="5">
        <f>IFERROR(__xludf.DUMMYFUNCTION("""COMPUTED_VALUE"""),1783.07)</f>
        <v>1783.07</v>
      </c>
      <c r="K2575" s="5">
        <f>IFERROR(__xludf.DUMMYFUNCTION("""COMPUTED_VALUE"""),986.5)</f>
        <v>986.5</v>
      </c>
      <c r="L2575" s="4">
        <f>IFERROR(__xludf.DUMMYFUNCTION("""COMPUTED_VALUE"""),18.0)</f>
        <v>18</v>
      </c>
      <c r="M2575" s="4">
        <f>IFERROR(__xludf.DUMMYFUNCTION("""COMPUTED_VALUE"""),31.0)</f>
        <v>31</v>
      </c>
      <c r="N2575" s="2" t="b">
        <f>IFERROR(__xludf.DUMMYFUNCTION("""COMPUTED_VALUE"""),FALSE)</f>
        <v>0</v>
      </c>
    </row>
    <row r="2576">
      <c r="A2576" s="2">
        <f>IFERROR(__xludf.DUMMYFUNCTION("""COMPUTED_VALUE"""),2575.0)</f>
        <v>2575</v>
      </c>
      <c r="B2576" s="2" t="str">
        <f>IFERROR(__xludf.DUMMYFUNCTION("""COMPUTED_VALUE"""),"Haywood Huckle")</f>
        <v>Haywood Huckle</v>
      </c>
      <c r="C2576" s="2" t="str">
        <f>IFERROR(__xludf.DUMMYFUNCTION("""COMPUTED_VALUE"""),"hhucklefz@fda.gov")</f>
        <v>hhucklefz@fda.gov</v>
      </c>
      <c r="D2576" s="4">
        <f>IFERROR(__xludf.DUMMYFUNCTION("""COMPUTED_VALUE"""),74.0)</f>
        <v>74</v>
      </c>
      <c r="E2576" s="4">
        <f>IFERROR(__xludf.DUMMYFUNCTION("""COMPUTED_VALUE"""),116.0)</f>
        <v>116</v>
      </c>
      <c r="F2576" s="4">
        <f>IFERROR(__xludf.DUMMYFUNCTION("""COMPUTED_VALUE"""),12.0)</f>
        <v>12</v>
      </c>
      <c r="G2576" s="4">
        <f>IFERROR(__xludf.DUMMYFUNCTION("""COMPUTED_VALUE"""),463.0)</f>
        <v>463</v>
      </c>
      <c r="H2576" s="5">
        <f>IFERROR(__xludf.DUMMYFUNCTION("""COMPUTED_VALUE"""),8806.04)</f>
        <v>8806.04</v>
      </c>
      <c r="I2576" s="5">
        <f>IFERROR(__xludf.DUMMYFUNCTION("""COMPUTED_VALUE"""),5755.71)</f>
        <v>5755.71</v>
      </c>
      <c r="J2576" s="5">
        <f>IFERROR(__xludf.DUMMYFUNCTION("""COMPUTED_VALUE"""),3434.69)</f>
        <v>3434.69</v>
      </c>
      <c r="K2576" s="5">
        <f>IFERROR(__xludf.DUMMYFUNCTION("""COMPUTED_VALUE"""),3227.69)</f>
        <v>3227.69</v>
      </c>
      <c r="L2576" s="4">
        <f>IFERROR(__xludf.DUMMYFUNCTION("""COMPUTED_VALUE"""),4.0)</f>
        <v>4</v>
      </c>
      <c r="M2576" s="4">
        <f>IFERROR(__xludf.DUMMYFUNCTION("""COMPUTED_VALUE"""),42.0)</f>
        <v>42</v>
      </c>
      <c r="N2576" s="2" t="b">
        <f>IFERROR(__xludf.DUMMYFUNCTION("""COMPUTED_VALUE"""),FALSE)</f>
        <v>0</v>
      </c>
    </row>
    <row r="2577">
      <c r="A2577" s="2">
        <f>IFERROR(__xludf.DUMMYFUNCTION("""COMPUTED_VALUE"""),2576.0)</f>
        <v>2576</v>
      </c>
      <c r="B2577" s="2" t="str">
        <f>IFERROR(__xludf.DUMMYFUNCTION("""COMPUTED_VALUE"""),"Farlay Huster")</f>
        <v>Farlay Huster</v>
      </c>
      <c r="C2577" s="2" t="str">
        <f>IFERROR(__xludf.DUMMYFUNCTION("""COMPUTED_VALUE"""),"fhusterg0@biblegateway.com")</f>
        <v>fhusterg0@biblegateway.com</v>
      </c>
      <c r="D2577" s="4">
        <f>IFERROR(__xludf.DUMMYFUNCTION("""COMPUTED_VALUE"""),151.0)</f>
        <v>151</v>
      </c>
      <c r="E2577" s="4">
        <f>IFERROR(__xludf.DUMMYFUNCTION("""COMPUTED_VALUE"""),9.0)</f>
        <v>9</v>
      </c>
      <c r="F2577" s="4">
        <f>IFERROR(__xludf.DUMMYFUNCTION("""COMPUTED_VALUE"""),5.0)</f>
        <v>5</v>
      </c>
      <c r="G2577" s="4">
        <f>IFERROR(__xludf.DUMMYFUNCTION("""COMPUTED_VALUE"""),1015.0)</f>
        <v>1015</v>
      </c>
      <c r="H2577" s="5">
        <f>IFERROR(__xludf.DUMMYFUNCTION("""COMPUTED_VALUE"""),337.75)</f>
        <v>337.75</v>
      </c>
      <c r="I2577" s="5">
        <f>IFERROR(__xludf.DUMMYFUNCTION("""COMPUTED_VALUE"""),6897.01)</f>
        <v>6897.01</v>
      </c>
      <c r="J2577" s="5">
        <f>IFERROR(__xludf.DUMMYFUNCTION("""COMPUTED_VALUE"""),5612.14)</f>
        <v>5612.14</v>
      </c>
      <c r="K2577" s="5">
        <f>IFERROR(__xludf.DUMMYFUNCTION("""COMPUTED_VALUE"""),8392.57)</f>
        <v>8392.57</v>
      </c>
      <c r="L2577" s="4">
        <f>IFERROR(__xludf.DUMMYFUNCTION("""COMPUTED_VALUE"""),20.0)</f>
        <v>20</v>
      </c>
      <c r="M2577" s="4">
        <f>IFERROR(__xludf.DUMMYFUNCTION("""COMPUTED_VALUE"""),75.0)</f>
        <v>75</v>
      </c>
      <c r="N2577" s="2" t="b">
        <f>IFERROR(__xludf.DUMMYFUNCTION("""COMPUTED_VALUE"""),TRUE)</f>
        <v>1</v>
      </c>
    </row>
    <row r="2578">
      <c r="A2578" s="2">
        <f>IFERROR(__xludf.DUMMYFUNCTION("""COMPUTED_VALUE"""),2577.0)</f>
        <v>2577</v>
      </c>
      <c r="B2578" s="2" t="str">
        <f>IFERROR(__xludf.DUMMYFUNCTION("""COMPUTED_VALUE"""),"Cori Surgeoner")</f>
        <v>Cori Surgeoner</v>
      </c>
      <c r="C2578" s="2"/>
      <c r="D2578" s="4">
        <f>IFERROR(__xludf.DUMMYFUNCTION("""COMPUTED_VALUE"""),18.0)</f>
        <v>18</v>
      </c>
      <c r="E2578" s="4">
        <f>IFERROR(__xludf.DUMMYFUNCTION("""COMPUTED_VALUE"""),109.0)</f>
        <v>109</v>
      </c>
      <c r="F2578" s="4">
        <f>IFERROR(__xludf.DUMMYFUNCTION("""COMPUTED_VALUE"""),9.0)</f>
        <v>9</v>
      </c>
      <c r="G2578" s="4">
        <f>IFERROR(__xludf.DUMMYFUNCTION("""COMPUTED_VALUE"""),1123.0)</f>
        <v>1123</v>
      </c>
      <c r="H2578" s="5">
        <f>IFERROR(__xludf.DUMMYFUNCTION("""COMPUTED_VALUE"""),2988.12)</f>
        <v>2988.12</v>
      </c>
      <c r="I2578" s="5">
        <f>IFERROR(__xludf.DUMMYFUNCTION("""COMPUTED_VALUE"""),2199.27)</f>
        <v>2199.27</v>
      </c>
      <c r="J2578" s="5">
        <f>IFERROR(__xludf.DUMMYFUNCTION("""COMPUTED_VALUE"""),9553.89)</f>
        <v>9553.89</v>
      </c>
      <c r="K2578" s="5">
        <f>IFERROR(__xludf.DUMMYFUNCTION("""COMPUTED_VALUE"""),1184.61)</f>
        <v>1184.61</v>
      </c>
      <c r="L2578" s="4">
        <f>IFERROR(__xludf.DUMMYFUNCTION("""COMPUTED_VALUE"""),10.0)</f>
        <v>10</v>
      </c>
      <c r="M2578" s="4">
        <f>IFERROR(__xludf.DUMMYFUNCTION("""COMPUTED_VALUE"""),53.0)</f>
        <v>53</v>
      </c>
      <c r="N2578" s="2" t="b">
        <f>IFERROR(__xludf.DUMMYFUNCTION("""COMPUTED_VALUE"""),FALSE)</f>
        <v>0</v>
      </c>
    </row>
    <row r="2579">
      <c r="A2579" s="2">
        <f>IFERROR(__xludf.DUMMYFUNCTION("""COMPUTED_VALUE"""),2578.0)</f>
        <v>2578</v>
      </c>
      <c r="B2579" s="2" t="str">
        <f>IFERROR(__xludf.DUMMYFUNCTION("""COMPUTED_VALUE"""),"Phedra Pountney")</f>
        <v>Phedra Pountney</v>
      </c>
      <c r="C2579" s="2"/>
      <c r="D2579" s="4">
        <f>IFERROR(__xludf.DUMMYFUNCTION("""COMPUTED_VALUE"""),56.0)</f>
        <v>56</v>
      </c>
      <c r="E2579" s="4">
        <f>IFERROR(__xludf.DUMMYFUNCTION("""COMPUTED_VALUE"""),2.0)</f>
        <v>2</v>
      </c>
      <c r="F2579" s="4">
        <f>IFERROR(__xludf.DUMMYFUNCTION("""COMPUTED_VALUE"""),4.0)</f>
        <v>4</v>
      </c>
      <c r="G2579" s="4">
        <f>IFERROR(__xludf.DUMMYFUNCTION("""COMPUTED_VALUE"""),1591.0)</f>
        <v>1591</v>
      </c>
      <c r="H2579" s="5">
        <f>IFERROR(__xludf.DUMMYFUNCTION("""COMPUTED_VALUE"""),3411.49)</f>
        <v>3411.49</v>
      </c>
      <c r="I2579" s="5">
        <f>IFERROR(__xludf.DUMMYFUNCTION("""COMPUTED_VALUE"""),7083.02)</f>
        <v>7083.02</v>
      </c>
      <c r="J2579" s="5">
        <f>IFERROR(__xludf.DUMMYFUNCTION("""COMPUTED_VALUE"""),9191.12)</f>
        <v>9191.12</v>
      </c>
      <c r="K2579" s="5">
        <f>IFERROR(__xludf.DUMMYFUNCTION("""COMPUTED_VALUE"""),2491.06)</f>
        <v>2491.06</v>
      </c>
      <c r="L2579" s="4">
        <f>IFERROR(__xludf.DUMMYFUNCTION("""COMPUTED_VALUE"""),20.0)</f>
        <v>20</v>
      </c>
      <c r="M2579" s="4">
        <f>IFERROR(__xludf.DUMMYFUNCTION("""COMPUTED_VALUE"""),34.0)</f>
        <v>34</v>
      </c>
      <c r="N2579" s="2" t="b">
        <f>IFERROR(__xludf.DUMMYFUNCTION("""COMPUTED_VALUE"""),FALSE)</f>
        <v>0</v>
      </c>
    </row>
    <row r="2580">
      <c r="A2580" s="2">
        <f>IFERROR(__xludf.DUMMYFUNCTION("""COMPUTED_VALUE"""),2579.0)</f>
        <v>2579</v>
      </c>
      <c r="B2580" s="2" t="str">
        <f>IFERROR(__xludf.DUMMYFUNCTION("""COMPUTED_VALUE"""),"Erminie Berrey")</f>
        <v>Erminie Berrey</v>
      </c>
      <c r="C2580" s="2"/>
      <c r="D2580" s="4">
        <f>IFERROR(__xludf.DUMMYFUNCTION("""COMPUTED_VALUE"""),48.0)</f>
        <v>48</v>
      </c>
      <c r="E2580" s="4">
        <f>IFERROR(__xludf.DUMMYFUNCTION("""COMPUTED_VALUE"""),67.0)</f>
        <v>67</v>
      </c>
      <c r="F2580" s="4">
        <f>IFERROR(__xludf.DUMMYFUNCTION("""COMPUTED_VALUE"""),12.0)</f>
        <v>12</v>
      </c>
      <c r="G2580" s="4">
        <f>IFERROR(__xludf.DUMMYFUNCTION("""COMPUTED_VALUE"""),1268.0)</f>
        <v>1268</v>
      </c>
      <c r="H2580" s="5">
        <f>IFERROR(__xludf.DUMMYFUNCTION("""COMPUTED_VALUE"""),3424.21)</f>
        <v>3424.21</v>
      </c>
      <c r="I2580" s="5">
        <f>IFERROR(__xludf.DUMMYFUNCTION("""COMPUTED_VALUE"""),2347.28)</f>
        <v>2347.28</v>
      </c>
      <c r="J2580" s="5">
        <f>IFERROR(__xludf.DUMMYFUNCTION("""COMPUTED_VALUE"""),2868.18)</f>
        <v>2868.18</v>
      </c>
      <c r="K2580" s="5">
        <f>IFERROR(__xludf.DUMMYFUNCTION("""COMPUTED_VALUE"""),9409.54)</f>
        <v>9409.54</v>
      </c>
      <c r="L2580" s="4">
        <f>IFERROR(__xludf.DUMMYFUNCTION("""COMPUTED_VALUE"""),1.0)</f>
        <v>1</v>
      </c>
      <c r="M2580" s="4">
        <f>IFERROR(__xludf.DUMMYFUNCTION("""COMPUTED_VALUE"""),64.0)</f>
        <v>64</v>
      </c>
      <c r="N2580" s="2" t="b">
        <f>IFERROR(__xludf.DUMMYFUNCTION("""COMPUTED_VALUE"""),FALSE)</f>
        <v>0</v>
      </c>
    </row>
    <row r="2581">
      <c r="A2581" s="2">
        <f>IFERROR(__xludf.DUMMYFUNCTION("""COMPUTED_VALUE"""),2580.0)</f>
        <v>2580</v>
      </c>
      <c r="B2581" s="2" t="str">
        <f>IFERROR(__xludf.DUMMYFUNCTION("""COMPUTED_VALUE"""),"Guglielma Rakestraw")</f>
        <v>Guglielma Rakestraw</v>
      </c>
      <c r="C2581" s="2" t="str">
        <f>IFERROR(__xludf.DUMMYFUNCTION("""COMPUTED_VALUE"""),"grakestrawg4@sciencedaily.com")</f>
        <v>grakestrawg4@sciencedaily.com</v>
      </c>
      <c r="D2581" s="4">
        <f>IFERROR(__xludf.DUMMYFUNCTION("""COMPUTED_VALUE"""),37.0)</f>
        <v>37</v>
      </c>
      <c r="E2581" s="4">
        <f>IFERROR(__xludf.DUMMYFUNCTION("""COMPUTED_VALUE"""),14.0)</f>
        <v>14</v>
      </c>
      <c r="F2581" s="4">
        <f>IFERROR(__xludf.DUMMYFUNCTION("""COMPUTED_VALUE"""),10.0)</f>
        <v>10</v>
      </c>
      <c r="G2581" s="4">
        <f>IFERROR(__xludf.DUMMYFUNCTION("""COMPUTED_VALUE"""),425.0)</f>
        <v>425</v>
      </c>
      <c r="H2581" s="5">
        <f>IFERROR(__xludf.DUMMYFUNCTION("""COMPUTED_VALUE"""),3483.65)</f>
        <v>3483.65</v>
      </c>
      <c r="I2581" s="5">
        <f>IFERROR(__xludf.DUMMYFUNCTION("""COMPUTED_VALUE"""),9081.26)</f>
        <v>9081.26</v>
      </c>
      <c r="J2581" s="5">
        <f>IFERROR(__xludf.DUMMYFUNCTION("""COMPUTED_VALUE"""),7847.84)</f>
        <v>7847.84</v>
      </c>
      <c r="K2581" s="5">
        <f>IFERROR(__xludf.DUMMYFUNCTION("""COMPUTED_VALUE"""),8950.99)</f>
        <v>8950.99</v>
      </c>
      <c r="L2581" s="4">
        <f>IFERROR(__xludf.DUMMYFUNCTION("""COMPUTED_VALUE"""),8.0)</f>
        <v>8</v>
      </c>
      <c r="M2581" s="4">
        <f>IFERROR(__xludf.DUMMYFUNCTION("""COMPUTED_VALUE"""),53.0)</f>
        <v>53</v>
      </c>
      <c r="N2581" s="2" t="b">
        <f>IFERROR(__xludf.DUMMYFUNCTION("""COMPUTED_VALUE"""),TRUE)</f>
        <v>1</v>
      </c>
    </row>
    <row r="2582">
      <c r="A2582" s="2">
        <f>IFERROR(__xludf.DUMMYFUNCTION("""COMPUTED_VALUE"""),2581.0)</f>
        <v>2581</v>
      </c>
      <c r="B2582" s="2" t="str">
        <f>IFERROR(__xludf.DUMMYFUNCTION("""COMPUTED_VALUE"""),"Berni Dewerson")</f>
        <v>Berni Dewerson</v>
      </c>
      <c r="C2582" s="2" t="str">
        <f>IFERROR(__xludf.DUMMYFUNCTION("""COMPUTED_VALUE"""),"bdewersong5@utexas.edu")</f>
        <v>bdewersong5@utexas.edu</v>
      </c>
      <c r="D2582" s="4">
        <f>IFERROR(__xludf.DUMMYFUNCTION("""COMPUTED_VALUE"""),33.0)</f>
        <v>33</v>
      </c>
      <c r="E2582" s="4">
        <f>IFERROR(__xludf.DUMMYFUNCTION("""COMPUTED_VALUE"""),108.0)</f>
        <v>108</v>
      </c>
      <c r="F2582" s="4">
        <f>IFERROR(__xludf.DUMMYFUNCTION("""COMPUTED_VALUE"""),9.0)</f>
        <v>9</v>
      </c>
      <c r="G2582" s="4">
        <f>IFERROR(__xludf.DUMMYFUNCTION("""COMPUTED_VALUE"""),1229.0)</f>
        <v>1229</v>
      </c>
      <c r="H2582" s="5">
        <f>IFERROR(__xludf.DUMMYFUNCTION("""COMPUTED_VALUE"""),4683.34)</f>
        <v>4683.34</v>
      </c>
      <c r="I2582" s="5">
        <f>IFERROR(__xludf.DUMMYFUNCTION("""COMPUTED_VALUE"""),7875.79)</f>
        <v>7875.79</v>
      </c>
      <c r="J2582" s="5">
        <f>IFERROR(__xludf.DUMMYFUNCTION("""COMPUTED_VALUE"""),4849.43)</f>
        <v>4849.43</v>
      </c>
      <c r="K2582" s="5">
        <f>IFERROR(__xludf.DUMMYFUNCTION("""COMPUTED_VALUE"""),8971.45)</f>
        <v>8971.45</v>
      </c>
      <c r="L2582" s="4">
        <f>IFERROR(__xludf.DUMMYFUNCTION("""COMPUTED_VALUE"""),16.0)</f>
        <v>16</v>
      </c>
      <c r="M2582" s="4">
        <f>IFERROR(__xludf.DUMMYFUNCTION("""COMPUTED_VALUE"""),81.0)</f>
        <v>81</v>
      </c>
      <c r="N2582" s="2" t="b">
        <f>IFERROR(__xludf.DUMMYFUNCTION("""COMPUTED_VALUE"""),TRUE)</f>
        <v>1</v>
      </c>
    </row>
    <row r="2583">
      <c r="A2583" s="2">
        <f>IFERROR(__xludf.DUMMYFUNCTION("""COMPUTED_VALUE"""),2582.0)</f>
        <v>2582</v>
      </c>
      <c r="B2583" s="2" t="str">
        <f>IFERROR(__xludf.DUMMYFUNCTION("""COMPUTED_VALUE"""),"Tricia Korn")</f>
        <v>Tricia Korn</v>
      </c>
      <c r="C2583" s="2" t="str">
        <f>IFERROR(__xludf.DUMMYFUNCTION("""COMPUTED_VALUE"""),"tkorng6@paypal.com")</f>
        <v>tkorng6@paypal.com</v>
      </c>
      <c r="D2583" s="4">
        <f>IFERROR(__xludf.DUMMYFUNCTION("""COMPUTED_VALUE"""),41.0)</f>
        <v>41</v>
      </c>
      <c r="E2583" s="4">
        <f>IFERROR(__xludf.DUMMYFUNCTION("""COMPUTED_VALUE"""),125.0)</f>
        <v>125</v>
      </c>
      <c r="F2583" s="4">
        <f>IFERROR(__xludf.DUMMYFUNCTION("""COMPUTED_VALUE"""),6.0)</f>
        <v>6</v>
      </c>
      <c r="G2583" s="4">
        <f>IFERROR(__xludf.DUMMYFUNCTION("""COMPUTED_VALUE"""),1396.0)</f>
        <v>1396</v>
      </c>
      <c r="H2583" s="5">
        <f>IFERROR(__xludf.DUMMYFUNCTION("""COMPUTED_VALUE"""),750.0)</f>
        <v>750</v>
      </c>
      <c r="I2583" s="5">
        <f>IFERROR(__xludf.DUMMYFUNCTION("""COMPUTED_VALUE"""),6134.82)</f>
        <v>6134.82</v>
      </c>
      <c r="J2583" s="5">
        <f>IFERROR(__xludf.DUMMYFUNCTION("""COMPUTED_VALUE"""),7327.97)</f>
        <v>7327.97</v>
      </c>
      <c r="K2583" s="5">
        <f>IFERROR(__xludf.DUMMYFUNCTION("""COMPUTED_VALUE"""),7719.94)</f>
        <v>7719.94</v>
      </c>
      <c r="L2583" s="4">
        <f>IFERROR(__xludf.DUMMYFUNCTION("""COMPUTED_VALUE"""),3.0)</f>
        <v>3</v>
      </c>
      <c r="M2583" s="4">
        <f>IFERROR(__xludf.DUMMYFUNCTION("""COMPUTED_VALUE"""),4.0)</f>
        <v>4</v>
      </c>
      <c r="N2583" s="2" t="b">
        <f>IFERROR(__xludf.DUMMYFUNCTION("""COMPUTED_VALUE"""),TRUE)</f>
        <v>1</v>
      </c>
    </row>
    <row r="2584">
      <c r="A2584" s="2">
        <f>IFERROR(__xludf.DUMMYFUNCTION("""COMPUTED_VALUE"""),2583.0)</f>
        <v>2583</v>
      </c>
      <c r="B2584" s="2" t="str">
        <f>IFERROR(__xludf.DUMMYFUNCTION("""COMPUTED_VALUE"""),"Axe Corrie")</f>
        <v>Axe Corrie</v>
      </c>
      <c r="C2584" s="2"/>
      <c r="D2584" s="4">
        <f>IFERROR(__xludf.DUMMYFUNCTION("""COMPUTED_VALUE"""),47.0)</f>
        <v>47</v>
      </c>
      <c r="E2584" s="4">
        <f>IFERROR(__xludf.DUMMYFUNCTION("""COMPUTED_VALUE"""),63.0)</f>
        <v>63</v>
      </c>
      <c r="F2584" s="4">
        <f>IFERROR(__xludf.DUMMYFUNCTION("""COMPUTED_VALUE"""),10.0)</f>
        <v>10</v>
      </c>
      <c r="G2584" s="4">
        <f>IFERROR(__xludf.DUMMYFUNCTION("""COMPUTED_VALUE"""),59.0)</f>
        <v>59</v>
      </c>
      <c r="H2584" s="5">
        <f>IFERROR(__xludf.DUMMYFUNCTION("""COMPUTED_VALUE"""),3002.46)</f>
        <v>3002.46</v>
      </c>
      <c r="I2584" s="5">
        <f>IFERROR(__xludf.DUMMYFUNCTION("""COMPUTED_VALUE"""),9805.98)</f>
        <v>9805.98</v>
      </c>
      <c r="J2584" s="5">
        <f>IFERROR(__xludf.DUMMYFUNCTION("""COMPUTED_VALUE"""),5715.88)</f>
        <v>5715.88</v>
      </c>
      <c r="K2584" s="5">
        <f>IFERROR(__xludf.DUMMYFUNCTION("""COMPUTED_VALUE"""),6995.08)</f>
        <v>6995.08</v>
      </c>
      <c r="L2584" s="4">
        <f>IFERROR(__xludf.DUMMYFUNCTION("""COMPUTED_VALUE"""),6.0)</f>
        <v>6</v>
      </c>
      <c r="M2584" s="4">
        <f>IFERROR(__xludf.DUMMYFUNCTION("""COMPUTED_VALUE"""),99.0)</f>
        <v>99</v>
      </c>
      <c r="N2584" s="2" t="b">
        <f>IFERROR(__xludf.DUMMYFUNCTION("""COMPUTED_VALUE"""),FALSE)</f>
        <v>0</v>
      </c>
    </row>
    <row r="2585">
      <c r="A2585" s="2">
        <f>IFERROR(__xludf.DUMMYFUNCTION("""COMPUTED_VALUE"""),2584.0)</f>
        <v>2584</v>
      </c>
      <c r="B2585" s="2" t="str">
        <f>IFERROR(__xludf.DUMMYFUNCTION("""COMPUTED_VALUE"""),"Engracia Karpfen")</f>
        <v>Engracia Karpfen</v>
      </c>
      <c r="C2585" s="2" t="str">
        <f>IFERROR(__xludf.DUMMYFUNCTION("""COMPUTED_VALUE"""),"ekarpfeng8@wikia.com")</f>
        <v>ekarpfeng8@wikia.com</v>
      </c>
      <c r="D2585" s="4">
        <f>IFERROR(__xludf.DUMMYFUNCTION("""COMPUTED_VALUE"""),120.0)</f>
        <v>120</v>
      </c>
      <c r="E2585" s="4">
        <f>IFERROR(__xludf.DUMMYFUNCTION("""COMPUTED_VALUE"""),57.0)</f>
        <v>57</v>
      </c>
      <c r="F2585" s="4">
        <f>IFERROR(__xludf.DUMMYFUNCTION("""COMPUTED_VALUE"""),12.0)</f>
        <v>12</v>
      </c>
      <c r="G2585" s="4">
        <f>IFERROR(__xludf.DUMMYFUNCTION("""COMPUTED_VALUE"""),1550.0)</f>
        <v>1550</v>
      </c>
      <c r="H2585" s="5">
        <f>IFERROR(__xludf.DUMMYFUNCTION("""COMPUTED_VALUE"""),4833.13)</f>
        <v>4833.13</v>
      </c>
      <c r="I2585" s="5">
        <f>IFERROR(__xludf.DUMMYFUNCTION("""COMPUTED_VALUE"""),3554.69)</f>
        <v>3554.69</v>
      </c>
      <c r="J2585" s="5">
        <f>IFERROR(__xludf.DUMMYFUNCTION("""COMPUTED_VALUE"""),3336.24)</f>
        <v>3336.24</v>
      </c>
      <c r="K2585" s="5">
        <f>IFERROR(__xludf.DUMMYFUNCTION("""COMPUTED_VALUE"""),4963.12)</f>
        <v>4963.12</v>
      </c>
      <c r="L2585" s="4">
        <f>IFERROR(__xludf.DUMMYFUNCTION("""COMPUTED_VALUE"""),17.0)</f>
        <v>17</v>
      </c>
      <c r="M2585" s="4">
        <f>IFERROR(__xludf.DUMMYFUNCTION("""COMPUTED_VALUE"""),56.0)</f>
        <v>56</v>
      </c>
      <c r="N2585" s="2" t="b">
        <f>IFERROR(__xludf.DUMMYFUNCTION("""COMPUTED_VALUE"""),TRUE)</f>
        <v>1</v>
      </c>
    </row>
    <row r="2586">
      <c r="A2586" s="2">
        <f>IFERROR(__xludf.DUMMYFUNCTION("""COMPUTED_VALUE"""),2585.0)</f>
        <v>2585</v>
      </c>
      <c r="B2586" s="2" t="str">
        <f>IFERROR(__xludf.DUMMYFUNCTION("""COMPUTED_VALUE"""),"Cassie Tumayan")</f>
        <v>Cassie Tumayan</v>
      </c>
      <c r="C2586" s="2" t="str">
        <f>IFERROR(__xludf.DUMMYFUNCTION("""COMPUTED_VALUE"""),"ctumayang9@ustream.tv")</f>
        <v>ctumayang9@ustream.tv</v>
      </c>
      <c r="D2586" s="4">
        <f>IFERROR(__xludf.DUMMYFUNCTION("""COMPUTED_VALUE"""),63.0)</f>
        <v>63</v>
      </c>
      <c r="E2586" s="4">
        <f>IFERROR(__xludf.DUMMYFUNCTION("""COMPUTED_VALUE"""),62.0)</f>
        <v>62</v>
      </c>
      <c r="F2586" s="4">
        <f>IFERROR(__xludf.DUMMYFUNCTION("""COMPUTED_VALUE"""),4.0)</f>
        <v>4</v>
      </c>
      <c r="G2586" s="4">
        <f>IFERROR(__xludf.DUMMYFUNCTION("""COMPUTED_VALUE"""),827.0)</f>
        <v>827</v>
      </c>
      <c r="H2586" s="5">
        <f>IFERROR(__xludf.DUMMYFUNCTION("""COMPUTED_VALUE"""),7074.19)</f>
        <v>7074.19</v>
      </c>
      <c r="I2586" s="5">
        <f>IFERROR(__xludf.DUMMYFUNCTION("""COMPUTED_VALUE"""),4752.96)</f>
        <v>4752.96</v>
      </c>
      <c r="J2586" s="5">
        <f>IFERROR(__xludf.DUMMYFUNCTION("""COMPUTED_VALUE"""),1143.35)</f>
        <v>1143.35</v>
      </c>
      <c r="K2586" s="5">
        <f>IFERROR(__xludf.DUMMYFUNCTION("""COMPUTED_VALUE"""),614.86)</f>
        <v>614.86</v>
      </c>
      <c r="L2586" s="4">
        <f>IFERROR(__xludf.DUMMYFUNCTION("""COMPUTED_VALUE"""),19.0)</f>
        <v>19</v>
      </c>
      <c r="M2586" s="4">
        <f>IFERROR(__xludf.DUMMYFUNCTION("""COMPUTED_VALUE"""),70.0)</f>
        <v>70</v>
      </c>
      <c r="N2586" s="2" t="b">
        <f>IFERROR(__xludf.DUMMYFUNCTION("""COMPUTED_VALUE"""),FALSE)</f>
        <v>0</v>
      </c>
    </row>
    <row r="2587">
      <c r="A2587" s="2">
        <f>IFERROR(__xludf.DUMMYFUNCTION("""COMPUTED_VALUE"""),2586.0)</f>
        <v>2586</v>
      </c>
      <c r="B2587" s="2" t="str">
        <f>IFERROR(__xludf.DUMMYFUNCTION("""COMPUTED_VALUE"""),"Doria Corrison")</f>
        <v>Doria Corrison</v>
      </c>
      <c r="C2587" s="2" t="str">
        <f>IFERROR(__xludf.DUMMYFUNCTION("""COMPUTED_VALUE"""),"dcorrisonga@arstechnica.com")</f>
        <v>dcorrisonga@arstechnica.com</v>
      </c>
      <c r="D2587" s="4">
        <f>IFERROR(__xludf.DUMMYFUNCTION("""COMPUTED_VALUE"""),153.0)</f>
        <v>153</v>
      </c>
      <c r="E2587" s="4">
        <f>IFERROR(__xludf.DUMMYFUNCTION("""COMPUTED_VALUE"""),38.0)</f>
        <v>38</v>
      </c>
      <c r="F2587" s="4">
        <f>IFERROR(__xludf.DUMMYFUNCTION("""COMPUTED_VALUE"""),7.0)</f>
        <v>7</v>
      </c>
      <c r="G2587" s="4">
        <f>IFERROR(__xludf.DUMMYFUNCTION("""COMPUTED_VALUE"""),1213.0)</f>
        <v>1213</v>
      </c>
      <c r="H2587" s="5">
        <f>IFERROR(__xludf.DUMMYFUNCTION("""COMPUTED_VALUE"""),4059.25)</f>
        <v>4059.25</v>
      </c>
      <c r="I2587" s="5">
        <f>IFERROR(__xludf.DUMMYFUNCTION("""COMPUTED_VALUE"""),4302.93)</f>
        <v>4302.93</v>
      </c>
      <c r="J2587" s="5">
        <f>IFERROR(__xludf.DUMMYFUNCTION("""COMPUTED_VALUE"""),8069.9)</f>
        <v>8069.9</v>
      </c>
      <c r="K2587" s="5">
        <f>IFERROR(__xludf.DUMMYFUNCTION("""COMPUTED_VALUE"""),9768.39)</f>
        <v>9768.39</v>
      </c>
      <c r="L2587" s="4">
        <f>IFERROR(__xludf.DUMMYFUNCTION("""COMPUTED_VALUE"""),8.0)</f>
        <v>8</v>
      </c>
      <c r="M2587" s="4">
        <f>IFERROR(__xludf.DUMMYFUNCTION("""COMPUTED_VALUE"""),25.0)</f>
        <v>25</v>
      </c>
      <c r="N2587" s="2" t="b">
        <f>IFERROR(__xludf.DUMMYFUNCTION("""COMPUTED_VALUE"""),TRUE)</f>
        <v>1</v>
      </c>
    </row>
    <row r="2588">
      <c r="A2588" s="2">
        <f>IFERROR(__xludf.DUMMYFUNCTION("""COMPUTED_VALUE"""),2587.0)</f>
        <v>2587</v>
      </c>
      <c r="B2588" s="2" t="str">
        <f>IFERROR(__xludf.DUMMYFUNCTION("""COMPUTED_VALUE"""),"Emelda Portigall")</f>
        <v>Emelda Portigall</v>
      </c>
      <c r="C2588" s="2"/>
      <c r="D2588" s="4">
        <f>IFERROR(__xludf.DUMMYFUNCTION("""COMPUTED_VALUE"""),11.0)</f>
        <v>11</v>
      </c>
      <c r="E2588" s="4">
        <f>IFERROR(__xludf.DUMMYFUNCTION("""COMPUTED_VALUE"""),94.0)</f>
        <v>94</v>
      </c>
      <c r="F2588" s="4">
        <f>IFERROR(__xludf.DUMMYFUNCTION("""COMPUTED_VALUE"""),5.0)</f>
        <v>5</v>
      </c>
      <c r="G2588" s="4">
        <f>IFERROR(__xludf.DUMMYFUNCTION("""COMPUTED_VALUE"""),631.0)</f>
        <v>631</v>
      </c>
      <c r="H2588" s="5">
        <f>IFERROR(__xludf.DUMMYFUNCTION("""COMPUTED_VALUE"""),1689.34)</f>
        <v>1689.34</v>
      </c>
      <c r="I2588" s="5">
        <f>IFERROR(__xludf.DUMMYFUNCTION("""COMPUTED_VALUE"""),7577.71)</f>
        <v>7577.71</v>
      </c>
      <c r="J2588" s="5">
        <f>IFERROR(__xludf.DUMMYFUNCTION("""COMPUTED_VALUE"""),142.18)</f>
        <v>142.18</v>
      </c>
      <c r="K2588" s="5">
        <f>IFERROR(__xludf.DUMMYFUNCTION("""COMPUTED_VALUE"""),2721.3)</f>
        <v>2721.3</v>
      </c>
      <c r="L2588" s="4">
        <f>IFERROR(__xludf.DUMMYFUNCTION("""COMPUTED_VALUE"""),11.0)</f>
        <v>11</v>
      </c>
      <c r="M2588" s="4">
        <f>IFERROR(__xludf.DUMMYFUNCTION("""COMPUTED_VALUE"""),74.0)</f>
        <v>74</v>
      </c>
      <c r="N2588" s="2" t="b">
        <f>IFERROR(__xludf.DUMMYFUNCTION("""COMPUTED_VALUE"""),TRUE)</f>
        <v>1</v>
      </c>
    </row>
    <row r="2589">
      <c r="A2589" s="2">
        <f>IFERROR(__xludf.DUMMYFUNCTION("""COMPUTED_VALUE"""),2588.0)</f>
        <v>2588</v>
      </c>
      <c r="B2589" s="2" t="str">
        <f>IFERROR(__xludf.DUMMYFUNCTION("""COMPUTED_VALUE"""),"Orly Bentham")</f>
        <v>Orly Bentham</v>
      </c>
      <c r="C2589" s="2"/>
      <c r="D2589" s="4">
        <f>IFERROR(__xludf.DUMMYFUNCTION("""COMPUTED_VALUE"""),48.0)</f>
        <v>48</v>
      </c>
      <c r="E2589" s="4">
        <f>IFERROR(__xludf.DUMMYFUNCTION("""COMPUTED_VALUE"""),106.0)</f>
        <v>106</v>
      </c>
      <c r="F2589" s="4">
        <f>IFERROR(__xludf.DUMMYFUNCTION("""COMPUTED_VALUE"""),8.0)</f>
        <v>8</v>
      </c>
      <c r="G2589" s="4">
        <f>IFERROR(__xludf.DUMMYFUNCTION("""COMPUTED_VALUE"""),520.0)</f>
        <v>520</v>
      </c>
      <c r="H2589" s="5">
        <f>IFERROR(__xludf.DUMMYFUNCTION("""COMPUTED_VALUE"""),7501.89)</f>
        <v>7501.89</v>
      </c>
      <c r="I2589" s="5">
        <f>IFERROR(__xludf.DUMMYFUNCTION("""COMPUTED_VALUE"""),3896.89)</f>
        <v>3896.89</v>
      </c>
      <c r="J2589" s="5">
        <f>IFERROR(__xludf.DUMMYFUNCTION("""COMPUTED_VALUE"""),8587.2)</f>
        <v>8587.2</v>
      </c>
      <c r="K2589" s="5">
        <f>IFERROR(__xludf.DUMMYFUNCTION("""COMPUTED_VALUE"""),3126.19)</f>
        <v>3126.19</v>
      </c>
      <c r="L2589" s="4">
        <f>IFERROR(__xludf.DUMMYFUNCTION("""COMPUTED_VALUE"""),19.0)</f>
        <v>19</v>
      </c>
      <c r="M2589" s="4">
        <f>IFERROR(__xludf.DUMMYFUNCTION("""COMPUTED_VALUE"""),94.0)</f>
        <v>94</v>
      </c>
      <c r="N2589" s="2" t="b">
        <f>IFERROR(__xludf.DUMMYFUNCTION("""COMPUTED_VALUE"""),TRUE)</f>
        <v>1</v>
      </c>
    </row>
    <row r="2590">
      <c r="A2590" s="2">
        <f>IFERROR(__xludf.DUMMYFUNCTION("""COMPUTED_VALUE"""),2589.0)</f>
        <v>2589</v>
      </c>
      <c r="B2590" s="2" t="str">
        <f>IFERROR(__xludf.DUMMYFUNCTION("""COMPUTED_VALUE"""),"Alisha Draaisma")</f>
        <v>Alisha Draaisma</v>
      </c>
      <c r="C2590" s="2" t="str">
        <f>IFERROR(__xludf.DUMMYFUNCTION("""COMPUTED_VALUE"""),"adraaismagd@ftc.gov")</f>
        <v>adraaismagd@ftc.gov</v>
      </c>
      <c r="D2590" s="4">
        <f>IFERROR(__xludf.DUMMYFUNCTION("""COMPUTED_VALUE"""),146.0)</f>
        <v>146</v>
      </c>
      <c r="E2590" s="4">
        <f>IFERROR(__xludf.DUMMYFUNCTION("""COMPUTED_VALUE"""),90.0)</f>
        <v>90</v>
      </c>
      <c r="F2590" s="4">
        <f>IFERROR(__xludf.DUMMYFUNCTION("""COMPUTED_VALUE"""),12.0)</f>
        <v>12</v>
      </c>
      <c r="G2590" s="4">
        <f>IFERROR(__xludf.DUMMYFUNCTION("""COMPUTED_VALUE"""),1256.0)</f>
        <v>1256</v>
      </c>
      <c r="H2590" s="5">
        <f>IFERROR(__xludf.DUMMYFUNCTION("""COMPUTED_VALUE"""),7984.81)</f>
        <v>7984.81</v>
      </c>
      <c r="I2590" s="5">
        <f>IFERROR(__xludf.DUMMYFUNCTION("""COMPUTED_VALUE"""),4382.69)</f>
        <v>4382.69</v>
      </c>
      <c r="J2590" s="5">
        <f>IFERROR(__xludf.DUMMYFUNCTION("""COMPUTED_VALUE"""),1908.37)</f>
        <v>1908.37</v>
      </c>
      <c r="K2590" s="5">
        <f>IFERROR(__xludf.DUMMYFUNCTION("""COMPUTED_VALUE"""),9792.8)</f>
        <v>9792.8</v>
      </c>
      <c r="L2590" s="4">
        <f>IFERROR(__xludf.DUMMYFUNCTION("""COMPUTED_VALUE"""),4.0)</f>
        <v>4</v>
      </c>
      <c r="M2590" s="4">
        <f>IFERROR(__xludf.DUMMYFUNCTION("""COMPUTED_VALUE"""),95.0)</f>
        <v>95</v>
      </c>
      <c r="N2590" s="2" t="b">
        <f>IFERROR(__xludf.DUMMYFUNCTION("""COMPUTED_VALUE"""),TRUE)</f>
        <v>1</v>
      </c>
    </row>
    <row r="2591">
      <c r="A2591" s="2">
        <f>IFERROR(__xludf.DUMMYFUNCTION("""COMPUTED_VALUE"""),2590.0)</f>
        <v>2590</v>
      </c>
      <c r="B2591" s="2" t="str">
        <f>IFERROR(__xludf.DUMMYFUNCTION("""COMPUTED_VALUE"""),"Jamey Trimme")</f>
        <v>Jamey Trimme</v>
      </c>
      <c r="C2591" s="2"/>
      <c r="D2591" s="4">
        <f>IFERROR(__xludf.DUMMYFUNCTION("""COMPUTED_VALUE"""),39.0)</f>
        <v>39</v>
      </c>
      <c r="E2591" s="4">
        <f>IFERROR(__xludf.DUMMYFUNCTION("""COMPUTED_VALUE"""),26.0)</f>
        <v>26</v>
      </c>
      <c r="F2591" s="4">
        <f>IFERROR(__xludf.DUMMYFUNCTION("""COMPUTED_VALUE"""),13.0)</f>
        <v>13</v>
      </c>
      <c r="G2591" s="4">
        <f>IFERROR(__xludf.DUMMYFUNCTION("""COMPUTED_VALUE"""),1216.0)</f>
        <v>1216</v>
      </c>
      <c r="H2591" s="5">
        <f>IFERROR(__xludf.DUMMYFUNCTION("""COMPUTED_VALUE"""),6196.41)</f>
        <v>6196.41</v>
      </c>
      <c r="I2591" s="5">
        <f>IFERROR(__xludf.DUMMYFUNCTION("""COMPUTED_VALUE"""),544.27)</f>
        <v>544.27</v>
      </c>
      <c r="J2591" s="5">
        <f>IFERROR(__xludf.DUMMYFUNCTION("""COMPUTED_VALUE"""),7307.53)</f>
        <v>7307.53</v>
      </c>
      <c r="K2591" s="5">
        <f>IFERROR(__xludf.DUMMYFUNCTION("""COMPUTED_VALUE"""),5327.26)</f>
        <v>5327.26</v>
      </c>
      <c r="L2591" s="4">
        <f>IFERROR(__xludf.DUMMYFUNCTION("""COMPUTED_VALUE"""),20.0)</f>
        <v>20</v>
      </c>
      <c r="M2591" s="4">
        <f>IFERROR(__xludf.DUMMYFUNCTION("""COMPUTED_VALUE"""),98.0)</f>
        <v>98</v>
      </c>
      <c r="N2591" s="2" t="b">
        <f>IFERROR(__xludf.DUMMYFUNCTION("""COMPUTED_VALUE"""),TRUE)</f>
        <v>1</v>
      </c>
    </row>
    <row r="2592">
      <c r="A2592" s="2">
        <f>IFERROR(__xludf.DUMMYFUNCTION("""COMPUTED_VALUE"""),2591.0)</f>
        <v>2591</v>
      </c>
      <c r="B2592" s="2" t="str">
        <f>IFERROR(__xludf.DUMMYFUNCTION("""COMPUTED_VALUE"""),"Scott Mathison")</f>
        <v>Scott Mathison</v>
      </c>
      <c r="C2592" s="2" t="str">
        <f>IFERROR(__xludf.DUMMYFUNCTION("""COMPUTED_VALUE"""),"smathisongf@craigslist.org")</f>
        <v>smathisongf@craigslist.org</v>
      </c>
      <c r="D2592" s="4">
        <f>IFERROR(__xludf.DUMMYFUNCTION("""COMPUTED_VALUE"""),157.0)</f>
        <v>157</v>
      </c>
      <c r="E2592" s="4">
        <f>IFERROR(__xludf.DUMMYFUNCTION("""COMPUTED_VALUE"""),11.0)</f>
        <v>11</v>
      </c>
      <c r="F2592" s="4">
        <f>IFERROR(__xludf.DUMMYFUNCTION("""COMPUTED_VALUE"""),4.0)</f>
        <v>4</v>
      </c>
      <c r="G2592" s="4">
        <f>IFERROR(__xludf.DUMMYFUNCTION("""COMPUTED_VALUE"""),331.0)</f>
        <v>331</v>
      </c>
      <c r="H2592" s="5">
        <f>IFERROR(__xludf.DUMMYFUNCTION("""COMPUTED_VALUE"""),4244.49)</f>
        <v>4244.49</v>
      </c>
      <c r="I2592" s="5">
        <f>IFERROR(__xludf.DUMMYFUNCTION("""COMPUTED_VALUE"""),2721.29)</f>
        <v>2721.29</v>
      </c>
      <c r="J2592" s="5">
        <f>IFERROR(__xludf.DUMMYFUNCTION("""COMPUTED_VALUE"""),8366.02)</f>
        <v>8366.02</v>
      </c>
      <c r="K2592" s="5">
        <f>IFERROR(__xludf.DUMMYFUNCTION("""COMPUTED_VALUE"""),688.0)</f>
        <v>688</v>
      </c>
      <c r="L2592" s="4">
        <f>IFERROR(__xludf.DUMMYFUNCTION("""COMPUTED_VALUE"""),19.0)</f>
        <v>19</v>
      </c>
      <c r="M2592" s="4">
        <f>IFERROR(__xludf.DUMMYFUNCTION("""COMPUTED_VALUE"""),94.0)</f>
        <v>94</v>
      </c>
      <c r="N2592" s="2" t="b">
        <f>IFERROR(__xludf.DUMMYFUNCTION("""COMPUTED_VALUE"""),FALSE)</f>
        <v>0</v>
      </c>
    </row>
    <row r="2593">
      <c r="A2593" s="2">
        <f>IFERROR(__xludf.DUMMYFUNCTION("""COMPUTED_VALUE"""),2592.0)</f>
        <v>2592</v>
      </c>
      <c r="B2593" s="2" t="str">
        <f>IFERROR(__xludf.DUMMYFUNCTION("""COMPUTED_VALUE"""),"Theodore Feakins")</f>
        <v>Theodore Feakins</v>
      </c>
      <c r="C2593" s="2" t="str">
        <f>IFERROR(__xludf.DUMMYFUNCTION("""COMPUTED_VALUE"""),"tfeakinsgg@feedburner.com")</f>
        <v>tfeakinsgg@feedburner.com</v>
      </c>
      <c r="D2593" s="4">
        <f>IFERROR(__xludf.DUMMYFUNCTION("""COMPUTED_VALUE"""),138.0)</f>
        <v>138</v>
      </c>
      <c r="E2593" s="4">
        <f>IFERROR(__xludf.DUMMYFUNCTION("""COMPUTED_VALUE"""),35.0)</f>
        <v>35</v>
      </c>
      <c r="F2593" s="4">
        <f>IFERROR(__xludf.DUMMYFUNCTION("""COMPUTED_VALUE"""),3.0)</f>
        <v>3</v>
      </c>
      <c r="G2593" s="4">
        <f>IFERROR(__xludf.DUMMYFUNCTION("""COMPUTED_VALUE"""),109.0)</f>
        <v>109</v>
      </c>
      <c r="H2593" s="5">
        <f>IFERROR(__xludf.DUMMYFUNCTION("""COMPUTED_VALUE"""),7695.18)</f>
        <v>7695.18</v>
      </c>
      <c r="I2593" s="5">
        <f>IFERROR(__xludf.DUMMYFUNCTION("""COMPUTED_VALUE"""),8443.92)</f>
        <v>8443.92</v>
      </c>
      <c r="J2593" s="5">
        <f>IFERROR(__xludf.DUMMYFUNCTION("""COMPUTED_VALUE"""),2409.41)</f>
        <v>2409.41</v>
      </c>
      <c r="K2593" s="5">
        <f>IFERROR(__xludf.DUMMYFUNCTION("""COMPUTED_VALUE"""),3459.19)</f>
        <v>3459.19</v>
      </c>
      <c r="L2593" s="4">
        <f>IFERROR(__xludf.DUMMYFUNCTION("""COMPUTED_VALUE"""),8.0)</f>
        <v>8</v>
      </c>
      <c r="M2593" s="4">
        <f>IFERROR(__xludf.DUMMYFUNCTION("""COMPUTED_VALUE"""),48.0)</f>
        <v>48</v>
      </c>
      <c r="N2593" s="2" t="b">
        <f>IFERROR(__xludf.DUMMYFUNCTION("""COMPUTED_VALUE"""),FALSE)</f>
        <v>0</v>
      </c>
    </row>
    <row r="2594">
      <c r="A2594" s="2">
        <f>IFERROR(__xludf.DUMMYFUNCTION("""COMPUTED_VALUE"""),2593.0)</f>
        <v>2593</v>
      </c>
      <c r="B2594" s="2" t="str">
        <f>IFERROR(__xludf.DUMMYFUNCTION("""COMPUTED_VALUE"""),"Romona MacHarg")</f>
        <v>Romona MacHarg</v>
      </c>
      <c r="C2594" s="2" t="str">
        <f>IFERROR(__xludf.DUMMYFUNCTION("""COMPUTED_VALUE"""),"rmacharggh@sourceforge.net")</f>
        <v>rmacharggh@sourceforge.net</v>
      </c>
      <c r="D2594" s="4">
        <f>IFERROR(__xludf.DUMMYFUNCTION("""COMPUTED_VALUE"""),76.0)</f>
        <v>76</v>
      </c>
      <c r="E2594" s="4">
        <f>IFERROR(__xludf.DUMMYFUNCTION("""COMPUTED_VALUE"""),99.0)</f>
        <v>99</v>
      </c>
      <c r="F2594" s="4">
        <f>IFERROR(__xludf.DUMMYFUNCTION("""COMPUTED_VALUE"""),7.0)</f>
        <v>7</v>
      </c>
      <c r="G2594" s="4">
        <f>IFERROR(__xludf.DUMMYFUNCTION("""COMPUTED_VALUE"""),1089.0)</f>
        <v>1089</v>
      </c>
      <c r="H2594" s="5">
        <f>IFERROR(__xludf.DUMMYFUNCTION("""COMPUTED_VALUE"""),6832.5)</f>
        <v>6832.5</v>
      </c>
      <c r="I2594" s="5">
        <f>IFERROR(__xludf.DUMMYFUNCTION("""COMPUTED_VALUE"""),1184.17)</f>
        <v>1184.17</v>
      </c>
      <c r="J2594" s="5">
        <f>IFERROR(__xludf.DUMMYFUNCTION("""COMPUTED_VALUE"""),3480.75)</f>
        <v>3480.75</v>
      </c>
      <c r="K2594" s="5">
        <f>IFERROR(__xludf.DUMMYFUNCTION("""COMPUTED_VALUE"""),9357.2)</f>
        <v>9357.2</v>
      </c>
      <c r="L2594" s="4">
        <f>IFERROR(__xludf.DUMMYFUNCTION("""COMPUTED_VALUE"""),13.0)</f>
        <v>13</v>
      </c>
      <c r="M2594" s="4">
        <f>IFERROR(__xludf.DUMMYFUNCTION("""COMPUTED_VALUE"""),27.0)</f>
        <v>27</v>
      </c>
      <c r="N2594" s="2" t="b">
        <f>IFERROR(__xludf.DUMMYFUNCTION("""COMPUTED_VALUE"""),FALSE)</f>
        <v>0</v>
      </c>
    </row>
    <row r="2595">
      <c r="A2595" s="2">
        <f>IFERROR(__xludf.DUMMYFUNCTION("""COMPUTED_VALUE"""),2594.0)</f>
        <v>2594</v>
      </c>
      <c r="B2595" s="2" t="str">
        <f>IFERROR(__xludf.DUMMYFUNCTION("""COMPUTED_VALUE"""),"Gabriellia Jeves")</f>
        <v>Gabriellia Jeves</v>
      </c>
      <c r="C2595" s="2"/>
      <c r="D2595" s="4">
        <f>IFERROR(__xludf.DUMMYFUNCTION("""COMPUTED_VALUE"""),63.0)</f>
        <v>63</v>
      </c>
      <c r="E2595" s="4">
        <f>IFERROR(__xludf.DUMMYFUNCTION("""COMPUTED_VALUE"""),24.0)</f>
        <v>24</v>
      </c>
      <c r="F2595" s="4">
        <f>IFERROR(__xludf.DUMMYFUNCTION("""COMPUTED_VALUE"""),6.0)</f>
        <v>6</v>
      </c>
      <c r="G2595" s="4">
        <f>IFERROR(__xludf.DUMMYFUNCTION("""COMPUTED_VALUE"""),245.0)</f>
        <v>245</v>
      </c>
      <c r="H2595" s="5">
        <f>IFERROR(__xludf.DUMMYFUNCTION("""COMPUTED_VALUE"""),9233.26)</f>
        <v>9233.26</v>
      </c>
      <c r="I2595" s="5">
        <f>IFERROR(__xludf.DUMMYFUNCTION("""COMPUTED_VALUE"""),2221.85)</f>
        <v>2221.85</v>
      </c>
      <c r="J2595" s="5">
        <f>IFERROR(__xludf.DUMMYFUNCTION("""COMPUTED_VALUE"""),9373.94)</f>
        <v>9373.94</v>
      </c>
      <c r="K2595" s="5">
        <f>IFERROR(__xludf.DUMMYFUNCTION("""COMPUTED_VALUE"""),9258.73)</f>
        <v>9258.73</v>
      </c>
      <c r="L2595" s="4">
        <f>IFERROR(__xludf.DUMMYFUNCTION("""COMPUTED_VALUE"""),18.0)</f>
        <v>18</v>
      </c>
      <c r="M2595" s="4">
        <f>IFERROR(__xludf.DUMMYFUNCTION("""COMPUTED_VALUE"""),41.0)</f>
        <v>41</v>
      </c>
      <c r="N2595" s="2" t="b">
        <f>IFERROR(__xludf.DUMMYFUNCTION("""COMPUTED_VALUE"""),FALSE)</f>
        <v>0</v>
      </c>
    </row>
    <row r="2596">
      <c r="A2596" s="2">
        <f>IFERROR(__xludf.DUMMYFUNCTION("""COMPUTED_VALUE"""),2595.0)</f>
        <v>2595</v>
      </c>
      <c r="B2596" s="2" t="str">
        <f>IFERROR(__xludf.DUMMYFUNCTION("""COMPUTED_VALUE"""),"Hebert Todarini")</f>
        <v>Hebert Todarini</v>
      </c>
      <c r="C2596" s="2"/>
      <c r="D2596" s="4">
        <f>IFERROR(__xludf.DUMMYFUNCTION("""COMPUTED_VALUE"""),9.0)</f>
        <v>9</v>
      </c>
      <c r="E2596" s="4">
        <f>IFERROR(__xludf.DUMMYFUNCTION("""COMPUTED_VALUE"""),83.0)</f>
        <v>83</v>
      </c>
      <c r="F2596" s="4">
        <f>IFERROR(__xludf.DUMMYFUNCTION("""COMPUTED_VALUE"""),8.0)</f>
        <v>8</v>
      </c>
      <c r="G2596" s="4">
        <f>IFERROR(__xludf.DUMMYFUNCTION("""COMPUTED_VALUE"""),280.0)</f>
        <v>280</v>
      </c>
      <c r="H2596" s="5">
        <f>IFERROR(__xludf.DUMMYFUNCTION("""COMPUTED_VALUE"""),772.29)</f>
        <v>772.29</v>
      </c>
      <c r="I2596" s="5">
        <f>IFERROR(__xludf.DUMMYFUNCTION("""COMPUTED_VALUE"""),8685.2)</f>
        <v>8685.2</v>
      </c>
      <c r="J2596" s="5">
        <f>IFERROR(__xludf.DUMMYFUNCTION("""COMPUTED_VALUE"""),8959.65)</f>
        <v>8959.65</v>
      </c>
      <c r="K2596" s="5">
        <f>IFERROR(__xludf.DUMMYFUNCTION("""COMPUTED_VALUE"""),4568.58)</f>
        <v>4568.58</v>
      </c>
      <c r="L2596" s="4">
        <f>IFERROR(__xludf.DUMMYFUNCTION("""COMPUTED_VALUE"""),19.0)</f>
        <v>19</v>
      </c>
      <c r="M2596" s="4">
        <f>IFERROR(__xludf.DUMMYFUNCTION("""COMPUTED_VALUE"""),58.0)</f>
        <v>58</v>
      </c>
      <c r="N2596" s="2" t="b">
        <f>IFERROR(__xludf.DUMMYFUNCTION("""COMPUTED_VALUE"""),FALSE)</f>
        <v>0</v>
      </c>
    </row>
    <row r="2597">
      <c r="A2597" s="2">
        <f>IFERROR(__xludf.DUMMYFUNCTION("""COMPUTED_VALUE"""),2596.0)</f>
        <v>2596</v>
      </c>
      <c r="B2597" s="2" t="str">
        <f>IFERROR(__xludf.DUMMYFUNCTION("""COMPUTED_VALUE"""),"Evered Lukasik")</f>
        <v>Evered Lukasik</v>
      </c>
      <c r="C2597" s="2"/>
      <c r="D2597" s="4">
        <f>IFERROR(__xludf.DUMMYFUNCTION("""COMPUTED_VALUE"""),104.0)</f>
        <v>104</v>
      </c>
      <c r="E2597" s="4">
        <f>IFERROR(__xludf.DUMMYFUNCTION("""COMPUTED_VALUE"""),109.0)</f>
        <v>109</v>
      </c>
      <c r="F2597" s="4">
        <f>IFERROR(__xludf.DUMMYFUNCTION("""COMPUTED_VALUE"""),13.0)</f>
        <v>13</v>
      </c>
      <c r="G2597" s="4">
        <f>IFERROR(__xludf.DUMMYFUNCTION("""COMPUTED_VALUE"""),1005.0)</f>
        <v>1005</v>
      </c>
      <c r="H2597" s="5">
        <f>IFERROR(__xludf.DUMMYFUNCTION("""COMPUTED_VALUE"""),1680.4)</f>
        <v>1680.4</v>
      </c>
      <c r="I2597" s="5">
        <f>IFERROR(__xludf.DUMMYFUNCTION("""COMPUTED_VALUE"""),266.78)</f>
        <v>266.78</v>
      </c>
      <c r="J2597" s="5">
        <f>IFERROR(__xludf.DUMMYFUNCTION("""COMPUTED_VALUE"""),7661.76)</f>
        <v>7661.76</v>
      </c>
      <c r="K2597" s="5">
        <f>IFERROR(__xludf.DUMMYFUNCTION("""COMPUTED_VALUE"""),8525.65)</f>
        <v>8525.65</v>
      </c>
      <c r="L2597" s="4">
        <f>IFERROR(__xludf.DUMMYFUNCTION("""COMPUTED_VALUE"""),15.0)</f>
        <v>15</v>
      </c>
      <c r="M2597" s="4">
        <f>IFERROR(__xludf.DUMMYFUNCTION("""COMPUTED_VALUE"""),84.0)</f>
        <v>84</v>
      </c>
      <c r="N2597" s="2" t="b">
        <f>IFERROR(__xludf.DUMMYFUNCTION("""COMPUTED_VALUE"""),FALSE)</f>
        <v>0</v>
      </c>
    </row>
    <row r="2598">
      <c r="A2598" s="2">
        <f>IFERROR(__xludf.DUMMYFUNCTION("""COMPUTED_VALUE"""),2597.0)</f>
        <v>2597</v>
      </c>
      <c r="B2598" s="2" t="str">
        <f>IFERROR(__xludf.DUMMYFUNCTION("""COMPUTED_VALUE"""),"Trina Warlton")</f>
        <v>Trina Warlton</v>
      </c>
      <c r="C2598" s="2" t="str">
        <f>IFERROR(__xludf.DUMMYFUNCTION("""COMPUTED_VALUE"""),"twarltongl@oracle.com")</f>
        <v>twarltongl@oracle.com</v>
      </c>
      <c r="D2598" s="4">
        <f>IFERROR(__xludf.DUMMYFUNCTION("""COMPUTED_VALUE"""),71.0)</f>
        <v>71</v>
      </c>
      <c r="E2598" s="4">
        <f>IFERROR(__xludf.DUMMYFUNCTION("""COMPUTED_VALUE"""),104.0)</f>
        <v>104</v>
      </c>
      <c r="F2598" s="4">
        <f>IFERROR(__xludf.DUMMYFUNCTION("""COMPUTED_VALUE"""),7.0)</f>
        <v>7</v>
      </c>
      <c r="G2598" s="4">
        <f>IFERROR(__xludf.DUMMYFUNCTION("""COMPUTED_VALUE"""),988.0)</f>
        <v>988</v>
      </c>
      <c r="H2598" s="5">
        <f>IFERROR(__xludf.DUMMYFUNCTION("""COMPUTED_VALUE"""),6774.6)</f>
        <v>6774.6</v>
      </c>
      <c r="I2598" s="5">
        <f>IFERROR(__xludf.DUMMYFUNCTION("""COMPUTED_VALUE"""),4684.83)</f>
        <v>4684.83</v>
      </c>
      <c r="J2598" s="5">
        <f>IFERROR(__xludf.DUMMYFUNCTION("""COMPUTED_VALUE"""),4730.07)</f>
        <v>4730.07</v>
      </c>
      <c r="K2598" s="5">
        <f>IFERROR(__xludf.DUMMYFUNCTION("""COMPUTED_VALUE"""),2405.55)</f>
        <v>2405.55</v>
      </c>
      <c r="L2598" s="4">
        <f>IFERROR(__xludf.DUMMYFUNCTION("""COMPUTED_VALUE"""),16.0)</f>
        <v>16</v>
      </c>
      <c r="M2598" s="4">
        <f>IFERROR(__xludf.DUMMYFUNCTION("""COMPUTED_VALUE"""),20.0)</f>
        <v>20</v>
      </c>
      <c r="N2598" s="2" t="b">
        <f>IFERROR(__xludf.DUMMYFUNCTION("""COMPUTED_VALUE"""),FALSE)</f>
        <v>0</v>
      </c>
    </row>
    <row r="2599">
      <c r="A2599" s="2">
        <f>IFERROR(__xludf.DUMMYFUNCTION("""COMPUTED_VALUE"""),2598.0)</f>
        <v>2598</v>
      </c>
      <c r="B2599" s="2" t="str">
        <f>IFERROR(__xludf.DUMMYFUNCTION("""COMPUTED_VALUE"""),"Ettie Chauvey")</f>
        <v>Ettie Chauvey</v>
      </c>
      <c r="C2599" s="2"/>
      <c r="D2599" s="4">
        <f>IFERROR(__xludf.DUMMYFUNCTION("""COMPUTED_VALUE"""),134.0)</f>
        <v>134</v>
      </c>
      <c r="E2599" s="4">
        <f>IFERROR(__xludf.DUMMYFUNCTION("""COMPUTED_VALUE"""),105.0)</f>
        <v>105</v>
      </c>
      <c r="F2599" s="4">
        <f>IFERROR(__xludf.DUMMYFUNCTION("""COMPUTED_VALUE"""),13.0)</f>
        <v>13</v>
      </c>
      <c r="G2599" s="4">
        <f>IFERROR(__xludf.DUMMYFUNCTION("""COMPUTED_VALUE"""),1107.0)</f>
        <v>1107</v>
      </c>
      <c r="H2599" s="5">
        <f>IFERROR(__xludf.DUMMYFUNCTION("""COMPUTED_VALUE"""),252.85)</f>
        <v>252.85</v>
      </c>
      <c r="I2599" s="5">
        <f>IFERROR(__xludf.DUMMYFUNCTION("""COMPUTED_VALUE"""),1879.56)</f>
        <v>1879.56</v>
      </c>
      <c r="J2599" s="5">
        <f>IFERROR(__xludf.DUMMYFUNCTION("""COMPUTED_VALUE"""),6144.9)</f>
        <v>6144.9</v>
      </c>
      <c r="K2599" s="5">
        <f>IFERROR(__xludf.DUMMYFUNCTION("""COMPUTED_VALUE"""),6075.4)</f>
        <v>6075.4</v>
      </c>
      <c r="L2599" s="4">
        <f>IFERROR(__xludf.DUMMYFUNCTION("""COMPUTED_VALUE"""),18.0)</f>
        <v>18</v>
      </c>
      <c r="M2599" s="4">
        <f>IFERROR(__xludf.DUMMYFUNCTION("""COMPUTED_VALUE"""),99.0)</f>
        <v>99</v>
      </c>
      <c r="N2599" s="2" t="b">
        <f>IFERROR(__xludf.DUMMYFUNCTION("""COMPUTED_VALUE"""),TRUE)</f>
        <v>1</v>
      </c>
    </row>
    <row r="2600">
      <c r="A2600" s="2">
        <f>IFERROR(__xludf.DUMMYFUNCTION("""COMPUTED_VALUE"""),2599.0)</f>
        <v>2599</v>
      </c>
      <c r="B2600" s="2" t="str">
        <f>IFERROR(__xludf.DUMMYFUNCTION("""COMPUTED_VALUE"""),"Kristos De Bell")</f>
        <v>Kristos De Bell</v>
      </c>
      <c r="C2600" s="2" t="str">
        <f>IFERROR(__xludf.DUMMYFUNCTION("""COMPUTED_VALUE"""),"kdegn@nationalgeographic.com")</f>
        <v>kdegn@nationalgeographic.com</v>
      </c>
      <c r="D2600" s="4">
        <f>IFERROR(__xludf.DUMMYFUNCTION("""COMPUTED_VALUE"""),58.0)</f>
        <v>58</v>
      </c>
      <c r="E2600" s="4">
        <f>IFERROR(__xludf.DUMMYFUNCTION("""COMPUTED_VALUE"""),2.0)</f>
        <v>2</v>
      </c>
      <c r="F2600" s="4">
        <f>IFERROR(__xludf.DUMMYFUNCTION("""COMPUTED_VALUE"""),10.0)</f>
        <v>10</v>
      </c>
      <c r="G2600" s="4">
        <f>IFERROR(__xludf.DUMMYFUNCTION("""COMPUTED_VALUE"""),1473.0)</f>
        <v>1473</v>
      </c>
      <c r="H2600" s="5">
        <f>IFERROR(__xludf.DUMMYFUNCTION("""COMPUTED_VALUE"""),1758.28)</f>
        <v>1758.28</v>
      </c>
      <c r="I2600" s="5">
        <f>IFERROR(__xludf.DUMMYFUNCTION("""COMPUTED_VALUE"""),1173.19)</f>
        <v>1173.19</v>
      </c>
      <c r="J2600" s="5">
        <f>IFERROR(__xludf.DUMMYFUNCTION("""COMPUTED_VALUE"""),3197.81)</f>
        <v>3197.81</v>
      </c>
      <c r="K2600" s="5">
        <f>IFERROR(__xludf.DUMMYFUNCTION("""COMPUTED_VALUE"""),1283.14)</f>
        <v>1283.14</v>
      </c>
      <c r="L2600" s="4">
        <f>IFERROR(__xludf.DUMMYFUNCTION("""COMPUTED_VALUE"""),17.0)</f>
        <v>17</v>
      </c>
      <c r="M2600" s="4">
        <f>IFERROR(__xludf.DUMMYFUNCTION("""COMPUTED_VALUE"""),52.0)</f>
        <v>52</v>
      </c>
      <c r="N2600" s="2" t="b">
        <f>IFERROR(__xludf.DUMMYFUNCTION("""COMPUTED_VALUE"""),TRUE)</f>
        <v>1</v>
      </c>
    </row>
    <row r="2601">
      <c r="A2601" s="2">
        <f>IFERROR(__xludf.DUMMYFUNCTION("""COMPUTED_VALUE"""),2600.0)</f>
        <v>2600</v>
      </c>
      <c r="B2601" s="2" t="str">
        <f>IFERROR(__xludf.DUMMYFUNCTION("""COMPUTED_VALUE"""),"Jason Bordiss")</f>
        <v>Jason Bordiss</v>
      </c>
      <c r="C2601" s="2" t="str">
        <f>IFERROR(__xludf.DUMMYFUNCTION("""COMPUTED_VALUE"""),"jbordissgo@engadget.com")</f>
        <v>jbordissgo@engadget.com</v>
      </c>
      <c r="D2601" s="4">
        <f>IFERROR(__xludf.DUMMYFUNCTION("""COMPUTED_VALUE"""),139.0)</f>
        <v>139</v>
      </c>
      <c r="E2601" s="4">
        <f>IFERROR(__xludf.DUMMYFUNCTION("""COMPUTED_VALUE"""),106.0)</f>
        <v>106</v>
      </c>
      <c r="F2601" s="4">
        <f>IFERROR(__xludf.DUMMYFUNCTION("""COMPUTED_VALUE"""),6.0)</f>
        <v>6</v>
      </c>
      <c r="G2601" s="4">
        <f>IFERROR(__xludf.DUMMYFUNCTION("""COMPUTED_VALUE"""),428.0)</f>
        <v>428</v>
      </c>
      <c r="H2601" s="5">
        <f>IFERROR(__xludf.DUMMYFUNCTION("""COMPUTED_VALUE"""),4880.56)</f>
        <v>4880.56</v>
      </c>
      <c r="I2601" s="5">
        <f>IFERROR(__xludf.DUMMYFUNCTION("""COMPUTED_VALUE"""),6079.69)</f>
        <v>6079.69</v>
      </c>
      <c r="J2601" s="5">
        <f>IFERROR(__xludf.DUMMYFUNCTION("""COMPUTED_VALUE"""),4167.06)</f>
        <v>4167.06</v>
      </c>
      <c r="K2601" s="5">
        <f>IFERROR(__xludf.DUMMYFUNCTION("""COMPUTED_VALUE"""),646.81)</f>
        <v>646.81</v>
      </c>
      <c r="L2601" s="4">
        <f>IFERROR(__xludf.DUMMYFUNCTION("""COMPUTED_VALUE"""),8.0)</f>
        <v>8</v>
      </c>
      <c r="M2601" s="4">
        <f>IFERROR(__xludf.DUMMYFUNCTION("""COMPUTED_VALUE"""),97.0)</f>
        <v>97</v>
      </c>
      <c r="N2601" s="2" t="b">
        <f>IFERROR(__xludf.DUMMYFUNCTION("""COMPUTED_VALUE"""),TRUE)</f>
        <v>1</v>
      </c>
    </row>
    <row r="2602">
      <c r="A2602" s="2">
        <f>IFERROR(__xludf.DUMMYFUNCTION("""COMPUTED_VALUE"""),2601.0)</f>
        <v>2601</v>
      </c>
      <c r="B2602" s="2" t="str">
        <f>IFERROR(__xludf.DUMMYFUNCTION("""COMPUTED_VALUE"""),"Faun McCoid")</f>
        <v>Faun McCoid</v>
      </c>
      <c r="C2602" s="2" t="str">
        <f>IFERROR(__xludf.DUMMYFUNCTION("""COMPUTED_VALUE"""),"fmccoidgp@indiegogo.com")</f>
        <v>fmccoidgp@indiegogo.com</v>
      </c>
      <c r="D2602" s="4">
        <f>IFERROR(__xludf.DUMMYFUNCTION("""COMPUTED_VALUE"""),3.0)</f>
        <v>3</v>
      </c>
      <c r="E2602" s="4">
        <f>IFERROR(__xludf.DUMMYFUNCTION("""COMPUTED_VALUE"""),10.0)</f>
        <v>10</v>
      </c>
      <c r="F2602" s="4">
        <f>IFERROR(__xludf.DUMMYFUNCTION("""COMPUTED_VALUE"""),8.0)</f>
        <v>8</v>
      </c>
      <c r="G2602" s="4">
        <f>IFERROR(__xludf.DUMMYFUNCTION("""COMPUTED_VALUE"""),1411.0)</f>
        <v>1411</v>
      </c>
      <c r="H2602" s="5">
        <f>IFERROR(__xludf.DUMMYFUNCTION("""COMPUTED_VALUE"""),5386.7)</f>
        <v>5386.7</v>
      </c>
      <c r="I2602" s="5">
        <f>IFERROR(__xludf.DUMMYFUNCTION("""COMPUTED_VALUE"""),6216.28)</f>
        <v>6216.28</v>
      </c>
      <c r="J2602" s="5">
        <f>IFERROR(__xludf.DUMMYFUNCTION("""COMPUTED_VALUE"""),9587.02)</f>
        <v>9587.02</v>
      </c>
      <c r="K2602" s="5">
        <f>IFERROR(__xludf.DUMMYFUNCTION("""COMPUTED_VALUE"""),3853.18)</f>
        <v>3853.18</v>
      </c>
      <c r="L2602" s="4">
        <f>IFERROR(__xludf.DUMMYFUNCTION("""COMPUTED_VALUE"""),8.0)</f>
        <v>8</v>
      </c>
      <c r="M2602" s="4">
        <f>IFERROR(__xludf.DUMMYFUNCTION("""COMPUTED_VALUE"""),97.0)</f>
        <v>97</v>
      </c>
      <c r="N2602" s="2" t="b">
        <f>IFERROR(__xludf.DUMMYFUNCTION("""COMPUTED_VALUE"""),TRUE)</f>
        <v>1</v>
      </c>
    </row>
    <row r="2603">
      <c r="A2603" s="2">
        <f>IFERROR(__xludf.DUMMYFUNCTION("""COMPUTED_VALUE"""),2602.0)</f>
        <v>2602</v>
      </c>
      <c r="B2603" s="2" t="str">
        <f>IFERROR(__xludf.DUMMYFUNCTION("""COMPUTED_VALUE"""),"August Yokel")</f>
        <v>August Yokel</v>
      </c>
      <c r="C2603" s="2" t="str">
        <f>IFERROR(__xludf.DUMMYFUNCTION("""COMPUTED_VALUE"""),"ayokelgq@reference.com")</f>
        <v>ayokelgq@reference.com</v>
      </c>
      <c r="D2603" s="4">
        <f>IFERROR(__xludf.DUMMYFUNCTION("""COMPUTED_VALUE"""),5.0)</f>
        <v>5</v>
      </c>
      <c r="E2603" s="4">
        <f>IFERROR(__xludf.DUMMYFUNCTION("""COMPUTED_VALUE"""),54.0)</f>
        <v>54</v>
      </c>
      <c r="F2603" s="4">
        <f>IFERROR(__xludf.DUMMYFUNCTION("""COMPUTED_VALUE"""),6.0)</f>
        <v>6</v>
      </c>
      <c r="G2603" s="4">
        <f>IFERROR(__xludf.DUMMYFUNCTION("""COMPUTED_VALUE"""),880.0)</f>
        <v>880</v>
      </c>
      <c r="H2603" s="5">
        <f>IFERROR(__xludf.DUMMYFUNCTION("""COMPUTED_VALUE"""),3249.53)</f>
        <v>3249.53</v>
      </c>
      <c r="I2603" s="5">
        <f>IFERROR(__xludf.DUMMYFUNCTION("""COMPUTED_VALUE"""),4571.83)</f>
        <v>4571.83</v>
      </c>
      <c r="J2603" s="5">
        <f>IFERROR(__xludf.DUMMYFUNCTION("""COMPUTED_VALUE"""),4955.72)</f>
        <v>4955.72</v>
      </c>
      <c r="K2603" s="5">
        <f>IFERROR(__xludf.DUMMYFUNCTION("""COMPUTED_VALUE"""),1086.97)</f>
        <v>1086.97</v>
      </c>
      <c r="L2603" s="4">
        <f>IFERROR(__xludf.DUMMYFUNCTION("""COMPUTED_VALUE"""),20.0)</f>
        <v>20</v>
      </c>
      <c r="M2603" s="4">
        <f>IFERROR(__xludf.DUMMYFUNCTION("""COMPUTED_VALUE"""),72.0)</f>
        <v>72</v>
      </c>
      <c r="N2603" s="2" t="b">
        <f>IFERROR(__xludf.DUMMYFUNCTION("""COMPUTED_VALUE"""),TRUE)</f>
        <v>1</v>
      </c>
    </row>
    <row r="2604">
      <c r="A2604" s="2">
        <f>IFERROR(__xludf.DUMMYFUNCTION("""COMPUTED_VALUE"""),2603.0)</f>
        <v>2603</v>
      </c>
      <c r="B2604" s="2" t="str">
        <f>IFERROR(__xludf.DUMMYFUNCTION("""COMPUTED_VALUE"""),"Fawn Plant")</f>
        <v>Fawn Plant</v>
      </c>
      <c r="C2604" s="2"/>
      <c r="D2604" s="4">
        <f>IFERROR(__xludf.DUMMYFUNCTION("""COMPUTED_VALUE"""),19.0)</f>
        <v>19</v>
      </c>
      <c r="E2604" s="4">
        <f>IFERROR(__xludf.DUMMYFUNCTION("""COMPUTED_VALUE"""),72.0)</f>
        <v>72</v>
      </c>
      <c r="F2604" s="4">
        <f>IFERROR(__xludf.DUMMYFUNCTION("""COMPUTED_VALUE"""),9.0)</f>
        <v>9</v>
      </c>
      <c r="G2604" s="4">
        <f>IFERROR(__xludf.DUMMYFUNCTION("""COMPUTED_VALUE"""),803.0)</f>
        <v>803</v>
      </c>
      <c r="H2604" s="5">
        <f>IFERROR(__xludf.DUMMYFUNCTION("""COMPUTED_VALUE"""),5372.75)</f>
        <v>5372.75</v>
      </c>
      <c r="I2604" s="5">
        <f>IFERROR(__xludf.DUMMYFUNCTION("""COMPUTED_VALUE"""),4677.28)</f>
        <v>4677.28</v>
      </c>
      <c r="J2604" s="5">
        <f>IFERROR(__xludf.DUMMYFUNCTION("""COMPUTED_VALUE"""),4575.27)</f>
        <v>4575.27</v>
      </c>
      <c r="K2604" s="5">
        <f>IFERROR(__xludf.DUMMYFUNCTION("""COMPUTED_VALUE"""),7287.71)</f>
        <v>7287.71</v>
      </c>
      <c r="L2604" s="4">
        <f>IFERROR(__xludf.DUMMYFUNCTION("""COMPUTED_VALUE"""),15.0)</f>
        <v>15</v>
      </c>
      <c r="M2604" s="4">
        <f>IFERROR(__xludf.DUMMYFUNCTION("""COMPUTED_VALUE"""),95.0)</f>
        <v>95</v>
      </c>
      <c r="N2604" s="2" t="b">
        <f>IFERROR(__xludf.DUMMYFUNCTION("""COMPUTED_VALUE"""),FALSE)</f>
        <v>0</v>
      </c>
    </row>
    <row r="2605">
      <c r="A2605" s="2">
        <f>IFERROR(__xludf.DUMMYFUNCTION("""COMPUTED_VALUE"""),2604.0)</f>
        <v>2604</v>
      </c>
      <c r="B2605" s="2" t="str">
        <f>IFERROR(__xludf.DUMMYFUNCTION("""COMPUTED_VALUE"""),"Quill Bartocci")</f>
        <v>Quill Bartocci</v>
      </c>
      <c r="C2605" s="2"/>
      <c r="D2605" s="4">
        <f>IFERROR(__xludf.DUMMYFUNCTION("""COMPUTED_VALUE"""),97.0)</f>
        <v>97</v>
      </c>
      <c r="E2605" s="4">
        <f>IFERROR(__xludf.DUMMYFUNCTION("""COMPUTED_VALUE"""),83.0)</f>
        <v>83</v>
      </c>
      <c r="F2605" s="4">
        <f>IFERROR(__xludf.DUMMYFUNCTION("""COMPUTED_VALUE"""),9.0)</f>
        <v>9</v>
      </c>
      <c r="G2605" s="4">
        <f>IFERROR(__xludf.DUMMYFUNCTION("""COMPUTED_VALUE"""),1444.0)</f>
        <v>1444</v>
      </c>
      <c r="H2605" s="5">
        <f>IFERROR(__xludf.DUMMYFUNCTION("""COMPUTED_VALUE"""),1852.47)</f>
        <v>1852.47</v>
      </c>
      <c r="I2605" s="5">
        <f>IFERROR(__xludf.DUMMYFUNCTION("""COMPUTED_VALUE"""),4699.88)</f>
        <v>4699.88</v>
      </c>
      <c r="J2605" s="5">
        <f>IFERROR(__xludf.DUMMYFUNCTION("""COMPUTED_VALUE"""),1578.77)</f>
        <v>1578.77</v>
      </c>
      <c r="K2605" s="5">
        <f>IFERROR(__xludf.DUMMYFUNCTION("""COMPUTED_VALUE"""),6331.55)</f>
        <v>6331.55</v>
      </c>
      <c r="L2605" s="4">
        <f>IFERROR(__xludf.DUMMYFUNCTION("""COMPUTED_VALUE"""),4.0)</f>
        <v>4</v>
      </c>
      <c r="M2605" s="4">
        <f>IFERROR(__xludf.DUMMYFUNCTION("""COMPUTED_VALUE"""),39.0)</f>
        <v>39</v>
      </c>
      <c r="N2605" s="2" t="b">
        <f>IFERROR(__xludf.DUMMYFUNCTION("""COMPUTED_VALUE"""),FALSE)</f>
        <v>0</v>
      </c>
    </row>
    <row r="2606">
      <c r="A2606" s="2">
        <f>IFERROR(__xludf.DUMMYFUNCTION("""COMPUTED_VALUE"""),2605.0)</f>
        <v>2605</v>
      </c>
      <c r="B2606" s="2" t="str">
        <f>IFERROR(__xludf.DUMMYFUNCTION("""COMPUTED_VALUE"""),"Hallsy Volage")</f>
        <v>Hallsy Volage</v>
      </c>
      <c r="C2606" s="2"/>
      <c r="D2606" s="4">
        <f>IFERROR(__xludf.DUMMYFUNCTION("""COMPUTED_VALUE"""),107.0)</f>
        <v>107</v>
      </c>
      <c r="E2606" s="4">
        <f>IFERROR(__xludf.DUMMYFUNCTION("""COMPUTED_VALUE"""),92.0)</f>
        <v>92</v>
      </c>
      <c r="F2606" s="4">
        <f>IFERROR(__xludf.DUMMYFUNCTION("""COMPUTED_VALUE"""),4.0)</f>
        <v>4</v>
      </c>
      <c r="G2606" s="4">
        <f>IFERROR(__xludf.DUMMYFUNCTION("""COMPUTED_VALUE"""),1327.0)</f>
        <v>1327</v>
      </c>
      <c r="H2606" s="5">
        <f>IFERROR(__xludf.DUMMYFUNCTION("""COMPUTED_VALUE"""),8069.61)</f>
        <v>8069.61</v>
      </c>
      <c r="I2606" s="5">
        <f>IFERROR(__xludf.DUMMYFUNCTION("""COMPUTED_VALUE"""),8749.93)</f>
        <v>8749.93</v>
      </c>
      <c r="J2606" s="5">
        <f>IFERROR(__xludf.DUMMYFUNCTION("""COMPUTED_VALUE"""),223.05)</f>
        <v>223.05</v>
      </c>
      <c r="K2606" s="5">
        <f>IFERROR(__xludf.DUMMYFUNCTION("""COMPUTED_VALUE"""),1096.21)</f>
        <v>1096.21</v>
      </c>
      <c r="L2606" s="4">
        <f>IFERROR(__xludf.DUMMYFUNCTION("""COMPUTED_VALUE"""),11.0)</f>
        <v>11</v>
      </c>
      <c r="M2606" s="4">
        <f>IFERROR(__xludf.DUMMYFUNCTION("""COMPUTED_VALUE"""),13.0)</f>
        <v>13</v>
      </c>
      <c r="N2606" s="2" t="b">
        <f>IFERROR(__xludf.DUMMYFUNCTION("""COMPUTED_VALUE"""),FALSE)</f>
        <v>0</v>
      </c>
    </row>
    <row r="2607">
      <c r="A2607" s="2">
        <f>IFERROR(__xludf.DUMMYFUNCTION("""COMPUTED_VALUE"""),2606.0)</f>
        <v>2606</v>
      </c>
      <c r="B2607" s="2" t="str">
        <f>IFERROR(__xludf.DUMMYFUNCTION("""COMPUTED_VALUE"""),"Karel Doylend")</f>
        <v>Karel Doylend</v>
      </c>
      <c r="C2607" s="2"/>
      <c r="D2607" s="4">
        <f>IFERROR(__xludf.DUMMYFUNCTION("""COMPUTED_VALUE"""),159.0)</f>
        <v>159</v>
      </c>
      <c r="E2607" s="4">
        <f>IFERROR(__xludf.DUMMYFUNCTION("""COMPUTED_VALUE"""),103.0)</f>
        <v>103</v>
      </c>
      <c r="F2607" s="4">
        <f>IFERROR(__xludf.DUMMYFUNCTION("""COMPUTED_VALUE"""),1.0)</f>
        <v>1</v>
      </c>
      <c r="G2607" s="4">
        <f>IFERROR(__xludf.DUMMYFUNCTION("""COMPUTED_VALUE"""),1525.0)</f>
        <v>1525</v>
      </c>
      <c r="H2607" s="5">
        <f>IFERROR(__xludf.DUMMYFUNCTION("""COMPUTED_VALUE"""),7218.16)</f>
        <v>7218.16</v>
      </c>
      <c r="I2607" s="5">
        <f>IFERROR(__xludf.DUMMYFUNCTION("""COMPUTED_VALUE"""),3425.09)</f>
        <v>3425.09</v>
      </c>
      <c r="J2607" s="5">
        <f>IFERROR(__xludf.DUMMYFUNCTION("""COMPUTED_VALUE"""),6889.61)</f>
        <v>6889.61</v>
      </c>
      <c r="K2607" s="5">
        <f>IFERROR(__xludf.DUMMYFUNCTION("""COMPUTED_VALUE"""),5625.37)</f>
        <v>5625.37</v>
      </c>
      <c r="L2607" s="4">
        <f>IFERROR(__xludf.DUMMYFUNCTION("""COMPUTED_VALUE"""),5.0)</f>
        <v>5</v>
      </c>
      <c r="M2607" s="4">
        <f>IFERROR(__xludf.DUMMYFUNCTION("""COMPUTED_VALUE"""),12.0)</f>
        <v>12</v>
      </c>
      <c r="N2607" s="2" t="b">
        <f>IFERROR(__xludf.DUMMYFUNCTION("""COMPUTED_VALUE"""),TRUE)</f>
        <v>1</v>
      </c>
    </row>
    <row r="2608">
      <c r="A2608" s="2">
        <f>IFERROR(__xludf.DUMMYFUNCTION("""COMPUTED_VALUE"""),2607.0)</f>
        <v>2607</v>
      </c>
      <c r="B2608" s="2" t="str">
        <f>IFERROR(__xludf.DUMMYFUNCTION("""COMPUTED_VALUE"""),"Hodge Cabell")</f>
        <v>Hodge Cabell</v>
      </c>
      <c r="C2608" s="2"/>
      <c r="D2608" s="4">
        <f>IFERROR(__xludf.DUMMYFUNCTION("""COMPUTED_VALUE"""),133.0)</f>
        <v>133</v>
      </c>
      <c r="E2608" s="4">
        <f>IFERROR(__xludf.DUMMYFUNCTION("""COMPUTED_VALUE"""),95.0)</f>
        <v>95</v>
      </c>
      <c r="F2608" s="4">
        <f>IFERROR(__xludf.DUMMYFUNCTION("""COMPUTED_VALUE"""),2.0)</f>
        <v>2</v>
      </c>
      <c r="G2608" s="4">
        <f>IFERROR(__xludf.DUMMYFUNCTION("""COMPUTED_VALUE"""),126.0)</f>
        <v>126</v>
      </c>
      <c r="H2608" s="5">
        <f>IFERROR(__xludf.DUMMYFUNCTION("""COMPUTED_VALUE"""),8343.86)</f>
        <v>8343.86</v>
      </c>
      <c r="I2608" s="5">
        <f>IFERROR(__xludf.DUMMYFUNCTION("""COMPUTED_VALUE"""),4646.31)</f>
        <v>4646.31</v>
      </c>
      <c r="J2608" s="5">
        <f>IFERROR(__xludf.DUMMYFUNCTION("""COMPUTED_VALUE"""),1951.17)</f>
        <v>1951.17</v>
      </c>
      <c r="K2608" s="5">
        <f>IFERROR(__xludf.DUMMYFUNCTION("""COMPUTED_VALUE"""),6080.94)</f>
        <v>6080.94</v>
      </c>
      <c r="L2608" s="4">
        <f>IFERROR(__xludf.DUMMYFUNCTION("""COMPUTED_VALUE"""),13.0)</f>
        <v>13</v>
      </c>
      <c r="M2608" s="4">
        <f>IFERROR(__xludf.DUMMYFUNCTION("""COMPUTED_VALUE"""),46.0)</f>
        <v>46</v>
      </c>
      <c r="N2608" s="2" t="b">
        <f>IFERROR(__xludf.DUMMYFUNCTION("""COMPUTED_VALUE"""),TRUE)</f>
        <v>1</v>
      </c>
    </row>
    <row r="2609">
      <c r="A2609" s="2">
        <f>IFERROR(__xludf.DUMMYFUNCTION("""COMPUTED_VALUE"""),2608.0)</f>
        <v>2608</v>
      </c>
      <c r="B2609" s="2" t="str">
        <f>IFERROR(__xludf.DUMMYFUNCTION("""COMPUTED_VALUE"""),"Cariotta Howell")</f>
        <v>Cariotta Howell</v>
      </c>
      <c r="C2609" s="2" t="str">
        <f>IFERROR(__xludf.DUMMYFUNCTION("""COMPUTED_VALUE"""),"chowellgw@ucla.edu")</f>
        <v>chowellgw@ucla.edu</v>
      </c>
      <c r="D2609" s="4">
        <f>IFERROR(__xludf.DUMMYFUNCTION("""COMPUTED_VALUE"""),159.0)</f>
        <v>159</v>
      </c>
      <c r="E2609" s="4">
        <f>IFERROR(__xludf.DUMMYFUNCTION("""COMPUTED_VALUE"""),105.0)</f>
        <v>105</v>
      </c>
      <c r="F2609" s="4">
        <f>IFERROR(__xludf.DUMMYFUNCTION("""COMPUTED_VALUE"""),8.0)</f>
        <v>8</v>
      </c>
      <c r="G2609" s="4">
        <f>IFERROR(__xludf.DUMMYFUNCTION("""COMPUTED_VALUE"""),667.0)</f>
        <v>667</v>
      </c>
      <c r="H2609" s="5">
        <f>IFERROR(__xludf.DUMMYFUNCTION("""COMPUTED_VALUE"""),8968.45)</f>
        <v>8968.45</v>
      </c>
      <c r="I2609" s="5">
        <f>IFERROR(__xludf.DUMMYFUNCTION("""COMPUTED_VALUE"""),1553.64)</f>
        <v>1553.64</v>
      </c>
      <c r="J2609" s="5">
        <f>IFERROR(__xludf.DUMMYFUNCTION("""COMPUTED_VALUE"""),5549.14)</f>
        <v>5549.14</v>
      </c>
      <c r="K2609" s="5">
        <f>IFERROR(__xludf.DUMMYFUNCTION("""COMPUTED_VALUE"""),3821.77)</f>
        <v>3821.77</v>
      </c>
      <c r="L2609" s="4">
        <f>IFERROR(__xludf.DUMMYFUNCTION("""COMPUTED_VALUE"""),14.0)</f>
        <v>14</v>
      </c>
      <c r="M2609" s="4">
        <f>IFERROR(__xludf.DUMMYFUNCTION("""COMPUTED_VALUE"""),10.0)</f>
        <v>10</v>
      </c>
      <c r="N2609" s="2" t="b">
        <f>IFERROR(__xludf.DUMMYFUNCTION("""COMPUTED_VALUE"""),TRUE)</f>
        <v>1</v>
      </c>
    </row>
    <row r="2610">
      <c r="A2610" s="2">
        <f>IFERROR(__xludf.DUMMYFUNCTION("""COMPUTED_VALUE"""),2609.0)</f>
        <v>2609</v>
      </c>
      <c r="B2610" s="2" t="str">
        <f>IFERROR(__xludf.DUMMYFUNCTION("""COMPUTED_VALUE"""),"Jocko Keel")</f>
        <v>Jocko Keel</v>
      </c>
      <c r="C2610" s="2" t="str">
        <f>IFERROR(__xludf.DUMMYFUNCTION("""COMPUTED_VALUE"""),"jkeelgx@pbs.org")</f>
        <v>jkeelgx@pbs.org</v>
      </c>
      <c r="D2610" s="4">
        <f>IFERROR(__xludf.DUMMYFUNCTION("""COMPUTED_VALUE"""),62.0)</f>
        <v>62</v>
      </c>
      <c r="E2610" s="4">
        <f>IFERROR(__xludf.DUMMYFUNCTION("""COMPUTED_VALUE"""),1.0)</f>
        <v>1</v>
      </c>
      <c r="F2610" s="4">
        <f>IFERROR(__xludf.DUMMYFUNCTION("""COMPUTED_VALUE"""),8.0)</f>
        <v>8</v>
      </c>
      <c r="G2610" s="4">
        <f>IFERROR(__xludf.DUMMYFUNCTION("""COMPUTED_VALUE"""),1490.0)</f>
        <v>1490</v>
      </c>
      <c r="H2610" s="5">
        <f>IFERROR(__xludf.DUMMYFUNCTION("""COMPUTED_VALUE"""),4055.11)</f>
        <v>4055.11</v>
      </c>
      <c r="I2610" s="5">
        <f>IFERROR(__xludf.DUMMYFUNCTION("""COMPUTED_VALUE"""),9173.61)</f>
        <v>9173.61</v>
      </c>
      <c r="J2610" s="5">
        <f>IFERROR(__xludf.DUMMYFUNCTION("""COMPUTED_VALUE"""),9445.58)</f>
        <v>9445.58</v>
      </c>
      <c r="K2610" s="5">
        <f>IFERROR(__xludf.DUMMYFUNCTION("""COMPUTED_VALUE"""),7464.33)</f>
        <v>7464.33</v>
      </c>
      <c r="L2610" s="4">
        <f>IFERROR(__xludf.DUMMYFUNCTION("""COMPUTED_VALUE"""),10.0)</f>
        <v>10</v>
      </c>
      <c r="M2610" s="4">
        <f>IFERROR(__xludf.DUMMYFUNCTION("""COMPUTED_VALUE"""),61.0)</f>
        <v>61</v>
      </c>
      <c r="N2610" s="2" t="b">
        <f>IFERROR(__xludf.DUMMYFUNCTION("""COMPUTED_VALUE"""),TRUE)</f>
        <v>1</v>
      </c>
    </row>
    <row r="2611">
      <c r="A2611" s="2">
        <f>IFERROR(__xludf.DUMMYFUNCTION("""COMPUTED_VALUE"""),2610.0)</f>
        <v>2610</v>
      </c>
      <c r="B2611" s="2" t="str">
        <f>IFERROR(__xludf.DUMMYFUNCTION("""COMPUTED_VALUE"""),"Rees Yokley")</f>
        <v>Rees Yokley</v>
      </c>
      <c r="C2611" s="2" t="str">
        <f>IFERROR(__xludf.DUMMYFUNCTION("""COMPUTED_VALUE"""),"ryokleygy@is.gd")</f>
        <v>ryokleygy@is.gd</v>
      </c>
      <c r="D2611" s="4">
        <f>IFERROR(__xludf.DUMMYFUNCTION("""COMPUTED_VALUE"""),63.0)</f>
        <v>63</v>
      </c>
      <c r="E2611" s="4">
        <f>IFERROR(__xludf.DUMMYFUNCTION("""COMPUTED_VALUE"""),6.0)</f>
        <v>6</v>
      </c>
      <c r="F2611" s="4">
        <f>IFERROR(__xludf.DUMMYFUNCTION("""COMPUTED_VALUE"""),12.0)</f>
        <v>12</v>
      </c>
      <c r="G2611" s="4">
        <f>IFERROR(__xludf.DUMMYFUNCTION("""COMPUTED_VALUE"""),1074.0)</f>
        <v>1074</v>
      </c>
      <c r="H2611" s="5">
        <f>IFERROR(__xludf.DUMMYFUNCTION("""COMPUTED_VALUE"""),786.21)</f>
        <v>786.21</v>
      </c>
      <c r="I2611" s="5">
        <f>IFERROR(__xludf.DUMMYFUNCTION("""COMPUTED_VALUE"""),3712.16)</f>
        <v>3712.16</v>
      </c>
      <c r="J2611" s="5">
        <f>IFERROR(__xludf.DUMMYFUNCTION("""COMPUTED_VALUE"""),9969.24)</f>
        <v>9969.24</v>
      </c>
      <c r="K2611" s="5">
        <f>IFERROR(__xludf.DUMMYFUNCTION("""COMPUTED_VALUE"""),3762.88)</f>
        <v>3762.88</v>
      </c>
      <c r="L2611" s="4">
        <f>IFERROR(__xludf.DUMMYFUNCTION("""COMPUTED_VALUE"""),8.0)</f>
        <v>8</v>
      </c>
      <c r="M2611" s="4">
        <f>IFERROR(__xludf.DUMMYFUNCTION("""COMPUTED_VALUE"""),97.0)</f>
        <v>97</v>
      </c>
      <c r="N2611" s="2" t="b">
        <f>IFERROR(__xludf.DUMMYFUNCTION("""COMPUTED_VALUE"""),TRUE)</f>
        <v>1</v>
      </c>
    </row>
    <row r="2612">
      <c r="A2612" s="2">
        <f>IFERROR(__xludf.DUMMYFUNCTION("""COMPUTED_VALUE"""),2611.0)</f>
        <v>2611</v>
      </c>
      <c r="B2612" s="2" t="str">
        <f>IFERROR(__xludf.DUMMYFUNCTION("""COMPUTED_VALUE"""),"Dunstan Buey")</f>
        <v>Dunstan Buey</v>
      </c>
      <c r="C2612" s="2" t="str">
        <f>IFERROR(__xludf.DUMMYFUNCTION("""COMPUTED_VALUE"""),"dbueygz@about.com")</f>
        <v>dbueygz@about.com</v>
      </c>
      <c r="D2612" s="4">
        <f>IFERROR(__xludf.DUMMYFUNCTION("""COMPUTED_VALUE"""),67.0)</f>
        <v>67</v>
      </c>
      <c r="E2612" s="4">
        <f>IFERROR(__xludf.DUMMYFUNCTION("""COMPUTED_VALUE"""),60.0)</f>
        <v>60</v>
      </c>
      <c r="F2612" s="4">
        <f>IFERROR(__xludf.DUMMYFUNCTION("""COMPUTED_VALUE"""),3.0)</f>
        <v>3</v>
      </c>
      <c r="G2612" s="4">
        <f>IFERROR(__xludf.DUMMYFUNCTION("""COMPUTED_VALUE"""),1387.0)</f>
        <v>1387</v>
      </c>
      <c r="H2612" s="5">
        <f>IFERROR(__xludf.DUMMYFUNCTION("""COMPUTED_VALUE"""),3260.48)</f>
        <v>3260.48</v>
      </c>
      <c r="I2612" s="5">
        <f>IFERROR(__xludf.DUMMYFUNCTION("""COMPUTED_VALUE"""),1259.96)</f>
        <v>1259.96</v>
      </c>
      <c r="J2612" s="5">
        <f>IFERROR(__xludf.DUMMYFUNCTION("""COMPUTED_VALUE"""),9109.04)</f>
        <v>9109.04</v>
      </c>
      <c r="K2612" s="5">
        <f>IFERROR(__xludf.DUMMYFUNCTION("""COMPUTED_VALUE"""),6260.42)</f>
        <v>6260.42</v>
      </c>
      <c r="L2612" s="4">
        <f>IFERROR(__xludf.DUMMYFUNCTION("""COMPUTED_VALUE"""),14.0)</f>
        <v>14</v>
      </c>
      <c r="M2612" s="4">
        <f>IFERROR(__xludf.DUMMYFUNCTION("""COMPUTED_VALUE"""),92.0)</f>
        <v>92</v>
      </c>
      <c r="N2612" s="2" t="b">
        <f>IFERROR(__xludf.DUMMYFUNCTION("""COMPUTED_VALUE"""),TRUE)</f>
        <v>1</v>
      </c>
    </row>
    <row r="2613">
      <c r="A2613" s="2">
        <f>IFERROR(__xludf.DUMMYFUNCTION("""COMPUTED_VALUE"""),2612.0)</f>
        <v>2612</v>
      </c>
      <c r="B2613" s="2" t="str">
        <f>IFERROR(__xludf.DUMMYFUNCTION("""COMPUTED_VALUE"""),"Obie MacTrustie")</f>
        <v>Obie MacTrustie</v>
      </c>
      <c r="C2613" s="2"/>
      <c r="D2613" s="4">
        <f>IFERROR(__xludf.DUMMYFUNCTION("""COMPUTED_VALUE"""),151.0)</f>
        <v>151</v>
      </c>
      <c r="E2613" s="4">
        <f>IFERROR(__xludf.DUMMYFUNCTION("""COMPUTED_VALUE"""),96.0)</f>
        <v>96</v>
      </c>
      <c r="F2613" s="4">
        <f>IFERROR(__xludf.DUMMYFUNCTION("""COMPUTED_VALUE"""),4.0)</f>
        <v>4</v>
      </c>
      <c r="G2613" s="4">
        <f>IFERROR(__xludf.DUMMYFUNCTION("""COMPUTED_VALUE"""),549.0)</f>
        <v>549</v>
      </c>
      <c r="H2613" s="5">
        <f>IFERROR(__xludf.DUMMYFUNCTION("""COMPUTED_VALUE"""),1093.74)</f>
        <v>1093.74</v>
      </c>
      <c r="I2613" s="5">
        <f>IFERROR(__xludf.DUMMYFUNCTION("""COMPUTED_VALUE"""),5777.25)</f>
        <v>5777.25</v>
      </c>
      <c r="J2613" s="5">
        <f>IFERROR(__xludf.DUMMYFUNCTION("""COMPUTED_VALUE"""),234.05)</f>
        <v>234.05</v>
      </c>
      <c r="K2613" s="5">
        <f>IFERROR(__xludf.DUMMYFUNCTION("""COMPUTED_VALUE"""),4687.84)</f>
        <v>4687.84</v>
      </c>
      <c r="L2613" s="4">
        <f>IFERROR(__xludf.DUMMYFUNCTION("""COMPUTED_VALUE"""),7.0)</f>
        <v>7</v>
      </c>
      <c r="M2613" s="4">
        <f>IFERROR(__xludf.DUMMYFUNCTION("""COMPUTED_VALUE"""),50.0)</f>
        <v>50</v>
      </c>
      <c r="N2613" s="2" t="b">
        <f>IFERROR(__xludf.DUMMYFUNCTION("""COMPUTED_VALUE"""),FALSE)</f>
        <v>0</v>
      </c>
    </row>
    <row r="2614">
      <c r="A2614" s="2">
        <f>IFERROR(__xludf.DUMMYFUNCTION("""COMPUTED_VALUE"""),2613.0)</f>
        <v>2613</v>
      </c>
      <c r="B2614" s="2" t="str">
        <f>IFERROR(__xludf.DUMMYFUNCTION("""COMPUTED_VALUE"""),"Rodrigo McQuirk")</f>
        <v>Rodrigo McQuirk</v>
      </c>
      <c r="C2614" s="2"/>
      <c r="D2614" s="4">
        <f>IFERROR(__xludf.DUMMYFUNCTION("""COMPUTED_VALUE"""),13.0)</f>
        <v>13</v>
      </c>
      <c r="E2614" s="4">
        <f>IFERROR(__xludf.DUMMYFUNCTION("""COMPUTED_VALUE"""),37.0)</f>
        <v>37</v>
      </c>
      <c r="F2614" s="4">
        <f>IFERROR(__xludf.DUMMYFUNCTION("""COMPUTED_VALUE"""),6.0)</f>
        <v>6</v>
      </c>
      <c r="G2614" s="4">
        <f>IFERROR(__xludf.DUMMYFUNCTION("""COMPUTED_VALUE"""),1206.0)</f>
        <v>1206</v>
      </c>
      <c r="H2614" s="5">
        <f>IFERROR(__xludf.DUMMYFUNCTION("""COMPUTED_VALUE"""),7278.4)</f>
        <v>7278.4</v>
      </c>
      <c r="I2614" s="5">
        <f>IFERROR(__xludf.DUMMYFUNCTION("""COMPUTED_VALUE"""),8103.9)</f>
        <v>8103.9</v>
      </c>
      <c r="J2614" s="5">
        <f>IFERROR(__xludf.DUMMYFUNCTION("""COMPUTED_VALUE"""),7471.69)</f>
        <v>7471.69</v>
      </c>
      <c r="K2614" s="5">
        <f>IFERROR(__xludf.DUMMYFUNCTION("""COMPUTED_VALUE"""),1541.7)</f>
        <v>1541.7</v>
      </c>
      <c r="L2614" s="4">
        <f>IFERROR(__xludf.DUMMYFUNCTION("""COMPUTED_VALUE"""),18.0)</f>
        <v>18</v>
      </c>
      <c r="M2614" s="4">
        <f>IFERROR(__xludf.DUMMYFUNCTION("""COMPUTED_VALUE"""),33.0)</f>
        <v>33</v>
      </c>
      <c r="N2614" s="2" t="b">
        <f>IFERROR(__xludf.DUMMYFUNCTION("""COMPUTED_VALUE"""),TRUE)</f>
        <v>1</v>
      </c>
    </row>
    <row r="2615">
      <c r="A2615" s="2">
        <f>IFERROR(__xludf.DUMMYFUNCTION("""COMPUTED_VALUE"""),2614.0)</f>
        <v>2614</v>
      </c>
      <c r="B2615" s="2" t="str">
        <f>IFERROR(__xludf.DUMMYFUNCTION("""COMPUTED_VALUE"""),"Myrtia Tebbs")</f>
        <v>Myrtia Tebbs</v>
      </c>
      <c r="C2615" s="2"/>
      <c r="D2615" s="4">
        <f>IFERROR(__xludf.DUMMYFUNCTION("""COMPUTED_VALUE"""),55.0)</f>
        <v>55</v>
      </c>
      <c r="E2615" s="4">
        <f>IFERROR(__xludf.DUMMYFUNCTION("""COMPUTED_VALUE"""),6.0)</f>
        <v>6</v>
      </c>
      <c r="F2615" s="4">
        <f>IFERROR(__xludf.DUMMYFUNCTION("""COMPUTED_VALUE"""),13.0)</f>
        <v>13</v>
      </c>
      <c r="G2615" s="4">
        <f>IFERROR(__xludf.DUMMYFUNCTION("""COMPUTED_VALUE"""),1087.0)</f>
        <v>1087</v>
      </c>
      <c r="H2615" s="5">
        <f>IFERROR(__xludf.DUMMYFUNCTION("""COMPUTED_VALUE"""),6924.89)</f>
        <v>6924.89</v>
      </c>
      <c r="I2615" s="5">
        <f>IFERROR(__xludf.DUMMYFUNCTION("""COMPUTED_VALUE"""),3183.99)</f>
        <v>3183.99</v>
      </c>
      <c r="J2615" s="5">
        <f>IFERROR(__xludf.DUMMYFUNCTION("""COMPUTED_VALUE"""),8623.15)</f>
        <v>8623.15</v>
      </c>
      <c r="K2615" s="5">
        <f>IFERROR(__xludf.DUMMYFUNCTION("""COMPUTED_VALUE"""),8974.14)</f>
        <v>8974.14</v>
      </c>
      <c r="L2615" s="4">
        <f>IFERROR(__xludf.DUMMYFUNCTION("""COMPUTED_VALUE"""),5.0)</f>
        <v>5</v>
      </c>
      <c r="M2615" s="4">
        <f>IFERROR(__xludf.DUMMYFUNCTION("""COMPUTED_VALUE"""),55.0)</f>
        <v>55</v>
      </c>
      <c r="N2615" s="2" t="b">
        <f>IFERROR(__xludf.DUMMYFUNCTION("""COMPUTED_VALUE"""),FALSE)</f>
        <v>0</v>
      </c>
    </row>
    <row r="2616">
      <c r="A2616" s="2">
        <f>IFERROR(__xludf.DUMMYFUNCTION("""COMPUTED_VALUE"""),2615.0)</f>
        <v>2615</v>
      </c>
      <c r="B2616" s="2" t="str">
        <f>IFERROR(__xludf.DUMMYFUNCTION("""COMPUTED_VALUE"""),"Lou Rammell")</f>
        <v>Lou Rammell</v>
      </c>
      <c r="C2616" s="2" t="str">
        <f>IFERROR(__xludf.DUMMYFUNCTION("""COMPUTED_VALUE"""),"lrammellh3@w3.org")</f>
        <v>lrammellh3@w3.org</v>
      </c>
      <c r="D2616" s="4">
        <f>IFERROR(__xludf.DUMMYFUNCTION("""COMPUTED_VALUE"""),66.0)</f>
        <v>66</v>
      </c>
      <c r="E2616" s="4">
        <f>IFERROR(__xludf.DUMMYFUNCTION("""COMPUTED_VALUE"""),102.0)</f>
        <v>102</v>
      </c>
      <c r="F2616" s="4">
        <f>IFERROR(__xludf.DUMMYFUNCTION("""COMPUTED_VALUE"""),1.0)</f>
        <v>1</v>
      </c>
      <c r="G2616" s="4">
        <f>IFERROR(__xludf.DUMMYFUNCTION("""COMPUTED_VALUE"""),263.0)</f>
        <v>263</v>
      </c>
      <c r="H2616" s="5">
        <f>IFERROR(__xludf.DUMMYFUNCTION("""COMPUTED_VALUE"""),8736.08)</f>
        <v>8736.08</v>
      </c>
      <c r="I2616" s="5">
        <f>IFERROR(__xludf.DUMMYFUNCTION("""COMPUTED_VALUE"""),3549.91)</f>
        <v>3549.91</v>
      </c>
      <c r="J2616" s="5">
        <f>IFERROR(__xludf.DUMMYFUNCTION("""COMPUTED_VALUE"""),5403.66)</f>
        <v>5403.66</v>
      </c>
      <c r="K2616" s="5">
        <f>IFERROR(__xludf.DUMMYFUNCTION("""COMPUTED_VALUE"""),7756.04)</f>
        <v>7756.04</v>
      </c>
      <c r="L2616" s="4">
        <f>IFERROR(__xludf.DUMMYFUNCTION("""COMPUTED_VALUE"""),3.0)</f>
        <v>3</v>
      </c>
      <c r="M2616" s="4">
        <f>IFERROR(__xludf.DUMMYFUNCTION("""COMPUTED_VALUE"""),86.0)</f>
        <v>86</v>
      </c>
      <c r="N2616" s="2" t="b">
        <f>IFERROR(__xludf.DUMMYFUNCTION("""COMPUTED_VALUE"""),TRUE)</f>
        <v>1</v>
      </c>
    </row>
    <row r="2617">
      <c r="A2617" s="2">
        <f>IFERROR(__xludf.DUMMYFUNCTION("""COMPUTED_VALUE"""),2616.0)</f>
        <v>2616</v>
      </c>
      <c r="B2617" s="2" t="str">
        <f>IFERROR(__xludf.DUMMYFUNCTION("""COMPUTED_VALUE"""),"Victor Smedley")</f>
        <v>Victor Smedley</v>
      </c>
      <c r="C2617" s="2" t="str">
        <f>IFERROR(__xludf.DUMMYFUNCTION("""COMPUTED_VALUE"""),"vsmedleyh4@thetimes.co.uk")</f>
        <v>vsmedleyh4@thetimes.co.uk</v>
      </c>
      <c r="D2617" s="4">
        <f>IFERROR(__xludf.DUMMYFUNCTION("""COMPUTED_VALUE"""),136.0)</f>
        <v>136</v>
      </c>
      <c r="E2617" s="4">
        <f>IFERROR(__xludf.DUMMYFUNCTION("""COMPUTED_VALUE"""),9.0)</f>
        <v>9</v>
      </c>
      <c r="F2617" s="4">
        <f>IFERROR(__xludf.DUMMYFUNCTION("""COMPUTED_VALUE"""),1.0)</f>
        <v>1</v>
      </c>
      <c r="G2617" s="4">
        <f>IFERROR(__xludf.DUMMYFUNCTION("""COMPUTED_VALUE"""),1413.0)</f>
        <v>1413</v>
      </c>
      <c r="H2617" s="5">
        <f>IFERROR(__xludf.DUMMYFUNCTION("""COMPUTED_VALUE"""),8993.64)</f>
        <v>8993.64</v>
      </c>
      <c r="I2617" s="5">
        <f>IFERROR(__xludf.DUMMYFUNCTION("""COMPUTED_VALUE"""),7006.19)</f>
        <v>7006.19</v>
      </c>
      <c r="J2617" s="5">
        <f>IFERROR(__xludf.DUMMYFUNCTION("""COMPUTED_VALUE"""),5627.29)</f>
        <v>5627.29</v>
      </c>
      <c r="K2617" s="5">
        <f>IFERROR(__xludf.DUMMYFUNCTION("""COMPUTED_VALUE"""),1611.14)</f>
        <v>1611.14</v>
      </c>
      <c r="L2617" s="4">
        <f>IFERROR(__xludf.DUMMYFUNCTION("""COMPUTED_VALUE"""),7.0)</f>
        <v>7</v>
      </c>
      <c r="M2617" s="4">
        <f>IFERROR(__xludf.DUMMYFUNCTION("""COMPUTED_VALUE"""),87.0)</f>
        <v>87</v>
      </c>
      <c r="N2617" s="2" t="b">
        <f>IFERROR(__xludf.DUMMYFUNCTION("""COMPUTED_VALUE"""),FALSE)</f>
        <v>0</v>
      </c>
    </row>
    <row r="2618">
      <c r="A2618" s="2">
        <f>IFERROR(__xludf.DUMMYFUNCTION("""COMPUTED_VALUE"""),2617.0)</f>
        <v>2617</v>
      </c>
      <c r="B2618" s="2" t="str">
        <f>IFERROR(__xludf.DUMMYFUNCTION("""COMPUTED_VALUE"""),"Rafaelia Gallifont")</f>
        <v>Rafaelia Gallifont</v>
      </c>
      <c r="C2618" s="2"/>
      <c r="D2618" s="4">
        <f>IFERROR(__xludf.DUMMYFUNCTION("""COMPUTED_VALUE"""),149.0)</f>
        <v>149</v>
      </c>
      <c r="E2618" s="4">
        <f>IFERROR(__xludf.DUMMYFUNCTION("""COMPUTED_VALUE"""),72.0)</f>
        <v>72</v>
      </c>
      <c r="F2618" s="4">
        <f>IFERROR(__xludf.DUMMYFUNCTION("""COMPUTED_VALUE"""),2.0)</f>
        <v>2</v>
      </c>
      <c r="G2618" s="4">
        <f>IFERROR(__xludf.DUMMYFUNCTION("""COMPUTED_VALUE"""),1467.0)</f>
        <v>1467</v>
      </c>
      <c r="H2618" s="5">
        <f>IFERROR(__xludf.DUMMYFUNCTION("""COMPUTED_VALUE"""),6820.99)</f>
        <v>6820.99</v>
      </c>
      <c r="I2618" s="5">
        <f>IFERROR(__xludf.DUMMYFUNCTION("""COMPUTED_VALUE"""),1876.76)</f>
        <v>1876.76</v>
      </c>
      <c r="J2618" s="5">
        <f>IFERROR(__xludf.DUMMYFUNCTION("""COMPUTED_VALUE"""),3740.84)</f>
        <v>3740.84</v>
      </c>
      <c r="K2618" s="5">
        <f>IFERROR(__xludf.DUMMYFUNCTION("""COMPUTED_VALUE"""),677.96)</f>
        <v>677.96</v>
      </c>
      <c r="L2618" s="4">
        <f>IFERROR(__xludf.DUMMYFUNCTION("""COMPUTED_VALUE"""),1.0)</f>
        <v>1</v>
      </c>
      <c r="M2618" s="4">
        <f>IFERROR(__xludf.DUMMYFUNCTION("""COMPUTED_VALUE"""),37.0)</f>
        <v>37</v>
      </c>
      <c r="N2618" s="2" t="b">
        <f>IFERROR(__xludf.DUMMYFUNCTION("""COMPUTED_VALUE"""),FALSE)</f>
        <v>0</v>
      </c>
    </row>
    <row r="2619">
      <c r="A2619" s="2">
        <f>IFERROR(__xludf.DUMMYFUNCTION("""COMPUTED_VALUE"""),2618.0)</f>
        <v>2618</v>
      </c>
      <c r="B2619" s="2" t="str">
        <f>IFERROR(__xludf.DUMMYFUNCTION("""COMPUTED_VALUE"""),"Thekla Sauvain")</f>
        <v>Thekla Sauvain</v>
      </c>
      <c r="C2619" s="2" t="str">
        <f>IFERROR(__xludf.DUMMYFUNCTION("""COMPUTED_VALUE"""),"tsauvainh6@youtube.com")</f>
        <v>tsauvainh6@youtube.com</v>
      </c>
      <c r="D2619" s="4">
        <f>IFERROR(__xludf.DUMMYFUNCTION("""COMPUTED_VALUE"""),76.0)</f>
        <v>76</v>
      </c>
      <c r="E2619" s="4">
        <f>IFERROR(__xludf.DUMMYFUNCTION("""COMPUTED_VALUE"""),19.0)</f>
        <v>19</v>
      </c>
      <c r="F2619" s="4">
        <f>IFERROR(__xludf.DUMMYFUNCTION("""COMPUTED_VALUE"""),6.0)</f>
        <v>6</v>
      </c>
      <c r="G2619" s="4">
        <f>IFERROR(__xludf.DUMMYFUNCTION("""COMPUTED_VALUE"""),988.0)</f>
        <v>988</v>
      </c>
      <c r="H2619" s="5">
        <f>IFERROR(__xludf.DUMMYFUNCTION("""COMPUTED_VALUE"""),8900.99)</f>
        <v>8900.99</v>
      </c>
      <c r="I2619" s="5">
        <f>IFERROR(__xludf.DUMMYFUNCTION("""COMPUTED_VALUE"""),3073.55)</f>
        <v>3073.55</v>
      </c>
      <c r="J2619" s="5">
        <f>IFERROR(__xludf.DUMMYFUNCTION("""COMPUTED_VALUE"""),1302.91)</f>
        <v>1302.91</v>
      </c>
      <c r="K2619" s="5">
        <f>IFERROR(__xludf.DUMMYFUNCTION("""COMPUTED_VALUE"""),8956.89)</f>
        <v>8956.89</v>
      </c>
      <c r="L2619" s="4">
        <f>IFERROR(__xludf.DUMMYFUNCTION("""COMPUTED_VALUE"""),20.0)</f>
        <v>20</v>
      </c>
      <c r="M2619" s="4">
        <f>IFERROR(__xludf.DUMMYFUNCTION("""COMPUTED_VALUE"""),45.0)</f>
        <v>45</v>
      </c>
      <c r="N2619" s="2" t="b">
        <f>IFERROR(__xludf.DUMMYFUNCTION("""COMPUTED_VALUE"""),FALSE)</f>
        <v>0</v>
      </c>
    </row>
    <row r="2620">
      <c r="A2620" s="2">
        <f>IFERROR(__xludf.DUMMYFUNCTION("""COMPUTED_VALUE"""),2619.0)</f>
        <v>2619</v>
      </c>
      <c r="B2620" s="2" t="str">
        <f>IFERROR(__xludf.DUMMYFUNCTION("""COMPUTED_VALUE"""),"Ketty Verrills")</f>
        <v>Ketty Verrills</v>
      </c>
      <c r="C2620" s="2"/>
      <c r="D2620" s="4">
        <f>IFERROR(__xludf.DUMMYFUNCTION("""COMPUTED_VALUE"""),63.0)</f>
        <v>63</v>
      </c>
      <c r="E2620" s="4">
        <f>IFERROR(__xludf.DUMMYFUNCTION("""COMPUTED_VALUE"""),60.0)</f>
        <v>60</v>
      </c>
      <c r="F2620" s="4">
        <f>IFERROR(__xludf.DUMMYFUNCTION("""COMPUTED_VALUE"""),7.0)</f>
        <v>7</v>
      </c>
      <c r="G2620" s="4">
        <f>IFERROR(__xludf.DUMMYFUNCTION("""COMPUTED_VALUE"""),990.0)</f>
        <v>990</v>
      </c>
      <c r="H2620" s="5">
        <f>IFERROR(__xludf.DUMMYFUNCTION("""COMPUTED_VALUE"""),5007.29)</f>
        <v>5007.29</v>
      </c>
      <c r="I2620" s="5">
        <f>IFERROR(__xludf.DUMMYFUNCTION("""COMPUTED_VALUE"""),8503.83)</f>
        <v>8503.83</v>
      </c>
      <c r="J2620" s="5">
        <f>IFERROR(__xludf.DUMMYFUNCTION("""COMPUTED_VALUE"""),4141.73)</f>
        <v>4141.73</v>
      </c>
      <c r="K2620" s="5">
        <f>IFERROR(__xludf.DUMMYFUNCTION("""COMPUTED_VALUE"""),2449.45)</f>
        <v>2449.45</v>
      </c>
      <c r="L2620" s="4">
        <f>IFERROR(__xludf.DUMMYFUNCTION("""COMPUTED_VALUE"""),3.0)</f>
        <v>3</v>
      </c>
      <c r="M2620" s="4">
        <f>IFERROR(__xludf.DUMMYFUNCTION("""COMPUTED_VALUE"""),71.0)</f>
        <v>71</v>
      </c>
      <c r="N2620" s="2" t="b">
        <f>IFERROR(__xludf.DUMMYFUNCTION("""COMPUTED_VALUE"""),FALSE)</f>
        <v>0</v>
      </c>
    </row>
    <row r="2621">
      <c r="A2621" s="2">
        <f>IFERROR(__xludf.DUMMYFUNCTION("""COMPUTED_VALUE"""),2620.0)</f>
        <v>2620</v>
      </c>
      <c r="B2621" s="2" t="str">
        <f>IFERROR(__xludf.DUMMYFUNCTION("""COMPUTED_VALUE"""),"Zaneta Bonellie")</f>
        <v>Zaneta Bonellie</v>
      </c>
      <c r="C2621" s="2"/>
      <c r="D2621" s="4">
        <f>IFERROR(__xludf.DUMMYFUNCTION("""COMPUTED_VALUE"""),108.0)</f>
        <v>108</v>
      </c>
      <c r="E2621" s="4">
        <f>IFERROR(__xludf.DUMMYFUNCTION("""COMPUTED_VALUE"""),97.0)</f>
        <v>97</v>
      </c>
      <c r="F2621" s="4">
        <f>IFERROR(__xludf.DUMMYFUNCTION("""COMPUTED_VALUE"""),4.0)</f>
        <v>4</v>
      </c>
      <c r="G2621" s="4">
        <f>IFERROR(__xludf.DUMMYFUNCTION("""COMPUTED_VALUE"""),497.0)</f>
        <v>497</v>
      </c>
      <c r="H2621" s="5">
        <f>IFERROR(__xludf.DUMMYFUNCTION("""COMPUTED_VALUE"""),176.72)</f>
        <v>176.72</v>
      </c>
      <c r="I2621" s="5">
        <f>IFERROR(__xludf.DUMMYFUNCTION("""COMPUTED_VALUE"""),6274.79)</f>
        <v>6274.79</v>
      </c>
      <c r="J2621" s="5">
        <f>IFERROR(__xludf.DUMMYFUNCTION("""COMPUTED_VALUE"""),2853.18)</f>
        <v>2853.18</v>
      </c>
      <c r="K2621" s="5">
        <f>IFERROR(__xludf.DUMMYFUNCTION("""COMPUTED_VALUE"""),1182.36)</f>
        <v>1182.36</v>
      </c>
      <c r="L2621" s="4">
        <f>IFERROR(__xludf.DUMMYFUNCTION("""COMPUTED_VALUE"""),14.0)</f>
        <v>14</v>
      </c>
      <c r="M2621" s="4">
        <f>IFERROR(__xludf.DUMMYFUNCTION("""COMPUTED_VALUE"""),91.0)</f>
        <v>91</v>
      </c>
      <c r="N2621" s="2" t="b">
        <f>IFERROR(__xludf.DUMMYFUNCTION("""COMPUTED_VALUE"""),FALSE)</f>
        <v>0</v>
      </c>
    </row>
    <row r="2622">
      <c r="A2622" s="2">
        <f>IFERROR(__xludf.DUMMYFUNCTION("""COMPUTED_VALUE"""),2621.0)</f>
        <v>2621</v>
      </c>
      <c r="B2622" s="2" t="str">
        <f>IFERROR(__xludf.DUMMYFUNCTION("""COMPUTED_VALUE"""),"Gerome Eslinger")</f>
        <v>Gerome Eslinger</v>
      </c>
      <c r="C2622" s="2" t="str">
        <f>IFERROR(__xludf.DUMMYFUNCTION("""COMPUTED_VALUE"""),"geslingerh9@xing.com")</f>
        <v>geslingerh9@xing.com</v>
      </c>
      <c r="D2622" s="4">
        <f>IFERROR(__xludf.DUMMYFUNCTION("""COMPUTED_VALUE"""),19.0)</f>
        <v>19</v>
      </c>
      <c r="E2622" s="4">
        <f>IFERROR(__xludf.DUMMYFUNCTION("""COMPUTED_VALUE"""),98.0)</f>
        <v>98</v>
      </c>
      <c r="F2622" s="4">
        <f>IFERROR(__xludf.DUMMYFUNCTION("""COMPUTED_VALUE"""),1.0)</f>
        <v>1</v>
      </c>
      <c r="G2622" s="4">
        <f>IFERROR(__xludf.DUMMYFUNCTION("""COMPUTED_VALUE"""),451.0)</f>
        <v>451</v>
      </c>
      <c r="H2622" s="5">
        <f>IFERROR(__xludf.DUMMYFUNCTION("""COMPUTED_VALUE"""),6565.52)</f>
        <v>6565.52</v>
      </c>
      <c r="I2622" s="5">
        <f>IFERROR(__xludf.DUMMYFUNCTION("""COMPUTED_VALUE"""),1888.64)</f>
        <v>1888.64</v>
      </c>
      <c r="J2622" s="5">
        <f>IFERROR(__xludf.DUMMYFUNCTION("""COMPUTED_VALUE"""),8210.57)</f>
        <v>8210.57</v>
      </c>
      <c r="K2622" s="5">
        <f>IFERROR(__xludf.DUMMYFUNCTION("""COMPUTED_VALUE"""),5708.31)</f>
        <v>5708.31</v>
      </c>
      <c r="L2622" s="4">
        <f>IFERROR(__xludf.DUMMYFUNCTION("""COMPUTED_VALUE"""),16.0)</f>
        <v>16</v>
      </c>
      <c r="M2622" s="4">
        <f>IFERROR(__xludf.DUMMYFUNCTION("""COMPUTED_VALUE"""),32.0)</f>
        <v>32</v>
      </c>
      <c r="N2622" s="2" t="b">
        <f>IFERROR(__xludf.DUMMYFUNCTION("""COMPUTED_VALUE"""),FALSE)</f>
        <v>0</v>
      </c>
    </row>
    <row r="2623">
      <c r="A2623" s="2">
        <f>IFERROR(__xludf.DUMMYFUNCTION("""COMPUTED_VALUE"""),2622.0)</f>
        <v>2622</v>
      </c>
      <c r="B2623" s="2" t="str">
        <f>IFERROR(__xludf.DUMMYFUNCTION("""COMPUTED_VALUE"""),"Marsha Roisen")</f>
        <v>Marsha Roisen</v>
      </c>
      <c r="C2623" s="2"/>
      <c r="D2623" s="4">
        <f>IFERROR(__xludf.DUMMYFUNCTION("""COMPUTED_VALUE"""),62.0)</f>
        <v>62</v>
      </c>
      <c r="E2623" s="4">
        <f>IFERROR(__xludf.DUMMYFUNCTION("""COMPUTED_VALUE"""),58.0)</f>
        <v>58</v>
      </c>
      <c r="F2623" s="4">
        <f>IFERROR(__xludf.DUMMYFUNCTION("""COMPUTED_VALUE"""),12.0)</f>
        <v>12</v>
      </c>
      <c r="G2623" s="4">
        <f>IFERROR(__xludf.DUMMYFUNCTION("""COMPUTED_VALUE"""),426.0)</f>
        <v>426</v>
      </c>
      <c r="H2623" s="5">
        <f>IFERROR(__xludf.DUMMYFUNCTION("""COMPUTED_VALUE"""),2831.84)</f>
        <v>2831.84</v>
      </c>
      <c r="I2623" s="5">
        <f>IFERROR(__xludf.DUMMYFUNCTION("""COMPUTED_VALUE"""),4044.7)</f>
        <v>4044.7</v>
      </c>
      <c r="J2623" s="5">
        <f>IFERROR(__xludf.DUMMYFUNCTION("""COMPUTED_VALUE"""),3518.13)</f>
        <v>3518.13</v>
      </c>
      <c r="K2623" s="5">
        <f>IFERROR(__xludf.DUMMYFUNCTION("""COMPUTED_VALUE"""),9268.82)</f>
        <v>9268.82</v>
      </c>
      <c r="L2623" s="4">
        <f>IFERROR(__xludf.DUMMYFUNCTION("""COMPUTED_VALUE"""),1.0)</f>
        <v>1</v>
      </c>
      <c r="M2623" s="4">
        <f>IFERROR(__xludf.DUMMYFUNCTION("""COMPUTED_VALUE"""),81.0)</f>
        <v>81</v>
      </c>
      <c r="N2623" s="2" t="b">
        <f>IFERROR(__xludf.DUMMYFUNCTION("""COMPUTED_VALUE"""),TRUE)</f>
        <v>1</v>
      </c>
    </row>
    <row r="2624">
      <c r="A2624" s="2">
        <f>IFERROR(__xludf.DUMMYFUNCTION("""COMPUTED_VALUE"""),2623.0)</f>
        <v>2623</v>
      </c>
      <c r="B2624" s="2" t="str">
        <f>IFERROR(__xludf.DUMMYFUNCTION("""COMPUTED_VALUE"""),"Nikolaos Senten")</f>
        <v>Nikolaos Senten</v>
      </c>
      <c r="C2624" s="2" t="str">
        <f>IFERROR(__xludf.DUMMYFUNCTION("""COMPUTED_VALUE"""),"nsentenhb@netvibes.com")</f>
        <v>nsentenhb@netvibes.com</v>
      </c>
      <c r="D2624" s="4">
        <f>IFERROR(__xludf.DUMMYFUNCTION("""COMPUTED_VALUE"""),74.0)</f>
        <v>74</v>
      </c>
      <c r="E2624" s="4">
        <f>IFERROR(__xludf.DUMMYFUNCTION("""COMPUTED_VALUE"""),32.0)</f>
        <v>32</v>
      </c>
      <c r="F2624" s="4">
        <f>IFERROR(__xludf.DUMMYFUNCTION("""COMPUTED_VALUE"""),13.0)</f>
        <v>13</v>
      </c>
      <c r="G2624" s="4">
        <f>IFERROR(__xludf.DUMMYFUNCTION("""COMPUTED_VALUE"""),54.0)</f>
        <v>54</v>
      </c>
      <c r="H2624" s="5">
        <f>IFERROR(__xludf.DUMMYFUNCTION("""COMPUTED_VALUE"""),4918.17)</f>
        <v>4918.17</v>
      </c>
      <c r="I2624" s="5">
        <f>IFERROR(__xludf.DUMMYFUNCTION("""COMPUTED_VALUE"""),1104.88)</f>
        <v>1104.88</v>
      </c>
      <c r="J2624" s="5">
        <f>IFERROR(__xludf.DUMMYFUNCTION("""COMPUTED_VALUE"""),4441.99)</f>
        <v>4441.99</v>
      </c>
      <c r="K2624" s="5">
        <f>IFERROR(__xludf.DUMMYFUNCTION("""COMPUTED_VALUE"""),2443.5)</f>
        <v>2443.5</v>
      </c>
      <c r="L2624" s="4">
        <f>IFERROR(__xludf.DUMMYFUNCTION("""COMPUTED_VALUE"""),15.0)</f>
        <v>15</v>
      </c>
      <c r="M2624" s="4">
        <f>IFERROR(__xludf.DUMMYFUNCTION("""COMPUTED_VALUE"""),43.0)</f>
        <v>43</v>
      </c>
      <c r="N2624" s="2" t="b">
        <f>IFERROR(__xludf.DUMMYFUNCTION("""COMPUTED_VALUE"""),TRUE)</f>
        <v>1</v>
      </c>
    </row>
    <row r="2625">
      <c r="A2625" s="2">
        <f>IFERROR(__xludf.DUMMYFUNCTION("""COMPUTED_VALUE"""),2624.0)</f>
        <v>2624</v>
      </c>
      <c r="B2625" s="2" t="str">
        <f>IFERROR(__xludf.DUMMYFUNCTION("""COMPUTED_VALUE"""),"Michell Blaasch")</f>
        <v>Michell Blaasch</v>
      </c>
      <c r="C2625" s="2"/>
      <c r="D2625" s="4">
        <f>IFERROR(__xludf.DUMMYFUNCTION("""COMPUTED_VALUE"""),60.0)</f>
        <v>60</v>
      </c>
      <c r="E2625" s="4">
        <f>IFERROR(__xludf.DUMMYFUNCTION("""COMPUTED_VALUE"""),103.0)</f>
        <v>103</v>
      </c>
      <c r="F2625" s="4">
        <f>IFERROR(__xludf.DUMMYFUNCTION("""COMPUTED_VALUE"""),7.0)</f>
        <v>7</v>
      </c>
      <c r="G2625" s="4">
        <f>IFERROR(__xludf.DUMMYFUNCTION("""COMPUTED_VALUE"""),949.0)</f>
        <v>949</v>
      </c>
      <c r="H2625" s="5">
        <f>IFERROR(__xludf.DUMMYFUNCTION("""COMPUTED_VALUE"""),7240.88)</f>
        <v>7240.88</v>
      </c>
      <c r="I2625" s="5">
        <f>IFERROR(__xludf.DUMMYFUNCTION("""COMPUTED_VALUE"""),7548.08)</f>
        <v>7548.08</v>
      </c>
      <c r="J2625" s="5">
        <f>IFERROR(__xludf.DUMMYFUNCTION("""COMPUTED_VALUE"""),161.95)</f>
        <v>161.95</v>
      </c>
      <c r="K2625" s="5">
        <f>IFERROR(__xludf.DUMMYFUNCTION("""COMPUTED_VALUE"""),3126.46)</f>
        <v>3126.46</v>
      </c>
      <c r="L2625" s="4">
        <f>IFERROR(__xludf.DUMMYFUNCTION("""COMPUTED_VALUE"""),10.0)</f>
        <v>10</v>
      </c>
      <c r="M2625" s="4">
        <f>IFERROR(__xludf.DUMMYFUNCTION("""COMPUTED_VALUE"""),78.0)</f>
        <v>78</v>
      </c>
      <c r="N2625" s="2" t="b">
        <f>IFERROR(__xludf.DUMMYFUNCTION("""COMPUTED_VALUE"""),TRUE)</f>
        <v>1</v>
      </c>
    </row>
    <row r="2626">
      <c r="A2626" s="2">
        <f>IFERROR(__xludf.DUMMYFUNCTION("""COMPUTED_VALUE"""),2625.0)</f>
        <v>2625</v>
      </c>
      <c r="B2626" s="2" t="str">
        <f>IFERROR(__xludf.DUMMYFUNCTION("""COMPUTED_VALUE"""),"Ricky D'Adda")</f>
        <v>Ricky D'Adda</v>
      </c>
      <c r="C2626" s="2"/>
      <c r="D2626" s="4">
        <f>IFERROR(__xludf.DUMMYFUNCTION("""COMPUTED_VALUE"""),120.0)</f>
        <v>120</v>
      </c>
      <c r="E2626" s="4">
        <f>IFERROR(__xludf.DUMMYFUNCTION("""COMPUTED_VALUE"""),72.0)</f>
        <v>72</v>
      </c>
      <c r="F2626" s="4">
        <f>IFERROR(__xludf.DUMMYFUNCTION("""COMPUTED_VALUE"""),4.0)</f>
        <v>4</v>
      </c>
      <c r="G2626" s="4">
        <f>IFERROR(__xludf.DUMMYFUNCTION("""COMPUTED_VALUE"""),629.0)</f>
        <v>629</v>
      </c>
      <c r="H2626" s="5">
        <f>IFERROR(__xludf.DUMMYFUNCTION("""COMPUTED_VALUE"""),8897.19)</f>
        <v>8897.19</v>
      </c>
      <c r="I2626" s="5">
        <f>IFERROR(__xludf.DUMMYFUNCTION("""COMPUTED_VALUE"""),2442.67)</f>
        <v>2442.67</v>
      </c>
      <c r="J2626" s="5">
        <f>IFERROR(__xludf.DUMMYFUNCTION("""COMPUTED_VALUE"""),476.42)</f>
        <v>476.42</v>
      </c>
      <c r="K2626" s="5">
        <f>IFERROR(__xludf.DUMMYFUNCTION("""COMPUTED_VALUE"""),9277.46)</f>
        <v>9277.46</v>
      </c>
      <c r="L2626" s="4">
        <f>IFERROR(__xludf.DUMMYFUNCTION("""COMPUTED_VALUE"""),1.0)</f>
        <v>1</v>
      </c>
      <c r="M2626" s="4">
        <f>IFERROR(__xludf.DUMMYFUNCTION("""COMPUTED_VALUE"""),58.0)</f>
        <v>58</v>
      </c>
      <c r="N2626" s="2" t="b">
        <f>IFERROR(__xludf.DUMMYFUNCTION("""COMPUTED_VALUE"""),FALSE)</f>
        <v>0</v>
      </c>
    </row>
    <row r="2627">
      <c r="A2627" s="2">
        <f>IFERROR(__xludf.DUMMYFUNCTION("""COMPUTED_VALUE"""),2626.0)</f>
        <v>2626</v>
      </c>
      <c r="B2627" s="2" t="str">
        <f>IFERROR(__xludf.DUMMYFUNCTION("""COMPUTED_VALUE"""),"Shurlock Huddart")</f>
        <v>Shurlock Huddart</v>
      </c>
      <c r="C2627" s="2"/>
      <c r="D2627" s="4">
        <f>IFERROR(__xludf.DUMMYFUNCTION("""COMPUTED_VALUE"""),107.0)</f>
        <v>107</v>
      </c>
      <c r="E2627" s="4">
        <f>IFERROR(__xludf.DUMMYFUNCTION("""COMPUTED_VALUE"""),77.0)</f>
        <v>77</v>
      </c>
      <c r="F2627" s="4">
        <f>IFERROR(__xludf.DUMMYFUNCTION("""COMPUTED_VALUE"""),10.0)</f>
        <v>10</v>
      </c>
      <c r="G2627" s="4">
        <f>IFERROR(__xludf.DUMMYFUNCTION("""COMPUTED_VALUE"""),1194.0)</f>
        <v>1194</v>
      </c>
      <c r="H2627" s="5">
        <f>IFERROR(__xludf.DUMMYFUNCTION("""COMPUTED_VALUE"""),5343.53)</f>
        <v>5343.53</v>
      </c>
      <c r="I2627" s="5">
        <f>IFERROR(__xludf.DUMMYFUNCTION("""COMPUTED_VALUE"""),5659.96)</f>
        <v>5659.96</v>
      </c>
      <c r="J2627" s="5">
        <f>IFERROR(__xludf.DUMMYFUNCTION("""COMPUTED_VALUE"""),1656.83)</f>
        <v>1656.83</v>
      </c>
      <c r="K2627" s="5">
        <f>IFERROR(__xludf.DUMMYFUNCTION("""COMPUTED_VALUE"""),2316.2)</f>
        <v>2316.2</v>
      </c>
      <c r="L2627" s="4">
        <f>IFERROR(__xludf.DUMMYFUNCTION("""COMPUTED_VALUE"""),7.0)</f>
        <v>7</v>
      </c>
      <c r="M2627" s="4">
        <f>IFERROR(__xludf.DUMMYFUNCTION("""COMPUTED_VALUE"""),72.0)</f>
        <v>72</v>
      </c>
      <c r="N2627" s="2" t="b">
        <f>IFERROR(__xludf.DUMMYFUNCTION("""COMPUTED_VALUE"""),FALSE)</f>
        <v>0</v>
      </c>
    </row>
    <row r="2628">
      <c r="A2628" s="2">
        <f>IFERROR(__xludf.DUMMYFUNCTION("""COMPUTED_VALUE"""),2627.0)</f>
        <v>2627</v>
      </c>
      <c r="B2628" s="2" t="str">
        <f>IFERROR(__xludf.DUMMYFUNCTION("""COMPUTED_VALUE"""),"Ahmad Dunphy")</f>
        <v>Ahmad Dunphy</v>
      </c>
      <c r="C2628" s="2" t="str">
        <f>IFERROR(__xludf.DUMMYFUNCTION("""COMPUTED_VALUE"""),"adunphyhf@ow.ly")</f>
        <v>adunphyhf@ow.ly</v>
      </c>
      <c r="D2628" s="4">
        <f>IFERROR(__xludf.DUMMYFUNCTION("""COMPUTED_VALUE"""),113.0)</f>
        <v>113</v>
      </c>
      <c r="E2628" s="4">
        <f>IFERROR(__xludf.DUMMYFUNCTION("""COMPUTED_VALUE"""),119.0)</f>
        <v>119</v>
      </c>
      <c r="F2628" s="4">
        <f>IFERROR(__xludf.DUMMYFUNCTION("""COMPUTED_VALUE"""),2.0)</f>
        <v>2</v>
      </c>
      <c r="G2628" s="4">
        <f>IFERROR(__xludf.DUMMYFUNCTION("""COMPUTED_VALUE"""),1225.0)</f>
        <v>1225</v>
      </c>
      <c r="H2628" s="5">
        <f>IFERROR(__xludf.DUMMYFUNCTION("""COMPUTED_VALUE"""),4893.31)</f>
        <v>4893.31</v>
      </c>
      <c r="I2628" s="5">
        <f>IFERROR(__xludf.DUMMYFUNCTION("""COMPUTED_VALUE"""),3246.28)</f>
        <v>3246.28</v>
      </c>
      <c r="J2628" s="5">
        <f>IFERROR(__xludf.DUMMYFUNCTION("""COMPUTED_VALUE"""),4627.83)</f>
        <v>4627.83</v>
      </c>
      <c r="K2628" s="5">
        <f>IFERROR(__xludf.DUMMYFUNCTION("""COMPUTED_VALUE"""),5729.72)</f>
        <v>5729.72</v>
      </c>
      <c r="L2628" s="4">
        <f>IFERROR(__xludf.DUMMYFUNCTION("""COMPUTED_VALUE"""),3.0)</f>
        <v>3</v>
      </c>
      <c r="M2628" s="4">
        <f>IFERROR(__xludf.DUMMYFUNCTION("""COMPUTED_VALUE"""),25.0)</f>
        <v>25</v>
      </c>
      <c r="N2628" s="2" t="b">
        <f>IFERROR(__xludf.DUMMYFUNCTION("""COMPUTED_VALUE"""),FALSE)</f>
        <v>0</v>
      </c>
    </row>
    <row r="2629">
      <c r="A2629" s="2">
        <f>IFERROR(__xludf.DUMMYFUNCTION("""COMPUTED_VALUE"""),2628.0)</f>
        <v>2628</v>
      </c>
      <c r="B2629" s="2" t="str">
        <f>IFERROR(__xludf.DUMMYFUNCTION("""COMPUTED_VALUE"""),"Tawnya Paybody")</f>
        <v>Tawnya Paybody</v>
      </c>
      <c r="C2629" s="2"/>
      <c r="D2629" s="4">
        <f>IFERROR(__xludf.DUMMYFUNCTION("""COMPUTED_VALUE"""),134.0)</f>
        <v>134</v>
      </c>
      <c r="E2629" s="4">
        <f>IFERROR(__xludf.DUMMYFUNCTION("""COMPUTED_VALUE"""),96.0)</f>
        <v>96</v>
      </c>
      <c r="F2629" s="4">
        <f>IFERROR(__xludf.DUMMYFUNCTION("""COMPUTED_VALUE"""),6.0)</f>
        <v>6</v>
      </c>
      <c r="G2629" s="4">
        <f>IFERROR(__xludf.DUMMYFUNCTION("""COMPUTED_VALUE"""),1480.0)</f>
        <v>1480</v>
      </c>
      <c r="H2629" s="5">
        <f>IFERROR(__xludf.DUMMYFUNCTION("""COMPUTED_VALUE"""),1557.64)</f>
        <v>1557.64</v>
      </c>
      <c r="I2629" s="5">
        <f>IFERROR(__xludf.DUMMYFUNCTION("""COMPUTED_VALUE"""),7351.98)</f>
        <v>7351.98</v>
      </c>
      <c r="J2629" s="5">
        <f>IFERROR(__xludf.DUMMYFUNCTION("""COMPUTED_VALUE"""),579.92)</f>
        <v>579.92</v>
      </c>
      <c r="K2629" s="5">
        <f>IFERROR(__xludf.DUMMYFUNCTION("""COMPUTED_VALUE"""),1087.8)</f>
        <v>1087.8</v>
      </c>
      <c r="L2629" s="4">
        <f>IFERROR(__xludf.DUMMYFUNCTION("""COMPUTED_VALUE"""),11.0)</f>
        <v>11</v>
      </c>
      <c r="M2629" s="4">
        <f>IFERROR(__xludf.DUMMYFUNCTION("""COMPUTED_VALUE"""),75.0)</f>
        <v>75</v>
      </c>
      <c r="N2629" s="2" t="b">
        <f>IFERROR(__xludf.DUMMYFUNCTION("""COMPUTED_VALUE"""),TRUE)</f>
        <v>1</v>
      </c>
    </row>
    <row r="2630">
      <c r="A2630" s="2">
        <f>IFERROR(__xludf.DUMMYFUNCTION("""COMPUTED_VALUE"""),2629.0)</f>
        <v>2629</v>
      </c>
      <c r="B2630" s="2" t="str">
        <f>IFERROR(__xludf.DUMMYFUNCTION("""COMPUTED_VALUE"""),"Tiphany Rupke")</f>
        <v>Tiphany Rupke</v>
      </c>
      <c r="C2630" s="2" t="str">
        <f>IFERROR(__xludf.DUMMYFUNCTION("""COMPUTED_VALUE"""),"trupkehh@aboutads.info")</f>
        <v>trupkehh@aboutads.info</v>
      </c>
      <c r="D2630" s="4">
        <f>IFERROR(__xludf.DUMMYFUNCTION("""COMPUTED_VALUE"""),31.0)</f>
        <v>31</v>
      </c>
      <c r="E2630" s="4">
        <f>IFERROR(__xludf.DUMMYFUNCTION("""COMPUTED_VALUE"""),46.0)</f>
        <v>46</v>
      </c>
      <c r="F2630" s="4">
        <f>IFERROR(__xludf.DUMMYFUNCTION("""COMPUTED_VALUE"""),7.0)</f>
        <v>7</v>
      </c>
      <c r="G2630" s="4">
        <f>IFERROR(__xludf.DUMMYFUNCTION("""COMPUTED_VALUE"""),343.0)</f>
        <v>343</v>
      </c>
      <c r="H2630" s="5">
        <f>IFERROR(__xludf.DUMMYFUNCTION("""COMPUTED_VALUE"""),2419.16)</f>
        <v>2419.16</v>
      </c>
      <c r="I2630" s="5">
        <f>IFERROR(__xludf.DUMMYFUNCTION("""COMPUTED_VALUE"""),762.61)</f>
        <v>762.61</v>
      </c>
      <c r="J2630" s="5">
        <f>IFERROR(__xludf.DUMMYFUNCTION("""COMPUTED_VALUE"""),224.22)</f>
        <v>224.22</v>
      </c>
      <c r="K2630" s="5">
        <f>IFERROR(__xludf.DUMMYFUNCTION("""COMPUTED_VALUE"""),4975.27)</f>
        <v>4975.27</v>
      </c>
      <c r="L2630" s="4">
        <f>IFERROR(__xludf.DUMMYFUNCTION("""COMPUTED_VALUE"""),18.0)</f>
        <v>18</v>
      </c>
      <c r="M2630" s="4">
        <f>IFERROR(__xludf.DUMMYFUNCTION("""COMPUTED_VALUE"""),23.0)</f>
        <v>23</v>
      </c>
      <c r="N2630" s="2" t="b">
        <f>IFERROR(__xludf.DUMMYFUNCTION("""COMPUTED_VALUE"""),FALSE)</f>
        <v>0</v>
      </c>
    </row>
    <row r="2631">
      <c r="A2631" s="2">
        <f>IFERROR(__xludf.DUMMYFUNCTION("""COMPUTED_VALUE"""),2630.0)</f>
        <v>2630</v>
      </c>
      <c r="B2631" s="2" t="str">
        <f>IFERROR(__xludf.DUMMYFUNCTION("""COMPUTED_VALUE"""),"Westley Sydney")</f>
        <v>Westley Sydney</v>
      </c>
      <c r="C2631" s="2" t="str">
        <f>IFERROR(__xludf.DUMMYFUNCTION("""COMPUTED_VALUE"""),"wsydneyhi@webnode.com")</f>
        <v>wsydneyhi@webnode.com</v>
      </c>
      <c r="D2631" s="4">
        <f>IFERROR(__xludf.DUMMYFUNCTION("""COMPUTED_VALUE"""),139.0)</f>
        <v>139</v>
      </c>
      <c r="E2631" s="4">
        <f>IFERROR(__xludf.DUMMYFUNCTION("""COMPUTED_VALUE"""),119.0)</f>
        <v>119</v>
      </c>
      <c r="F2631" s="4">
        <f>IFERROR(__xludf.DUMMYFUNCTION("""COMPUTED_VALUE"""),2.0)</f>
        <v>2</v>
      </c>
      <c r="G2631" s="4">
        <f>IFERROR(__xludf.DUMMYFUNCTION("""COMPUTED_VALUE"""),376.0)</f>
        <v>376</v>
      </c>
      <c r="H2631" s="5">
        <f>IFERROR(__xludf.DUMMYFUNCTION("""COMPUTED_VALUE"""),8148.33)</f>
        <v>8148.33</v>
      </c>
      <c r="I2631" s="5">
        <f>IFERROR(__xludf.DUMMYFUNCTION("""COMPUTED_VALUE"""),8340.94)</f>
        <v>8340.94</v>
      </c>
      <c r="J2631" s="5">
        <f>IFERROR(__xludf.DUMMYFUNCTION("""COMPUTED_VALUE"""),4039.43)</f>
        <v>4039.43</v>
      </c>
      <c r="K2631" s="5">
        <f>IFERROR(__xludf.DUMMYFUNCTION("""COMPUTED_VALUE"""),3812.95)</f>
        <v>3812.95</v>
      </c>
      <c r="L2631" s="4">
        <f>IFERROR(__xludf.DUMMYFUNCTION("""COMPUTED_VALUE"""),20.0)</f>
        <v>20</v>
      </c>
      <c r="M2631" s="4">
        <f>IFERROR(__xludf.DUMMYFUNCTION("""COMPUTED_VALUE"""),20.0)</f>
        <v>20</v>
      </c>
      <c r="N2631" s="2" t="b">
        <f>IFERROR(__xludf.DUMMYFUNCTION("""COMPUTED_VALUE"""),FALSE)</f>
        <v>0</v>
      </c>
    </row>
    <row r="2632">
      <c r="A2632" s="2">
        <f>IFERROR(__xludf.DUMMYFUNCTION("""COMPUTED_VALUE"""),2631.0)</f>
        <v>2631</v>
      </c>
      <c r="B2632" s="2" t="str">
        <f>IFERROR(__xludf.DUMMYFUNCTION("""COMPUTED_VALUE"""),"Lizzie Shewery")</f>
        <v>Lizzie Shewery</v>
      </c>
      <c r="C2632" s="2"/>
      <c r="D2632" s="4">
        <f>IFERROR(__xludf.DUMMYFUNCTION("""COMPUTED_VALUE"""),66.0)</f>
        <v>66</v>
      </c>
      <c r="E2632" s="4">
        <f>IFERROR(__xludf.DUMMYFUNCTION("""COMPUTED_VALUE"""),55.0)</f>
        <v>55</v>
      </c>
      <c r="F2632" s="4">
        <f>IFERROR(__xludf.DUMMYFUNCTION("""COMPUTED_VALUE"""),11.0)</f>
        <v>11</v>
      </c>
      <c r="G2632" s="4">
        <f>IFERROR(__xludf.DUMMYFUNCTION("""COMPUTED_VALUE"""),1117.0)</f>
        <v>1117</v>
      </c>
      <c r="H2632" s="5">
        <f>IFERROR(__xludf.DUMMYFUNCTION("""COMPUTED_VALUE"""),3995.72)</f>
        <v>3995.72</v>
      </c>
      <c r="I2632" s="5">
        <f>IFERROR(__xludf.DUMMYFUNCTION("""COMPUTED_VALUE"""),3803.29)</f>
        <v>3803.29</v>
      </c>
      <c r="J2632" s="5">
        <f>IFERROR(__xludf.DUMMYFUNCTION("""COMPUTED_VALUE"""),5000.98)</f>
        <v>5000.98</v>
      </c>
      <c r="K2632" s="5">
        <f>IFERROR(__xludf.DUMMYFUNCTION("""COMPUTED_VALUE"""),6956.27)</f>
        <v>6956.27</v>
      </c>
      <c r="L2632" s="4">
        <f>IFERROR(__xludf.DUMMYFUNCTION("""COMPUTED_VALUE"""),17.0)</f>
        <v>17</v>
      </c>
      <c r="M2632" s="4">
        <f>IFERROR(__xludf.DUMMYFUNCTION("""COMPUTED_VALUE"""),13.0)</f>
        <v>13</v>
      </c>
      <c r="N2632" s="2" t="b">
        <f>IFERROR(__xludf.DUMMYFUNCTION("""COMPUTED_VALUE"""),FALSE)</f>
        <v>0</v>
      </c>
    </row>
    <row r="2633">
      <c r="A2633" s="2">
        <f>IFERROR(__xludf.DUMMYFUNCTION("""COMPUTED_VALUE"""),2632.0)</f>
        <v>2632</v>
      </c>
      <c r="B2633" s="2" t="str">
        <f>IFERROR(__xludf.DUMMYFUNCTION("""COMPUTED_VALUE"""),"Derrek Dirand")</f>
        <v>Derrek Dirand</v>
      </c>
      <c r="C2633" s="2" t="str">
        <f>IFERROR(__xludf.DUMMYFUNCTION("""COMPUTED_VALUE"""),"ddirandhk@apache.org")</f>
        <v>ddirandhk@apache.org</v>
      </c>
      <c r="D2633" s="4">
        <f>IFERROR(__xludf.DUMMYFUNCTION("""COMPUTED_VALUE"""),24.0)</f>
        <v>24</v>
      </c>
      <c r="E2633" s="4">
        <f>IFERROR(__xludf.DUMMYFUNCTION("""COMPUTED_VALUE"""),97.0)</f>
        <v>97</v>
      </c>
      <c r="F2633" s="4">
        <f>IFERROR(__xludf.DUMMYFUNCTION("""COMPUTED_VALUE"""),1.0)</f>
        <v>1</v>
      </c>
      <c r="G2633" s="4">
        <f>IFERROR(__xludf.DUMMYFUNCTION("""COMPUTED_VALUE"""),812.0)</f>
        <v>812</v>
      </c>
      <c r="H2633" s="5">
        <f>IFERROR(__xludf.DUMMYFUNCTION("""COMPUTED_VALUE"""),8414.05)</f>
        <v>8414.05</v>
      </c>
      <c r="I2633" s="5">
        <f>IFERROR(__xludf.DUMMYFUNCTION("""COMPUTED_VALUE"""),9241.03)</f>
        <v>9241.03</v>
      </c>
      <c r="J2633" s="5">
        <f>IFERROR(__xludf.DUMMYFUNCTION("""COMPUTED_VALUE"""),5647.45)</f>
        <v>5647.45</v>
      </c>
      <c r="K2633" s="5">
        <f>IFERROR(__xludf.DUMMYFUNCTION("""COMPUTED_VALUE"""),9428.11)</f>
        <v>9428.11</v>
      </c>
      <c r="L2633" s="4">
        <f>IFERROR(__xludf.DUMMYFUNCTION("""COMPUTED_VALUE"""),16.0)</f>
        <v>16</v>
      </c>
      <c r="M2633" s="4">
        <f>IFERROR(__xludf.DUMMYFUNCTION("""COMPUTED_VALUE"""),80.0)</f>
        <v>80</v>
      </c>
      <c r="N2633" s="2" t="b">
        <f>IFERROR(__xludf.DUMMYFUNCTION("""COMPUTED_VALUE"""),FALSE)</f>
        <v>0</v>
      </c>
    </row>
    <row r="2634">
      <c r="A2634" s="2">
        <f>IFERROR(__xludf.DUMMYFUNCTION("""COMPUTED_VALUE"""),2633.0)</f>
        <v>2633</v>
      </c>
      <c r="B2634" s="2" t="str">
        <f>IFERROR(__xludf.DUMMYFUNCTION("""COMPUTED_VALUE"""),"Kari Dodgson")</f>
        <v>Kari Dodgson</v>
      </c>
      <c r="C2634" s="2" t="str">
        <f>IFERROR(__xludf.DUMMYFUNCTION("""COMPUTED_VALUE"""),"kdodgsonhl@jalbum.net")</f>
        <v>kdodgsonhl@jalbum.net</v>
      </c>
      <c r="D2634" s="4">
        <f>IFERROR(__xludf.DUMMYFUNCTION("""COMPUTED_VALUE"""),127.0)</f>
        <v>127</v>
      </c>
      <c r="E2634" s="4">
        <f>IFERROR(__xludf.DUMMYFUNCTION("""COMPUTED_VALUE"""),32.0)</f>
        <v>32</v>
      </c>
      <c r="F2634" s="4">
        <f>IFERROR(__xludf.DUMMYFUNCTION("""COMPUTED_VALUE"""),9.0)</f>
        <v>9</v>
      </c>
      <c r="G2634" s="4">
        <f>IFERROR(__xludf.DUMMYFUNCTION("""COMPUTED_VALUE"""),1061.0)</f>
        <v>1061</v>
      </c>
      <c r="H2634" s="5">
        <f>IFERROR(__xludf.DUMMYFUNCTION("""COMPUTED_VALUE"""),7319.36)</f>
        <v>7319.36</v>
      </c>
      <c r="I2634" s="5">
        <f>IFERROR(__xludf.DUMMYFUNCTION("""COMPUTED_VALUE"""),4045.7)</f>
        <v>4045.7</v>
      </c>
      <c r="J2634" s="5">
        <f>IFERROR(__xludf.DUMMYFUNCTION("""COMPUTED_VALUE"""),6785.35)</f>
        <v>6785.35</v>
      </c>
      <c r="K2634" s="5">
        <f>IFERROR(__xludf.DUMMYFUNCTION("""COMPUTED_VALUE"""),2613.06)</f>
        <v>2613.06</v>
      </c>
      <c r="L2634" s="4">
        <f>IFERROR(__xludf.DUMMYFUNCTION("""COMPUTED_VALUE"""),18.0)</f>
        <v>18</v>
      </c>
      <c r="M2634" s="4">
        <f>IFERROR(__xludf.DUMMYFUNCTION("""COMPUTED_VALUE"""),44.0)</f>
        <v>44</v>
      </c>
      <c r="N2634" s="2" t="b">
        <f>IFERROR(__xludf.DUMMYFUNCTION("""COMPUTED_VALUE"""),FALSE)</f>
        <v>0</v>
      </c>
    </row>
    <row r="2635">
      <c r="A2635" s="2">
        <f>IFERROR(__xludf.DUMMYFUNCTION("""COMPUTED_VALUE"""),2634.0)</f>
        <v>2634</v>
      </c>
      <c r="B2635" s="2" t="str">
        <f>IFERROR(__xludf.DUMMYFUNCTION("""COMPUTED_VALUE"""),"Neda Gamble")</f>
        <v>Neda Gamble</v>
      </c>
      <c r="C2635" s="2" t="str">
        <f>IFERROR(__xludf.DUMMYFUNCTION("""COMPUTED_VALUE"""),"ngamblehm@fastcompany.com")</f>
        <v>ngamblehm@fastcompany.com</v>
      </c>
      <c r="D2635" s="4">
        <f>IFERROR(__xludf.DUMMYFUNCTION("""COMPUTED_VALUE"""),127.0)</f>
        <v>127</v>
      </c>
      <c r="E2635" s="4">
        <f>IFERROR(__xludf.DUMMYFUNCTION("""COMPUTED_VALUE"""),24.0)</f>
        <v>24</v>
      </c>
      <c r="F2635" s="4">
        <f>IFERROR(__xludf.DUMMYFUNCTION("""COMPUTED_VALUE"""),7.0)</f>
        <v>7</v>
      </c>
      <c r="G2635" s="4">
        <f>IFERROR(__xludf.DUMMYFUNCTION("""COMPUTED_VALUE"""),1260.0)</f>
        <v>1260</v>
      </c>
      <c r="H2635" s="5">
        <f>IFERROR(__xludf.DUMMYFUNCTION("""COMPUTED_VALUE"""),5623.39)</f>
        <v>5623.39</v>
      </c>
      <c r="I2635" s="5">
        <f>IFERROR(__xludf.DUMMYFUNCTION("""COMPUTED_VALUE"""),2734.97)</f>
        <v>2734.97</v>
      </c>
      <c r="J2635" s="5">
        <f>IFERROR(__xludf.DUMMYFUNCTION("""COMPUTED_VALUE"""),7608.7)</f>
        <v>7608.7</v>
      </c>
      <c r="K2635" s="5">
        <f>IFERROR(__xludf.DUMMYFUNCTION("""COMPUTED_VALUE"""),8244.54)</f>
        <v>8244.54</v>
      </c>
      <c r="L2635" s="4">
        <f>IFERROR(__xludf.DUMMYFUNCTION("""COMPUTED_VALUE"""),10.0)</f>
        <v>10</v>
      </c>
      <c r="M2635" s="4">
        <f>IFERROR(__xludf.DUMMYFUNCTION("""COMPUTED_VALUE"""),96.0)</f>
        <v>96</v>
      </c>
      <c r="N2635" s="2" t="b">
        <f>IFERROR(__xludf.DUMMYFUNCTION("""COMPUTED_VALUE"""),TRUE)</f>
        <v>1</v>
      </c>
    </row>
    <row r="2636">
      <c r="A2636" s="2">
        <f>IFERROR(__xludf.DUMMYFUNCTION("""COMPUTED_VALUE"""),2635.0)</f>
        <v>2635</v>
      </c>
      <c r="B2636" s="2" t="str">
        <f>IFERROR(__xludf.DUMMYFUNCTION("""COMPUTED_VALUE"""),"Odessa Pedel")</f>
        <v>Odessa Pedel</v>
      </c>
      <c r="C2636" s="2" t="str">
        <f>IFERROR(__xludf.DUMMYFUNCTION("""COMPUTED_VALUE"""),"opedelhn@theglobeandmail.com")</f>
        <v>opedelhn@theglobeandmail.com</v>
      </c>
      <c r="D2636" s="4">
        <f>IFERROR(__xludf.DUMMYFUNCTION("""COMPUTED_VALUE"""),144.0)</f>
        <v>144</v>
      </c>
      <c r="E2636" s="4">
        <f>IFERROR(__xludf.DUMMYFUNCTION("""COMPUTED_VALUE"""),37.0)</f>
        <v>37</v>
      </c>
      <c r="F2636" s="4">
        <f>IFERROR(__xludf.DUMMYFUNCTION("""COMPUTED_VALUE"""),1.0)</f>
        <v>1</v>
      </c>
      <c r="G2636" s="4">
        <f>IFERROR(__xludf.DUMMYFUNCTION("""COMPUTED_VALUE"""),419.0)</f>
        <v>419</v>
      </c>
      <c r="H2636" s="5">
        <f>IFERROR(__xludf.DUMMYFUNCTION("""COMPUTED_VALUE"""),9904.31)</f>
        <v>9904.31</v>
      </c>
      <c r="I2636" s="5">
        <f>IFERROR(__xludf.DUMMYFUNCTION("""COMPUTED_VALUE"""),936.81)</f>
        <v>936.81</v>
      </c>
      <c r="J2636" s="5">
        <f>IFERROR(__xludf.DUMMYFUNCTION("""COMPUTED_VALUE"""),1736.57)</f>
        <v>1736.57</v>
      </c>
      <c r="K2636" s="5">
        <f>IFERROR(__xludf.DUMMYFUNCTION("""COMPUTED_VALUE"""),9629.51)</f>
        <v>9629.51</v>
      </c>
      <c r="L2636" s="4">
        <f>IFERROR(__xludf.DUMMYFUNCTION("""COMPUTED_VALUE"""),15.0)</f>
        <v>15</v>
      </c>
      <c r="M2636" s="4">
        <f>IFERROR(__xludf.DUMMYFUNCTION("""COMPUTED_VALUE"""),92.0)</f>
        <v>92</v>
      </c>
      <c r="N2636" s="2" t="b">
        <f>IFERROR(__xludf.DUMMYFUNCTION("""COMPUTED_VALUE"""),TRUE)</f>
        <v>1</v>
      </c>
    </row>
    <row r="2637">
      <c r="A2637" s="2">
        <f>IFERROR(__xludf.DUMMYFUNCTION("""COMPUTED_VALUE"""),2636.0)</f>
        <v>2636</v>
      </c>
      <c r="B2637" s="2" t="str">
        <f>IFERROR(__xludf.DUMMYFUNCTION("""COMPUTED_VALUE"""),"Gerrard Shrimpton")</f>
        <v>Gerrard Shrimpton</v>
      </c>
      <c r="C2637" s="2" t="str">
        <f>IFERROR(__xludf.DUMMYFUNCTION("""COMPUTED_VALUE"""),"gshrimptonho@buzzfeed.com")</f>
        <v>gshrimptonho@buzzfeed.com</v>
      </c>
      <c r="D2637" s="4">
        <f>IFERROR(__xludf.DUMMYFUNCTION("""COMPUTED_VALUE"""),26.0)</f>
        <v>26</v>
      </c>
      <c r="E2637" s="4">
        <f>IFERROR(__xludf.DUMMYFUNCTION("""COMPUTED_VALUE"""),85.0)</f>
        <v>85</v>
      </c>
      <c r="F2637" s="4">
        <f>IFERROR(__xludf.DUMMYFUNCTION("""COMPUTED_VALUE"""),4.0)</f>
        <v>4</v>
      </c>
      <c r="G2637" s="4">
        <f>IFERROR(__xludf.DUMMYFUNCTION("""COMPUTED_VALUE"""),927.0)</f>
        <v>927</v>
      </c>
      <c r="H2637" s="5">
        <f>IFERROR(__xludf.DUMMYFUNCTION("""COMPUTED_VALUE"""),778.4)</f>
        <v>778.4</v>
      </c>
      <c r="I2637" s="5">
        <f>IFERROR(__xludf.DUMMYFUNCTION("""COMPUTED_VALUE"""),9703.16)</f>
        <v>9703.16</v>
      </c>
      <c r="J2637" s="5">
        <f>IFERROR(__xludf.DUMMYFUNCTION("""COMPUTED_VALUE"""),5743.96)</f>
        <v>5743.96</v>
      </c>
      <c r="K2637" s="5">
        <f>IFERROR(__xludf.DUMMYFUNCTION("""COMPUTED_VALUE"""),7126.08)</f>
        <v>7126.08</v>
      </c>
      <c r="L2637" s="4">
        <f>IFERROR(__xludf.DUMMYFUNCTION("""COMPUTED_VALUE"""),17.0)</f>
        <v>17</v>
      </c>
      <c r="M2637" s="4">
        <f>IFERROR(__xludf.DUMMYFUNCTION("""COMPUTED_VALUE"""),84.0)</f>
        <v>84</v>
      </c>
      <c r="N2637" s="2" t="b">
        <f>IFERROR(__xludf.DUMMYFUNCTION("""COMPUTED_VALUE"""),TRUE)</f>
        <v>1</v>
      </c>
    </row>
    <row r="2638">
      <c r="A2638" s="2">
        <f>IFERROR(__xludf.DUMMYFUNCTION("""COMPUTED_VALUE"""),2637.0)</f>
        <v>2637</v>
      </c>
      <c r="B2638" s="2" t="str">
        <f>IFERROR(__xludf.DUMMYFUNCTION("""COMPUTED_VALUE"""),"Corbett Whybray")</f>
        <v>Corbett Whybray</v>
      </c>
      <c r="C2638" s="2"/>
      <c r="D2638" s="4">
        <f>IFERROR(__xludf.DUMMYFUNCTION("""COMPUTED_VALUE"""),150.0)</f>
        <v>150</v>
      </c>
      <c r="E2638" s="4">
        <f>IFERROR(__xludf.DUMMYFUNCTION("""COMPUTED_VALUE"""),70.0)</f>
        <v>70</v>
      </c>
      <c r="F2638" s="4">
        <f>IFERROR(__xludf.DUMMYFUNCTION("""COMPUTED_VALUE"""),5.0)</f>
        <v>5</v>
      </c>
      <c r="G2638" s="4">
        <f>IFERROR(__xludf.DUMMYFUNCTION("""COMPUTED_VALUE"""),1268.0)</f>
        <v>1268</v>
      </c>
      <c r="H2638" s="5">
        <f>IFERROR(__xludf.DUMMYFUNCTION("""COMPUTED_VALUE"""),3948.61)</f>
        <v>3948.61</v>
      </c>
      <c r="I2638" s="5">
        <f>IFERROR(__xludf.DUMMYFUNCTION("""COMPUTED_VALUE"""),2104.25)</f>
        <v>2104.25</v>
      </c>
      <c r="J2638" s="5">
        <f>IFERROR(__xludf.DUMMYFUNCTION("""COMPUTED_VALUE"""),2442.33)</f>
        <v>2442.33</v>
      </c>
      <c r="K2638" s="5">
        <f>IFERROR(__xludf.DUMMYFUNCTION("""COMPUTED_VALUE"""),6471.03)</f>
        <v>6471.03</v>
      </c>
      <c r="L2638" s="4">
        <f>IFERROR(__xludf.DUMMYFUNCTION("""COMPUTED_VALUE"""),17.0)</f>
        <v>17</v>
      </c>
      <c r="M2638" s="4">
        <f>IFERROR(__xludf.DUMMYFUNCTION("""COMPUTED_VALUE"""),98.0)</f>
        <v>98</v>
      </c>
      <c r="N2638" s="2" t="b">
        <f>IFERROR(__xludf.DUMMYFUNCTION("""COMPUTED_VALUE"""),TRUE)</f>
        <v>1</v>
      </c>
    </row>
    <row r="2639">
      <c r="A2639" s="2">
        <f>IFERROR(__xludf.DUMMYFUNCTION("""COMPUTED_VALUE"""),2638.0)</f>
        <v>2638</v>
      </c>
      <c r="B2639" s="2" t="str">
        <f>IFERROR(__xludf.DUMMYFUNCTION("""COMPUTED_VALUE"""),"Dugald Swires")</f>
        <v>Dugald Swires</v>
      </c>
      <c r="C2639" s="2"/>
      <c r="D2639" s="4">
        <f>IFERROR(__xludf.DUMMYFUNCTION("""COMPUTED_VALUE"""),16.0)</f>
        <v>16</v>
      </c>
      <c r="E2639" s="4">
        <f>IFERROR(__xludf.DUMMYFUNCTION("""COMPUTED_VALUE"""),68.0)</f>
        <v>68</v>
      </c>
      <c r="F2639" s="4">
        <f>IFERROR(__xludf.DUMMYFUNCTION("""COMPUTED_VALUE"""),13.0)</f>
        <v>13</v>
      </c>
      <c r="G2639" s="4">
        <f>IFERROR(__xludf.DUMMYFUNCTION("""COMPUTED_VALUE"""),993.0)</f>
        <v>993</v>
      </c>
      <c r="H2639" s="5">
        <f>IFERROR(__xludf.DUMMYFUNCTION("""COMPUTED_VALUE"""),8163.34)</f>
        <v>8163.34</v>
      </c>
      <c r="I2639" s="5">
        <f>IFERROR(__xludf.DUMMYFUNCTION("""COMPUTED_VALUE"""),6723.28)</f>
        <v>6723.28</v>
      </c>
      <c r="J2639" s="5">
        <f>IFERROR(__xludf.DUMMYFUNCTION("""COMPUTED_VALUE"""),6321.99)</f>
        <v>6321.99</v>
      </c>
      <c r="K2639" s="5">
        <f>IFERROR(__xludf.DUMMYFUNCTION("""COMPUTED_VALUE"""),7862.45)</f>
        <v>7862.45</v>
      </c>
      <c r="L2639" s="4">
        <f>IFERROR(__xludf.DUMMYFUNCTION("""COMPUTED_VALUE"""),15.0)</f>
        <v>15</v>
      </c>
      <c r="M2639" s="4">
        <f>IFERROR(__xludf.DUMMYFUNCTION("""COMPUTED_VALUE"""),69.0)</f>
        <v>69</v>
      </c>
      <c r="N2639" s="2" t="b">
        <f>IFERROR(__xludf.DUMMYFUNCTION("""COMPUTED_VALUE"""),TRUE)</f>
        <v>1</v>
      </c>
    </row>
    <row r="2640">
      <c r="A2640" s="2">
        <f>IFERROR(__xludf.DUMMYFUNCTION("""COMPUTED_VALUE"""),2639.0)</f>
        <v>2639</v>
      </c>
      <c r="B2640" s="2" t="str">
        <f>IFERROR(__xludf.DUMMYFUNCTION("""COMPUTED_VALUE"""),"Ansel Tamsett")</f>
        <v>Ansel Tamsett</v>
      </c>
      <c r="C2640" s="2" t="str">
        <f>IFERROR(__xludf.DUMMYFUNCTION("""COMPUTED_VALUE"""),"atamsetthr@imageshack.us")</f>
        <v>atamsetthr@imageshack.us</v>
      </c>
      <c r="D2640" s="4">
        <f>IFERROR(__xludf.DUMMYFUNCTION("""COMPUTED_VALUE"""),108.0)</f>
        <v>108</v>
      </c>
      <c r="E2640" s="4">
        <f>IFERROR(__xludf.DUMMYFUNCTION("""COMPUTED_VALUE"""),76.0)</f>
        <v>76</v>
      </c>
      <c r="F2640" s="4">
        <f>IFERROR(__xludf.DUMMYFUNCTION("""COMPUTED_VALUE"""),13.0)</f>
        <v>13</v>
      </c>
      <c r="G2640" s="4">
        <f>IFERROR(__xludf.DUMMYFUNCTION("""COMPUTED_VALUE"""),1045.0)</f>
        <v>1045</v>
      </c>
      <c r="H2640" s="5">
        <f>IFERROR(__xludf.DUMMYFUNCTION("""COMPUTED_VALUE"""),911.3)</f>
        <v>911.3</v>
      </c>
      <c r="I2640" s="5">
        <f>IFERROR(__xludf.DUMMYFUNCTION("""COMPUTED_VALUE"""),3723.33)</f>
        <v>3723.33</v>
      </c>
      <c r="J2640" s="5">
        <f>IFERROR(__xludf.DUMMYFUNCTION("""COMPUTED_VALUE"""),8579.57)</f>
        <v>8579.57</v>
      </c>
      <c r="K2640" s="5">
        <f>IFERROR(__xludf.DUMMYFUNCTION("""COMPUTED_VALUE"""),64.53)</f>
        <v>64.53</v>
      </c>
      <c r="L2640" s="4">
        <f>IFERROR(__xludf.DUMMYFUNCTION("""COMPUTED_VALUE"""),19.0)</f>
        <v>19</v>
      </c>
      <c r="M2640" s="4">
        <f>IFERROR(__xludf.DUMMYFUNCTION("""COMPUTED_VALUE"""),28.0)</f>
        <v>28</v>
      </c>
      <c r="N2640" s="2" t="b">
        <f>IFERROR(__xludf.DUMMYFUNCTION("""COMPUTED_VALUE"""),FALSE)</f>
        <v>0</v>
      </c>
    </row>
    <row r="2641">
      <c r="A2641" s="2">
        <f>IFERROR(__xludf.DUMMYFUNCTION("""COMPUTED_VALUE"""),2640.0)</f>
        <v>2640</v>
      </c>
      <c r="B2641" s="2" t="str">
        <f>IFERROR(__xludf.DUMMYFUNCTION("""COMPUTED_VALUE"""),"Caroljean Bowser")</f>
        <v>Caroljean Bowser</v>
      </c>
      <c r="C2641" s="2" t="str">
        <f>IFERROR(__xludf.DUMMYFUNCTION("""COMPUTED_VALUE"""),"cbowserhs@wikia.com")</f>
        <v>cbowserhs@wikia.com</v>
      </c>
      <c r="D2641" s="4">
        <f>IFERROR(__xludf.DUMMYFUNCTION("""COMPUTED_VALUE"""),74.0)</f>
        <v>74</v>
      </c>
      <c r="E2641" s="4">
        <f>IFERROR(__xludf.DUMMYFUNCTION("""COMPUTED_VALUE"""),27.0)</f>
        <v>27</v>
      </c>
      <c r="F2641" s="4">
        <f>IFERROR(__xludf.DUMMYFUNCTION("""COMPUTED_VALUE"""),9.0)</f>
        <v>9</v>
      </c>
      <c r="G2641" s="4">
        <f>IFERROR(__xludf.DUMMYFUNCTION("""COMPUTED_VALUE"""),1522.0)</f>
        <v>1522</v>
      </c>
      <c r="H2641" s="5">
        <f>IFERROR(__xludf.DUMMYFUNCTION("""COMPUTED_VALUE"""),7800.57)</f>
        <v>7800.57</v>
      </c>
      <c r="I2641" s="5">
        <f>IFERROR(__xludf.DUMMYFUNCTION("""COMPUTED_VALUE"""),9623.34)</f>
        <v>9623.34</v>
      </c>
      <c r="J2641" s="5">
        <f>IFERROR(__xludf.DUMMYFUNCTION("""COMPUTED_VALUE"""),4660.3)</f>
        <v>4660.3</v>
      </c>
      <c r="K2641" s="5">
        <f>IFERROR(__xludf.DUMMYFUNCTION("""COMPUTED_VALUE"""),4947.19)</f>
        <v>4947.19</v>
      </c>
      <c r="L2641" s="4">
        <f>IFERROR(__xludf.DUMMYFUNCTION("""COMPUTED_VALUE"""),6.0)</f>
        <v>6</v>
      </c>
      <c r="M2641" s="4">
        <f>IFERROR(__xludf.DUMMYFUNCTION("""COMPUTED_VALUE"""),29.0)</f>
        <v>29</v>
      </c>
      <c r="N2641" s="2" t="b">
        <f>IFERROR(__xludf.DUMMYFUNCTION("""COMPUTED_VALUE"""),TRUE)</f>
        <v>1</v>
      </c>
    </row>
    <row r="2642">
      <c r="A2642" s="2">
        <f>IFERROR(__xludf.DUMMYFUNCTION("""COMPUTED_VALUE"""),2641.0)</f>
        <v>2641</v>
      </c>
      <c r="B2642" s="2" t="str">
        <f>IFERROR(__xludf.DUMMYFUNCTION("""COMPUTED_VALUE"""),"Linda Perrinchief")</f>
        <v>Linda Perrinchief</v>
      </c>
      <c r="C2642" s="2" t="str">
        <f>IFERROR(__xludf.DUMMYFUNCTION("""COMPUTED_VALUE"""),"lperrinchiefht@shinystat.com")</f>
        <v>lperrinchiefht@shinystat.com</v>
      </c>
      <c r="D2642" s="4">
        <f>IFERROR(__xludf.DUMMYFUNCTION("""COMPUTED_VALUE"""),86.0)</f>
        <v>86</v>
      </c>
      <c r="E2642" s="4">
        <f>IFERROR(__xludf.DUMMYFUNCTION("""COMPUTED_VALUE"""),108.0)</f>
        <v>108</v>
      </c>
      <c r="F2642" s="4">
        <f>IFERROR(__xludf.DUMMYFUNCTION("""COMPUTED_VALUE"""),12.0)</f>
        <v>12</v>
      </c>
      <c r="G2642" s="4">
        <f>IFERROR(__xludf.DUMMYFUNCTION("""COMPUTED_VALUE"""),1375.0)</f>
        <v>1375</v>
      </c>
      <c r="H2642" s="5">
        <f>IFERROR(__xludf.DUMMYFUNCTION("""COMPUTED_VALUE"""),5774.93)</f>
        <v>5774.93</v>
      </c>
      <c r="I2642" s="5">
        <f>IFERROR(__xludf.DUMMYFUNCTION("""COMPUTED_VALUE"""),3833.44)</f>
        <v>3833.44</v>
      </c>
      <c r="J2642" s="5">
        <f>IFERROR(__xludf.DUMMYFUNCTION("""COMPUTED_VALUE"""),3480.56)</f>
        <v>3480.56</v>
      </c>
      <c r="K2642" s="5">
        <f>IFERROR(__xludf.DUMMYFUNCTION("""COMPUTED_VALUE"""),9957.58)</f>
        <v>9957.58</v>
      </c>
      <c r="L2642" s="4">
        <f>IFERROR(__xludf.DUMMYFUNCTION("""COMPUTED_VALUE"""),7.0)</f>
        <v>7</v>
      </c>
      <c r="M2642" s="4">
        <f>IFERROR(__xludf.DUMMYFUNCTION("""COMPUTED_VALUE"""),60.0)</f>
        <v>60</v>
      </c>
      <c r="N2642" s="2" t="b">
        <f>IFERROR(__xludf.DUMMYFUNCTION("""COMPUTED_VALUE"""),TRUE)</f>
        <v>1</v>
      </c>
    </row>
    <row r="2643">
      <c r="A2643" s="2">
        <f>IFERROR(__xludf.DUMMYFUNCTION("""COMPUTED_VALUE"""),2642.0)</f>
        <v>2642</v>
      </c>
      <c r="B2643" s="2" t="str">
        <f>IFERROR(__xludf.DUMMYFUNCTION("""COMPUTED_VALUE"""),"Barrie Shakeshaft")</f>
        <v>Barrie Shakeshaft</v>
      </c>
      <c r="C2643" s="2"/>
      <c r="D2643" s="4">
        <f>IFERROR(__xludf.DUMMYFUNCTION("""COMPUTED_VALUE"""),91.0)</f>
        <v>91</v>
      </c>
      <c r="E2643" s="4">
        <f>IFERROR(__xludf.DUMMYFUNCTION("""COMPUTED_VALUE"""),30.0)</f>
        <v>30</v>
      </c>
      <c r="F2643" s="4">
        <f>IFERROR(__xludf.DUMMYFUNCTION("""COMPUTED_VALUE"""),3.0)</f>
        <v>3</v>
      </c>
      <c r="G2643" s="4">
        <f>IFERROR(__xludf.DUMMYFUNCTION("""COMPUTED_VALUE"""),879.0)</f>
        <v>879</v>
      </c>
      <c r="H2643" s="5">
        <f>IFERROR(__xludf.DUMMYFUNCTION("""COMPUTED_VALUE"""),1481.14)</f>
        <v>1481.14</v>
      </c>
      <c r="I2643" s="5">
        <f>IFERROR(__xludf.DUMMYFUNCTION("""COMPUTED_VALUE"""),192.83)</f>
        <v>192.83</v>
      </c>
      <c r="J2643" s="5">
        <f>IFERROR(__xludf.DUMMYFUNCTION("""COMPUTED_VALUE"""),1855.05)</f>
        <v>1855.05</v>
      </c>
      <c r="K2643" s="5">
        <f>IFERROR(__xludf.DUMMYFUNCTION("""COMPUTED_VALUE"""),3919.49)</f>
        <v>3919.49</v>
      </c>
      <c r="L2643" s="4">
        <f>IFERROR(__xludf.DUMMYFUNCTION("""COMPUTED_VALUE"""),6.0)</f>
        <v>6</v>
      </c>
      <c r="M2643" s="4">
        <f>IFERROR(__xludf.DUMMYFUNCTION("""COMPUTED_VALUE"""),56.0)</f>
        <v>56</v>
      </c>
      <c r="N2643" s="2" t="b">
        <f>IFERROR(__xludf.DUMMYFUNCTION("""COMPUTED_VALUE"""),TRUE)</f>
        <v>1</v>
      </c>
    </row>
    <row r="2644">
      <c r="A2644" s="2">
        <f>IFERROR(__xludf.DUMMYFUNCTION("""COMPUTED_VALUE"""),2643.0)</f>
        <v>2643</v>
      </c>
      <c r="B2644" s="2" t="str">
        <f>IFERROR(__xludf.DUMMYFUNCTION("""COMPUTED_VALUE"""),"Ardine Clapston")</f>
        <v>Ardine Clapston</v>
      </c>
      <c r="C2644" s="2" t="str">
        <f>IFERROR(__xludf.DUMMYFUNCTION("""COMPUTED_VALUE"""),"aclapstonhv@columbia.edu")</f>
        <v>aclapstonhv@columbia.edu</v>
      </c>
      <c r="D2644" s="4">
        <f>IFERROR(__xludf.DUMMYFUNCTION("""COMPUTED_VALUE"""),103.0)</f>
        <v>103</v>
      </c>
      <c r="E2644" s="4">
        <f>IFERROR(__xludf.DUMMYFUNCTION("""COMPUTED_VALUE"""),63.0)</f>
        <v>63</v>
      </c>
      <c r="F2644" s="4">
        <f>IFERROR(__xludf.DUMMYFUNCTION("""COMPUTED_VALUE"""),7.0)</f>
        <v>7</v>
      </c>
      <c r="G2644" s="4">
        <f>IFERROR(__xludf.DUMMYFUNCTION("""COMPUTED_VALUE"""),1215.0)</f>
        <v>1215</v>
      </c>
      <c r="H2644" s="5">
        <f>IFERROR(__xludf.DUMMYFUNCTION("""COMPUTED_VALUE"""),7599.17)</f>
        <v>7599.17</v>
      </c>
      <c r="I2644" s="5">
        <f>IFERROR(__xludf.DUMMYFUNCTION("""COMPUTED_VALUE"""),1717.05)</f>
        <v>1717.05</v>
      </c>
      <c r="J2644" s="5">
        <f>IFERROR(__xludf.DUMMYFUNCTION("""COMPUTED_VALUE"""),6470.71)</f>
        <v>6470.71</v>
      </c>
      <c r="K2644" s="5">
        <f>IFERROR(__xludf.DUMMYFUNCTION("""COMPUTED_VALUE"""),6154.93)</f>
        <v>6154.93</v>
      </c>
      <c r="L2644" s="4">
        <f>IFERROR(__xludf.DUMMYFUNCTION("""COMPUTED_VALUE"""),6.0)</f>
        <v>6</v>
      </c>
      <c r="M2644" s="4">
        <f>IFERROR(__xludf.DUMMYFUNCTION("""COMPUTED_VALUE"""),66.0)</f>
        <v>66</v>
      </c>
      <c r="N2644" s="2" t="b">
        <f>IFERROR(__xludf.DUMMYFUNCTION("""COMPUTED_VALUE"""),FALSE)</f>
        <v>0</v>
      </c>
    </row>
    <row r="2645">
      <c r="A2645" s="2">
        <f>IFERROR(__xludf.DUMMYFUNCTION("""COMPUTED_VALUE"""),2644.0)</f>
        <v>2644</v>
      </c>
      <c r="B2645" s="2" t="str">
        <f>IFERROR(__xludf.DUMMYFUNCTION("""COMPUTED_VALUE"""),"Karrah Swinfon")</f>
        <v>Karrah Swinfon</v>
      </c>
      <c r="C2645" s="2"/>
      <c r="D2645" s="4">
        <f>IFERROR(__xludf.DUMMYFUNCTION("""COMPUTED_VALUE"""),56.0)</f>
        <v>56</v>
      </c>
      <c r="E2645" s="4">
        <f>IFERROR(__xludf.DUMMYFUNCTION("""COMPUTED_VALUE"""),70.0)</f>
        <v>70</v>
      </c>
      <c r="F2645" s="4">
        <f>IFERROR(__xludf.DUMMYFUNCTION("""COMPUTED_VALUE"""),13.0)</f>
        <v>13</v>
      </c>
      <c r="G2645" s="4">
        <f>IFERROR(__xludf.DUMMYFUNCTION("""COMPUTED_VALUE"""),308.0)</f>
        <v>308</v>
      </c>
      <c r="H2645" s="5">
        <f>IFERROR(__xludf.DUMMYFUNCTION("""COMPUTED_VALUE"""),5929.91)</f>
        <v>5929.91</v>
      </c>
      <c r="I2645" s="5">
        <f>IFERROR(__xludf.DUMMYFUNCTION("""COMPUTED_VALUE"""),7469.44)</f>
        <v>7469.44</v>
      </c>
      <c r="J2645" s="5">
        <f>IFERROR(__xludf.DUMMYFUNCTION("""COMPUTED_VALUE"""),6246.46)</f>
        <v>6246.46</v>
      </c>
      <c r="K2645" s="5">
        <f>IFERROR(__xludf.DUMMYFUNCTION("""COMPUTED_VALUE"""),6326.29)</f>
        <v>6326.29</v>
      </c>
      <c r="L2645" s="4">
        <f>IFERROR(__xludf.DUMMYFUNCTION("""COMPUTED_VALUE"""),3.0)</f>
        <v>3</v>
      </c>
      <c r="M2645" s="4">
        <f>IFERROR(__xludf.DUMMYFUNCTION("""COMPUTED_VALUE"""),17.0)</f>
        <v>17</v>
      </c>
      <c r="N2645" s="2" t="b">
        <f>IFERROR(__xludf.DUMMYFUNCTION("""COMPUTED_VALUE"""),FALSE)</f>
        <v>0</v>
      </c>
    </row>
    <row r="2646">
      <c r="A2646" s="2">
        <f>IFERROR(__xludf.DUMMYFUNCTION("""COMPUTED_VALUE"""),2645.0)</f>
        <v>2645</v>
      </c>
      <c r="B2646" s="2" t="str">
        <f>IFERROR(__xludf.DUMMYFUNCTION("""COMPUTED_VALUE"""),"Channa Westmore")</f>
        <v>Channa Westmore</v>
      </c>
      <c r="C2646" s="2" t="str">
        <f>IFERROR(__xludf.DUMMYFUNCTION("""COMPUTED_VALUE"""),"cwestmorehx@tumblr.com")</f>
        <v>cwestmorehx@tumblr.com</v>
      </c>
      <c r="D2646" s="4">
        <f>IFERROR(__xludf.DUMMYFUNCTION("""COMPUTED_VALUE"""),125.0)</f>
        <v>125</v>
      </c>
      <c r="E2646" s="4">
        <f>IFERROR(__xludf.DUMMYFUNCTION("""COMPUTED_VALUE"""),117.0)</f>
        <v>117</v>
      </c>
      <c r="F2646" s="4">
        <f>IFERROR(__xludf.DUMMYFUNCTION("""COMPUTED_VALUE"""),7.0)</f>
        <v>7</v>
      </c>
      <c r="G2646" s="4">
        <f>IFERROR(__xludf.DUMMYFUNCTION("""COMPUTED_VALUE"""),1222.0)</f>
        <v>1222</v>
      </c>
      <c r="H2646" s="5">
        <f>IFERROR(__xludf.DUMMYFUNCTION("""COMPUTED_VALUE"""),5186.28)</f>
        <v>5186.28</v>
      </c>
      <c r="I2646" s="5">
        <f>IFERROR(__xludf.DUMMYFUNCTION("""COMPUTED_VALUE"""),7243.31)</f>
        <v>7243.31</v>
      </c>
      <c r="J2646" s="5">
        <f>IFERROR(__xludf.DUMMYFUNCTION("""COMPUTED_VALUE"""),910.39)</f>
        <v>910.39</v>
      </c>
      <c r="K2646" s="5">
        <f>IFERROR(__xludf.DUMMYFUNCTION("""COMPUTED_VALUE"""),4434.66)</f>
        <v>4434.66</v>
      </c>
      <c r="L2646" s="4">
        <f>IFERROR(__xludf.DUMMYFUNCTION("""COMPUTED_VALUE"""),5.0)</f>
        <v>5</v>
      </c>
      <c r="M2646" s="4">
        <f>IFERROR(__xludf.DUMMYFUNCTION("""COMPUTED_VALUE"""),9.0)</f>
        <v>9</v>
      </c>
      <c r="N2646" s="2" t="b">
        <f>IFERROR(__xludf.DUMMYFUNCTION("""COMPUTED_VALUE"""),TRUE)</f>
        <v>1</v>
      </c>
    </row>
    <row r="2647">
      <c r="A2647" s="2">
        <f>IFERROR(__xludf.DUMMYFUNCTION("""COMPUTED_VALUE"""),2646.0)</f>
        <v>2646</v>
      </c>
      <c r="B2647" s="2" t="str">
        <f>IFERROR(__xludf.DUMMYFUNCTION("""COMPUTED_VALUE"""),"Basil Parlatt")</f>
        <v>Basil Parlatt</v>
      </c>
      <c r="C2647" s="2" t="str">
        <f>IFERROR(__xludf.DUMMYFUNCTION("""COMPUTED_VALUE"""),"bparlatthy@icio.us")</f>
        <v>bparlatthy@icio.us</v>
      </c>
      <c r="D2647" s="4">
        <f>IFERROR(__xludf.DUMMYFUNCTION("""COMPUTED_VALUE"""),39.0)</f>
        <v>39</v>
      </c>
      <c r="E2647" s="4">
        <f>IFERROR(__xludf.DUMMYFUNCTION("""COMPUTED_VALUE"""),20.0)</f>
        <v>20</v>
      </c>
      <c r="F2647" s="4">
        <f>IFERROR(__xludf.DUMMYFUNCTION("""COMPUTED_VALUE"""),2.0)</f>
        <v>2</v>
      </c>
      <c r="G2647" s="4">
        <f>IFERROR(__xludf.DUMMYFUNCTION("""COMPUTED_VALUE"""),714.0)</f>
        <v>714</v>
      </c>
      <c r="H2647" s="5">
        <f>IFERROR(__xludf.DUMMYFUNCTION("""COMPUTED_VALUE"""),6763.35)</f>
        <v>6763.35</v>
      </c>
      <c r="I2647" s="5">
        <f>IFERROR(__xludf.DUMMYFUNCTION("""COMPUTED_VALUE"""),7693.89)</f>
        <v>7693.89</v>
      </c>
      <c r="J2647" s="5">
        <f>IFERROR(__xludf.DUMMYFUNCTION("""COMPUTED_VALUE"""),597.98)</f>
        <v>597.98</v>
      </c>
      <c r="K2647" s="5">
        <f>IFERROR(__xludf.DUMMYFUNCTION("""COMPUTED_VALUE"""),7922.21)</f>
        <v>7922.21</v>
      </c>
      <c r="L2647" s="4">
        <f>IFERROR(__xludf.DUMMYFUNCTION("""COMPUTED_VALUE"""),17.0)</f>
        <v>17</v>
      </c>
      <c r="M2647" s="4">
        <f>IFERROR(__xludf.DUMMYFUNCTION("""COMPUTED_VALUE"""),7.0)</f>
        <v>7</v>
      </c>
      <c r="N2647" s="2" t="b">
        <f>IFERROR(__xludf.DUMMYFUNCTION("""COMPUTED_VALUE"""),TRUE)</f>
        <v>1</v>
      </c>
    </row>
    <row r="2648">
      <c r="A2648" s="2">
        <f>IFERROR(__xludf.DUMMYFUNCTION("""COMPUTED_VALUE"""),2647.0)</f>
        <v>2647</v>
      </c>
      <c r="B2648" s="2" t="str">
        <f>IFERROR(__xludf.DUMMYFUNCTION("""COMPUTED_VALUE"""),"Zaneta Sebrook")</f>
        <v>Zaneta Sebrook</v>
      </c>
      <c r="C2648" s="2"/>
      <c r="D2648" s="4">
        <f>IFERROR(__xludf.DUMMYFUNCTION("""COMPUTED_VALUE"""),124.0)</f>
        <v>124</v>
      </c>
      <c r="E2648" s="4">
        <f>IFERROR(__xludf.DUMMYFUNCTION("""COMPUTED_VALUE"""),2.0)</f>
        <v>2</v>
      </c>
      <c r="F2648" s="4">
        <f>IFERROR(__xludf.DUMMYFUNCTION("""COMPUTED_VALUE"""),4.0)</f>
        <v>4</v>
      </c>
      <c r="G2648" s="4">
        <f>IFERROR(__xludf.DUMMYFUNCTION("""COMPUTED_VALUE"""),805.0)</f>
        <v>805</v>
      </c>
      <c r="H2648" s="5">
        <f>IFERROR(__xludf.DUMMYFUNCTION("""COMPUTED_VALUE"""),3151.58)</f>
        <v>3151.58</v>
      </c>
      <c r="I2648" s="5">
        <f>IFERROR(__xludf.DUMMYFUNCTION("""COMPUTED_VALUE"""),6498.78)</f>
        <v>6498.78</v>
      </c>
      <c r="J2648" s="5">
        <f>IFERROR(__xludf.DUMMYFUNCTION("""COMPUTED_VALUE"""),2223.07)</f>
        <v>2223.07</v>
      </c>
      <c r="K2648" s="5">
        <f>IFERROR(__xludf.DUMMYFUNCTION("""COMPUTED_VALUE"""),3290.19)</f>
        <v>3290.19</v>
      </c>
      <c r="L2648" s="4">
        <f>IFERROR(__xludf.DUMMYFUNCTION("""COMPUTED_VALUE"""),18.0)</f>
        <v>18</v>
      </c>
      <c r="M2648" s="4">
        <f>IFERROR(__xludf.DUMMYFUNCTION("""COMPUTED_VALUE"""),48.0)</f>
        <v>48</v>
      </c>
      <c r="N2648" s="2" t="b">
        <f>IFERROR(__xludf.DUMMYFUNCTION("""COMPUTED_VALUE"""),TRUE)</f>
        <v>1</v>
      </c>
    </row>
    <row r="2649">
      <c r="A2649" s="2">
        <f>IFERROR(__xludf.DUMMYFUNCTION("""COMPUTED_VALUE"""),2648.0)</f>
        <v>2648</v>
      </c>
      <c r="B2649" s="2" t="str">
        <f>IFERROR(__xludf.DUMMYFUNCTION("""COMPUTED_VALUE"""),"Vale Natalie")</f>
        <v>Vale Natalie</v>
      </c>
      <c r="C2649" s="2"/>
      <c r="D2649" s="4">
        <f>IFERROR(__xludf.DUMMYFUNCTION("""COMPUTED_VALUE"""),135.0)</f>
        <v>135</v>
      </c>
      <c r="E2649" s="4">
        <f>IFERROR(__xludf.DUMMYFUNCTION("""COMPUTED_VALUE"""),85.0)</f>
        <v>85</v>
      </c>
      <c r="F2649" s="4">
        <f>IFERROR(__xludf.DUMMYFUNCTION("""COMPUTED_VALUE"""),9.0)</f>
        <v>9</v>
      </c>
      <c r="G2649" s="4">
        <f>IFERROR(__xludf.DUMMYFUNCTION("""COMPUTED_VALUE"""),176.0)</f>
        <v>176</v>
      </c>
      <c r="H2649" s="5">
        <f>IFERROR(__xludf.DUMMYFUNCTION("""COMPUTED_VALUE"""),9097.11)</f>
        <v>9097.11</v>
      </c>
      <c r="I2649" s="5">
        <f>IFERROR(__xludf.DUMMYFUNCTION("""COMPUTED_VALUE"""),2415.27)</f>
        <v>2415.27</v>
      </c>
      <c r="J2649" s="5">
        <f>IFERROR(__xludf.DUMMYFUNCTION("""COMPUTED_VALUE"""),2982.38)</f>
        <v>2982.38</v>
      </c>
      <c r="K2649" s="5">
        <f>IFERROR(__xludf.DUMMYFUNCTION("""COMPUTED_VALUE"""),9065.65)</f>
        <v>9065.65</v>
      </c>
      <c r="L2649" s="4">
        <f>IFERROR(__xludf.DUMMYFUNCTION("""COMPUTED_VALUE"""),8.0)</f>
        <v>8</v>
      </c>
      <c r="M2649" s="4">
        <f>IFERROR(__xludf.DUMMYFUNCTION("""COMPUTED_VALUE"""),99.0)</f>
        <v>99</v>
      </c>
      <c r="N2649" s="2" t="b">
        <f>IFERROR(__xludf.DUMMYFUNCTION("""COMPUTED_VALUE"""),TRUE)</f>
        <v>1</v>
      </c>
    </row>
    <row r="2650">
      <c r="A2650" s="2">
        <f>IFERROR(__xludf.DUMMYFUNCTION("""COMPUTED_VALUE"""),2649.0)</f>
        <v>2649</v>
      </c>
      <c r="B2650" s="2" t="str">
        <f>IFERROR(__xludf.DUMMYFUNCTION("""COMPUTED_VALUE"""),"Willie Randle")</f>
        <v>Willie Randle</v>
      </c>
      <c r="C2650" s="2" t="str">
        <f>IFERROR(__xludf.DUMMYFUNCTION("""COMPUTED_VALUE"""),"wrandlei1@a8.net")</f>
        <v>wrandlei1@a8.net</v>
      </c>
      <c r="D2650" s="4">
        <f>IFERROR(__xludf.DUMMYFUNCTION("""COMPUTED_VALUE"""),42.0)</f>
        <v>42</v>
      </c>
      <c r="E2650" s="4">
        <f>IFERROR(__xludf.DUMMYFUNCTION("""COMPUTED_VALUE"""),27.0)</f>
        <v>27</v>
      </c>
      <c r="F2650" s="4">
        <f>IFERROR(__xludf.DUMMYFUNCTION("""COMPUTED_VALUE"""),5.0)</f>
        <v>5</v>
      </c>
      <c r="G2650" s="4">
        <f>IFERROR(__xludf.DUMMYFUNCTION("""COMPUTED_VALUE"""),296.0)</f>
        <v>296</v>
      </c>
      <c r="H2650" s="5">
        <f>IFERROR(__xludf.DUMMYFUNCTION("""COMPUTED_VALUE"""),2692.69)</f>
        <v>2692.69</v>
      </c>
      <c r="I2650" s="5">
        <f>IFERROR(__xludf.DUMMYFUNCTION("""COMPUTED_VALUE"""),8593.31)</f>
        <v>8593.31</v>
      </c>
      <c r="J2650" s="5">
        <f>IFERROR(__xludf.DUMMYFUNCTION("""COMPUTED_VALUE"""),5340.87)</f>
        <v>5340.87</v>
      </c>
      <c r="K2650" s="5">
        <f>IFERROR(__xludf.DUMMYFUNCTION("""COMPUTED_VALUE"""),1248.95)</f>
        <v>1248.95</v>
      </c>
      <c r="L2650" s="4">
        <f>IFERROR(__xludf.DUMMYFUNCTION("""COMPUTED_VALUE"""),5.0)</f>
        <v>5</v>
      </c>
      <c r="M2650" s="4">
        <f>IFERROR(__xludf.DUMMYFUNCTION("""COMPUTED_VALUE"""),62.0)</f>
        <v>62</v>
      </c>
      <c r="N2650" s="2" t="b">
        <f>IFERROR(__xludf.DUMMYFUNCTION("""COMPUTED_VALUE"""),TRUE)</f>
        <v>1</v>
      </c>
    </row>
    <row r="2651">
      <c r="A2651" s="2">
        <f>IFERROR(__xludf.DUMMYFUNCTION("""COMPUTED_VALUE"""),2650.0)</f>
        <v>2650</v>
      </c>
      <c r="B2651" s="2" t="str">
        <f>IFERROR(__xludf.DUMMYFUNCTION("""COMPUTED_VALUE"""),"Meridith Innes")</f>
        <v>Meridith Innes</v>
      </c>
      <c r="C2651" s="2"/>
      <c r="D2651" s="4">
        <f>IFERROR(__xludf.DUMMYFUNCTION("""COMPUTED_VALUE"""),57.0)</f>
        <v>57</v>
      </c>
      <c r="E2651" s="4">
        <f>IFERROR(__xludf.DUMMYFUNCTION("""COMPUTED_VALUE"""),83.0)</f>
        <v>83</v>
      </c>
      <c r="F2651" s="4">
        <f>IFERROR(__xludf.DUMMYFUNCTION("""COMPUTED_VALUE"""),7.0)</f>
        <v>7</v>
      </c>
      <c r="G2651" s="4">
        <f>IFERROR(__xludf.DUMMYFUNCTION("""COMPUTED_VALUE"""),523.0)</f>
        <v>523</v>
      </c>
      <c r="H2651" s="5">
        <f>IFERROR(__xludf.DUMMYFUNCTION("""COMPUTED_VALUE"""),8575.45)</f>
        <v>8575.45</v>
      </c>
      <c r="I2651" s="5">
        <f>IFERROR(__xludf.DUMMYFUNCTION("""COMPUTED_VALUE"""),9672.03)</f>
        <v>9672.03</v>
      </c>
      <c r="J2651" s="5">
        <f>IFERROR(__xludf.DUMMYFUNCTION("""COMPUTED_VALUE"""),9196.45)</f>
        <v>9196.45</v>
      </c>
      <c r="K2651" s="5">
        <f>IFERROR(__xludf.DUMMYFUNCTION("""COMPUTED_VALUE"""),9718.88)</f>
        <v>9718.88</v>
      </c>
      <c r="L2651" s="4">
        <f>IFERROR(__xludf.DUMMYFUNCTION("""COMPUTED_VALUE"""),15.0)</f>
        <v>15</v>
      </c>
      <c r="M2651" s="4">
        <f>IFERROR(__xludf.DUMMYFUNCTION("""COMPUTED_VALUE"""),57.0)</f>
        <v>57</v>
      </c>
      <c r="N2651" s="2" t="b">
        <f>IFERROR(__xludf.DUMMYFUNCTION("""COMPUTED_VALUE"""),TRUE)</f>
        <v>1</v>
      </c>
    </row>
    <row r="2652">
      <c r="A2652" s="2">
        <f>IFERROR(__xludf.DUMMYFUNCTION("""COMPUTED_VALUE"""),2651.0)</f>
        <v>2651</v>
      </c>
      <c r="B2652" s="2" t="str">
        <f>IFERROR(__xludf.DUMMYFUNCTION("""COMPUTED_VALUE"""),"Miran Fishpoole")</f>
        <v>Miran Fishpoole</v>
      </c>
      <c r="C2652" s="2"/>
      <c r="D2652" s="4">
        <f>IFERROR(__xludf.DUMMYFUNCTION("""COMPUTED_VALUE"""),68.0)</f>
        <v>68</v>
      </c>
      <c r="E2652" s="4">
        <f>IFERROR(__xludf.DUMMYFUNCTION("""COMPUTED_VALUE"""),82.0)</f>
        <v>82</v>
      </c>
      <c r="F2652" s="4">
        <f>IFERROR(__xludf.DUMMYFUNCTION("""COMPUTED_VALUE"""),10.0)</f>
        <v>10</v>
      </c>
      <c r="G2652" s="4">
        <f>IFERROR(__xludf.DUMMYFUNCTION("""COMPUTED_VALUE"""),144.0)</f>
        <v>144</v>
      </c>
      <c r="H2652" s="5">
        <f>IFERROR(__xludf.DUMMYFUNCTION("""COMPUTED_VALUE"""),7094.09)</f>
        <v>7094.09</v>
      </c>
      <c r="I2652" s="5">
        <f>IFERROR(__xludf.DUMMYFUNCTION("""COMPUTED_VALUE"""),2497.85)</f>
        <v>2497.85</v>
      </c>
      <c r="J2652" s="5">
        <f>IFERROR(__xludf.DUMMYFUNCTION("""COMPUTED_VALUE"""),1441.31)</f>
        <v>1441.31</v>
      </c>
      <c r="K2652" s="5">
        <f>IFERROR(__xludf.DUMMYFUNCTION("""COMPUTED_VALUE"""),5111.31)</f>
        <v>5111.31</v>
      </c>
      <c r="L2652" s="4">
        <f>IFERROR(__xludf.DUMMYFUNCTION("""COMPUTED_VALUE"""),3.0)</f>
        <v>3</v>
      </c>
      <c r="M2652" s="4">
        <f>IFERROR(__xludf.DUMMYFUNCTION("""COMPUTED_VALUE"""),21.0)</f>
        <v>21</v>
      </c>
      <c r="N2652" s="2" t="b">
        <f>IFERROR(__xludf.DUMMYFUNCTION("""COMPUTED_VALUE"""),TRUE)</f>
        <v>1</v>
      </c>
    </row>
    <row r="2653">
      <c r="A2653" s="2">
        <f>IFERROR(__xludf.DUMMYFUNCTION("""COMPUTED_VALUE"""),2652.0)</f>
        <v>2652</v>
      </c>
      <c r="B2653" s="2" t="str">
        <f>IFERROR(__xludf.DUMMYFUNCTION("""COMPUTED_VALUE"""),"Nissa Durtnell")</f>
        <v>Nissa Durtnell</v>
      </c>
      <c r="C2653" s="2" t="str">
        <f>IFERROR(__xludf.DUMMYFUNCTION("""COMPUTED_VALUE"""),"ndurtnelli4@php.net")</f>
        <v>ndurtnelli4@php.net</v>
      </c>
      <c r="D2653" s="4">
        <f>IFERROR(__xludf.DUMMYFUNCTION("""COMPUTED_VALUE"""),109.0)</f>
        <v>109</v>
      </c>
      <c r="E2653" s="4">
        <f>IFERROR(__xludf.DUMMYFUNCTION("""COMPUTED_VALUE"""),88.0)</f>
        <v>88</v>
      </c>
      <c r="F2653" s="4">
        <f>IFERROR(__xludf.DUMMYFUNCTION("""COMPUTED_VALUE"""),6.0)</f>
        <v>6</v>
      </c>
      <c r="G2653" s="4">
        <f>IFERROR(__xludf.DUMMYFUNCTION("""COMPUTED_VALUE"""),299.0)</f>
        <v>299</v>
      </c>
      <c r="H2653" s="5">
        <f>IFERROR(__xludf.DUMMYFUNCTION("""COMPUTED_VALUE"""),9131.36)</f>
        <v>9131.36</v>
      </c>
      <c r="I2653" s="5">
        <f>IFERROR(__xludf.DUMMYFUNCTION("""COMPUTED_VALUE"""),7851.98)</f>
        <v>7851.98</v>
      </c>
      <c r="J2653" s="5">
        <f>IFERROR(__xludf.DUMMYFUNCTION("""COMPUTED_VALUE"""),7146.74)</f>
        <v>7146.74</v>
      </c>
      <c r="K2653" s="5">
        <f>IFERROR(__xludf.DUMMYFUNCTION("""COMPUTED_VALUE"""),5477.45)</f>
        <v>5477.45</v>
      </c>
      <c r="L2653" s="4">
        <f>IFERROR(__xludf.DUMMYFUNCTION("""COMPUTED_VALUE"""),18.0)</f>
        <v>18</v>
      </c>
      <c r="M2653" s="4">
        <f>IFERROR(__xludf.DUMMYFUNCTION("""COMPUTED_VALUE"""),41.0)</f>
        <v>41</v>
      </c>
      <c r="N2653" s="2" t="b">
        <f>IFERROR(__xludf.DUMMYFUNCTION("""COMPUTED_VALUE"""),TRUE)</f>
        <v>1</v>
      </c>
    </row>
    <row r="2654">
      <c r="A2654" s="2">
        <f>IFERROR(__xludf.DUMMYFUNCTION("""COMPUTED_VALUE"""),2653.0)</f>
        <v>2653</v>
      </c>
      <c r="B2654" s="2" t="str">
        <f>IFERROR(__xludf.DUMMYFUNCTION("""COMPUTED_VALUE"""),"Torre Soares")</f>
        <v>Torre Soares</v>
      </c>
      <c r="C2654" s="2"/>
      <c r="D2654" s="4">
        <f>IFERROR(__xludf.DUMMYFUNCTION("""COMPUTED_VALUE"""),53.0)</f>
        <v>53</v>
      </c>
      <c r="E2654" s="4">
        <f>IFERROR(__xludf.DUMMYFUNCTION("""COMPUTED_VALUE"""),70.0)</f>
        <v>70</v>
      </c>
      <c r="F2654" s="4">
        <f>IFERROR(__xludf.DUMMYFUNCTION("""COMPUTED_VALUE"""),7.0)</f>
        <v>7</v>
      </c>
      <c r="G2654" s="4">
        <f>IFERROR(__xludf.DUMMYFUNCTION("""COMPUTED_VALUE"""),329.0)</f>
        <v>329</v>
      </c>
      <c r="H2654" s="5">
        <f>IFERROR(__xludf.DUMMYFUNCTION("""COMPUTED_VALUE"""),907.68)</f>
        <v>907.68</v>
      </c>
      <c r="I2654" s="5">
        <f>IFERROR(__xludf.DUMMYFUNCTION("""COMPUTED_VALUE"""),1960.33)</f>
        <v>1960.33</v>
      </c>
      <c r="J2654" s="5">
        <f>IFERROR(__xludf.DUMMYFUNCTION("""COMPUTED_VALUE"""),3010.44)</f>
        <v>3010.44</v>
      </c>
      <c r="K2654" s="5">
        <f>IFERROR(__xludf.DUMMYFUNCTION("""COMPUTED_VALUE"""),4383.44)</f>
        <v>4383.44</v>
      </c>
      <c r="L2654" s="4">
        <f>IFERROR(__xludf.DUMMYFUNCTION("""COMPUTED_VALUE"""),16.0)</f>
        <v>16</v>
      </c>
      <c r="M2654" s="4">
        <f>IFERROR(__xludf.DUMMYFUNCTION("""COMPUTED_VALUE"""),91.0)</f>
        <v>91</v>
      </c>
      <c r="N2654" s="2" t="b">
        <f>IFERROR(__xludf.DUMMYFUNCTION("""COMPUTED_VALUE"""),TRUE)</f>
        <v>1</v>
      </c>
    </row>
    <row r="2655">
      <c r="A2655" s="2">
        <f>IFERROR(__xludf.DUMMYFUNCTION("""COMPUTED_VALUE"""),2654.0)</f>
        <v>2654</v>
      </c>
      <c r="B2655" s="2" t="str">
        <f>IFERROR(__xludf.DUMMYFUNCTION("""COMPUTED_VALUE"""),"Jamaal Richmont")</f>
        <v>Jamaal Richmont</v>
      </c>
      <c r="C2655" s="2"/>
      <c r="D2655" s="4">
        <f>IFERROR(__xludf.DUMMYFUNCTION("""COMPUTED_VALUE"""),115.0)</f>
        <v>115</v>
      </c>
      <c r="E2655" s="4">
        <f>IFERROR(__xludf.DUMMYFUNCTION("""COMPUTED_VALUE"""),74.0)</f>
        <v>74</v>
      </c>
      <c r="F2655" s="4">
        <f>IFERROR(__xludf.DUMMYFUNCTION("""COMPUTED_VALUE"""),6.0)</f>
        <v>6</v>
      </c>
      <c r="G2655" s="4">
        <f>IFERROR(__xludf.DUMMYFUNCTION("""COMPUTED_VALUE"""),1561.0)</f>
        <v>1561</v>
      </c>
      <c r="H2655" s="5">
        <f>IFERROR(__xludf.DUMMYFUNCTION("""COMPUTED_VALUE"""),3074.65)</f>
        <v>3074.65</v>
      </c>
      <c r="I2655" s="5">
        <f>IFERROR(__xludf.DUMMYFUNCTION("""COMPUTED_VALUE"""),777.93)</f>
        <v>777.93</v>
      </c>
      <c r="J2655" s="5">
        <f>IFERROR(__xludf.DUMMYFUNCTION("""COMPUTED_VALUE"""),6747.46)</f>
        <v>6747.46</v>
      </c>
      <c r="K2655" s="5">
        <f>IFERROR(__xludf.DUMMYFUNCTION("""COMPUTED_VALUE"""),8646.73)</f>
        <v>8646.73</v>
      </c>
      <c r="L2655" s="4">
        <f>IFERROR(__xludf.DUMMYFUNCTION("""COMPUTED_VALUE"""),5.0)</f>
        <v>5</v>
      </c>
      <c r="M2655" s="4">
        <f>IFERROR(__xludf.DUMMYFUNCTION("""COMPUTED_VALUE"""),99.0)</f>
        <v>99</v>
      </c>
      <c r="N2655" s="2" t="b">
        <f>IFERROR(__xludf.DUMMYFUNCTION("""COMPUTED_VALUE"""),TRUE)</f>
        <v>1</v>
      </c>
    </row>
    <row r="2656">
      <c r="A2656" s="2">
        <f>IFERROR(__xludf.DUMMYFUNCTION("""COMPUTED_VALUE"""),2655.0)</f>
        <v>2655</v>
      </c>
      <c r="B2656" s="2" t="str">
        <f>IFERROR(__xludf.DUMMYFUNCTION("""COMPUTED_VALUE"""),"Harris Hardaker")</f>
        <v>Harris Hardaker</v>
      </c>
      <c r="C2656" s="2" t="str">
        <f>IFERROR(__xludf.DUMMYFUNCTION("""COMPUTED_VALUE"""),"hhardakeri7@behance.net")</f>
        <v>hhardakeri7@behance.net</v>
      </c>
      <c r="D2656" s="4">
        <f>IFERROR(__xludf.DUMMYFUNCTION("""COMPUTED_VALUE"""),150.0)</f>
        <v>150</v>
      </c>
      <c r="E2656" s="4">
        <f>IFERROR(__xludf.DUMMYFUNCTION("""COMPUTED_VALUE"""),56.0)</f>
        <v>56</v>
      </c>
      <c r="F2656" s="4">
        <f>IFERROR(__xludf.DUMMYFUNCTION("""COMPUTED_VALUE"""),7.0)</f>
        <v>7</v>
      </c>
      <c r="G2656" s="4">
        <f>IFERROR(__xludf.DUMMYFUNCTION("""COMPUTED_VALUE"""),252.0)</f>
        <v>252</v>
      </c>
      <c r="H2656" s="5">
        <f>IFERROR(__xludf.DUMMYFUNCTION("""COMPUTED_VALUE"""),3826.04)</f>
        <v>3826.04</v>
      </c>
      <c r="I2656" s="5">
        <f>IFERROR(__xludf.DUMMYFUNCTION("""COMPUTED_VALUE"""),6665.24)</f>
        <v>6665.24</v>
      </c>
      <c r="J2656" s="5">
        <f>IFERROR(__xludf.DUMMYFUNCTION("""COMPUTED_VALUE"""),5535.73)</f>
        <v>5535.73</v>
      </c>
      <c r="K2656" s="5">
        <f>IFERROR(__xludf.DUMMYFUNCTION("""COMPUTED_VALUE"""),247.42)</f>
        <v>247.42</v>
      </c>
      <c r="L2656" s="4">
        <f>IFERROR(__xludf.DUMMYFUNCTION("""COMPUTED_VALUE"""),14.0)</f>
        <v>14</v>
      </c>
      <c r="M2656" s="4">
        <f>IFERROR(__xludf.DUMMYFUNCTION("""COMPUTED_VALUE"""),43.0)</f>
        <v>43</v>
      </c>
      <c r="N2656" s="2" t="b">
        <f>IFERROR(__xludf.DUMMYFUNCTION("""COMPUTED_VALUE"""),FALSE)</f>
        <v>0</v>
      </c>
    </row>
    <row r="2657">
      <c r="A2657" s="2">
        <f>IFERROR(__xludf.DUMMYFUNCTION("""COMPUTED_VALUE"""),2656.0)</f>
        <v>2656</v>
      </c>
      <c r="B2657" s="2" t="str">
        <f>IFERROR(__xludf.DUMMYFUNCTION("""COMPUTED_VALUE"""),"Mallorie Allsopp")</f>
        <v>Mallorie Allsopp</v>
      </c>
      <c r="C2657" s="2" t="str">
        <f>IFERROR(__xludf.DUMMYFUNCTION("""COMPUTED_VALUE"""),"mallsoppi8@businessinsider.com")</f>
        <v>mallsoppi8@businessinsider.com</v>
      </c>
      <c r="D2657" s="4">
        <f>IFERROR(__xludf.DUMMYFUNCTION("""COMPUTED_VALUE"""),51.0)</f>
        <v>51</v>
      </c>
      <c r="E2657" s="4">
        <f>IFERROR(__xludf.DUMMYFUNCTION("""COMPUTED_VALUE"""),125.0)</f>
        <v>125</v>
      </c>
      <c r="F2657" s="4">
        <f>IFERROR(__xludf.DUMMYFUNCTION("""COMPUTED_VALUE"""),3.0)</f>
        <v>3</v>
      </c>
      <c r="G2657" s="4">
        <f>IFERROR(__xludf.DUMMYFUNCTION("""COMPUTED_VALUE"""),1402.0)</f>
        <v>1402</v>
      </c>
      <c r="H2657" s="5">
        <f>IFERROR(__xludf.DUMMYFUNCTION("""COMPUTED_VALUE"""),457.14)</f>
        <v>457.14</v>
      </c>
      <c r="I2657" s="5">
        <f>IFERROR(__xludf.DUMMYFUNCTION("""COMPUTED_VALUE"""),5784.61)</f>
        <v>5784.61</v>
      </c>
      <c r="J2657" s="5">
        <f>IFERROR(__xludf.DUMMYFUNCTION("""COMPUTED_VALUE"""),3807.1)</f>
        <v>3807.1</v>
      </c>
      <c r="K2657" s="5">
        <f>IFERROR(__xludf.DUMMYFUNCTION("""COMPUTED_VALUE"""),5595.46)</f>
        <v>5595.46</v>
      </c>
      <c r="L2657" s="4">
        <f>IFERROR(__xludf.DUMMYFUNCTION("""COMPUTED_VALUE"""),14.0)</f>
        <v>14</v>
      </c>
      <c r="M2657" s="4">
        <f>IFERROR(__xludf.DUMMYFUNCTION("""COMPUTED_VALUE"""),39.0)</f>
        <v>39</v>
      </c>
      <c r="N2657" s="2" t="b">
        <f>IFERROR(__xludf.DUMMYFUNCTION("""COMPUTED_VALUE"""),TRUE)</f>
        <v>1</v>
      </c>
    </row>
    <row r="2658">
      <c r="A2658" s="2">
        <f>IFERROR(__xludf.DUMMYFUNCTION("""COMPUTED_VALUE"""),2657.0)</f>
        <v>2657</v>
      </c>
      <c r="B2658" s="2" t="str">
        <f>IFERROR(__xludf.DUMMYFUNCTION("""COMPUTED_VALUE"""),"Rockey Dutchburn")</f>
        <v>Rockey Dutchburn</v>
      </c>
      <c r="C2658" s="2"/>
      <c r="D2658" s="4">
        <f>IFERROR(__xludf.DUMMYFUNCTION("""COMPUTED_VALUE"""),147.0)</f>
        <v>147</v>
      </c>
      <c r="E2658" s="4">
        <f>IFERROR(__xludf.DUMMYFUNCTION("""COMPUTED_VALUE"""),51.0)</f>
        <v>51</v>
      </c>
      <c r="F2658" s="4">
        <f>IFERROR(__xludf.DUMMYFUNCTION("""COMPUTED_VALUE"""),4.0)</f>
        <v>4</v>
      </c>
      <c r="G2658" s="4">
        <f>IFERROR(__xludf.DUMMYFUNCTION("""COMPUTED_VALUE"""),831.0)</f>
        <v>831</v>
      </c>
      <c r="H2658" s="5">
        <f>IFERROR(__xludf.DUMMYFUNCTION("""COMPUTED_VALUE"""),9198.83)</f>
        <v>9198.83</v>
      </c>
      <c r="I2658" s="5">
        <f>IFERROR(__xludf.DUMMYFUNCTION("""COMPUTED_VALUE"""),977.88)</f>
        <v>977.88</v>
      </c>
      <c r="J2658" s="5">
        <f>IFERROR(__xludf.DUMMYFUNCTION("""COMPUTED_VALUE"""),5046.09)</f>
        <v>5046.09</v>
      </c>
      <c r="K2658" s="5">
        <f>IFERROR(__xludf.DUMMYFUNCTION("""COMPUTED_VALUE"""),4085.06)</f>
        <v>4085.06</v>
      </c>
      <c r="L2658" s="4">
        <f>IFERROR(__xludf.DUMMYFUNCTION("""COMPUTED_VALUE"""),13.0)</f>
        <v>13</v>
      </c>
      <c r="M2658" s="4">
        <f>IFERROR(__xludf.DUMMYFUNCTION("""COMPUTED_VALUE"""),41.0)</f>
        <v>41</v>
      </c>
      <c r="N2658" s="2" t="b">
        <f>IFERROR(__xludf.DUMMYFUNCTION("""COMPUTED_VALUE"""),TRUE)</f>
        <v>1</v>
      </c>
    </row>
    <row r="2659">
      <c r="A2659" s="2">
        <f>IFERROR(__xludf.DUMMYFUNCTION("""COMPUTED_VALUE"""),2658.0)</f>
        <v>2658</v>
      </c>
      <c r="B2659" s="2" t="str">
        <f>IFERROR(__xludf.DUMMYFUNCTION("""COMPUTED_VALUE"""),"Morganne Decourcy")</f>
        <v>Morganne Decourcy</v>
      </c>
      <c r="C2659" s="2"/>
      <c r="D2659" s="4">
        <f>IFERROR(__xludf.DUMMYFUNCTION("""COMPUTED_VALUE"""),56.0)</f>
        <v>56</v>
      </c>
      <c r="E2659" s="4">
        <f>IFERROR(__xludf.DUMMYFUNCTION("""COMPUTED_VALUE"""),94.0)</f>
        <v>94</v>
      </c>
      <c r="F2659" s="4">
        <f>IFERROR(__xludf.DUMMYFUNCTION("""COMPUTED_VALUE"""),13.0)</f>
        <v>13</v>
      </c>
      <c r="G2659" s="4">
        <f>IFERROR(__xludf.DUMMYFUNCTION("""COMPUTED_VALUE"""),1408.0)</f>
        <v>1408</v>
      </c>
      <c r="H2659" s="5">
        <f>IFERROR(__xludf.DUMMYFUNCTION("""COMPUTED_VALUE"""),3912.96)</f>
        <v>3912.96</v>
      </c>
      <c r="I2659" s="5">
        <f>IFERROR(__xludf.DUMMYFUNCTION("""COMPUTED_VALUE"""),9109.92)</f>
        <v>9109.92</v>
      </c>
      <c r="J2659" s="5">
        <f>IFERROR(__xludf.DUMMYFUNCTION("""COMPUTED_VALUE"""),3646.37)</f>
        <v>3646.37</v>
      </c>
      <c r="K2659" s="5">
        <f>IFERROR(__xludf.DUMMYFUNCTION("""COMPUTED_VALUE"""),4493.83)</f>
        <v>4493.83</v>
      </c>
      <c r="L2659" s="4">
        <f>IFERROR(__xludf.DUMMYFUNCTION("""COMPUTED_VALUE"""),12.0)</f>
        <v>12</v>
      </c>
      <c r="M2659" s="4">
        <f>IFERROR(__xludf.DUMMYFUNCTION("""COMPUTED_VALUE"""),78.0)</f>
        <v>78</v>
      </c>
      <c r="N2659" s="2" t="b">
        <f>IFERROR(__xludf.DUMMYFUNCTION("""COMPUTED_VALUE"""),FALSE)</f>
        <v>0</v>
      </c>
    </row>
    <row r="2660">
      <c r="A2660" s="2">
        <f>IFERROR(__xludf.DUMMYFUNCTION("""COMPUTED_VALUE"""),2659.0)</f>
        <v>2659</v>
      </c>
      <c r="B2660" s="2" t="str">
        <f>IFERROR(__xludf.DUMMYFUNCTION("""COMPUTED_VALUE"""),"Lucien Mellon")</f>
        <v>Lucien Mellon</v>
      </c>
      <c r="C2660" s="2" t="str">
        <f>IFERROR(__xludf.DUMMYFUNCTION("""COMPUTED_VALUE"""),"lmellonib@slashdot.org")</f>
        <v>lmellonib@slashdot.org</v>
      </c>
      <c r="D2660" s="4">
        <f>IFERROR(__xludf.DUMMYFUNCTION("""COMPUTED_VALUE"""),124.0)</f>
        <v>124</v>
      </c>
      <c r="E2660" s="4">
        <f>IFERROR(__xludf.DUMMYFUNCTION("""COMPUTED_VALUE"""),117.0)</f>
        <v>117</v>
      </c>
      <c r="F2660" s="4">
        <f>IFERROR(__xludf.DUMMYFUNCTION("""COMPUTED_VALUE"""),10.0)</f>
        <v>10</v>
      </c>
      <c r="G2660" s="4">
        <f>IFERROR(__xludf.DUMMYFUNCTION("""COMPUTED_VALUE"""),488.0)</f>
        <v>488</v>
      </c>
      <c r="H2660" s="5">
        <f>IFERROR(__xludf.DUMMYFUNCTION("""COMPUTED_VALUE"""),2934.65)</f>
        <v>2934.65</v>
      </c>
      <c r="I2660" s="5">
        <f>IFERROR(__xludf.DUMMYFUNCTION("""COMPUTED_VALUE"""),9935.28)</f>
        <v>9935.28</v>
      </c>
      <c r="J2660" s="5">
        <f>IFERROR(__xludf.DUMMYFUNCTION("""COMPUTED_VALUE"""),5607.63)</f>
        <v>5607.63</v>
      </c>
      <c r="K2660" s="5">
        <f>IFERROR(__xludf.DUMMYFUNCTION("""COMPUTED_VALUE"""),2928.67)</f>
        <v>2928.67</v>
      </c>
      <c r="L2660" s="4">
        <f>IFERROR(__xludf.DUMMYFUNCTION("""COMPUTED_VALUE"""),1.0)</f>
        <v>1</v>
      </c>
      <c r="M2660" s="4">
        <f>IFERROR(__xludf.DUMMYFUNCTION("""COMPUTED_VALUE"""),20.0)</f>
        <v>20</v>
      </c>
      <c r="N2660" s="2" t="b">
        <f>IFERROR(__xludf.DUMMYFUNCTION("""COMPUTED_VALUE"""),FALSE)</f>
        <v>0</v>
      </c>
    </row>
    <row r="2661">
      <c r="A2661" s="2">
        <f>IFERROR(__xludf.DUMMYFUNCTION("""COMPUTED_VALUE"""),2660.0)</f>
        <v>2660</v>
      </c>
      <c r="B2661" s="2" t="str">
        <f>IFERROR(__xludf.DUMMYFUNCTION("""COMPUTED_VALUE"""),"Orton Hayselden")</f>
        <v>Orton Hayselden</v>
      </c>
      <c r="C2661" s="2"/>
      <c r="D2661" s="4">
        <f>IFERROR(__xludf.DUMMYFUNCTION("""COMPUTED_VALUE"""),138.0)</f>
        <v>138</v>
      </c>
      <c r="E2661" s="4">
        <f>IFERROR(__xludf.DUMMYFUNCTION("""COMPUTED_VALUE"""),30.0)</f>
        <v>30</v>
      </c>
      <c r="F2661" s="4">
        <f>IFERROR(__xludf.DUMMYFUNCTION("""COMPUTED_VALUE"""),3.0)</f>
        <v>3</v>
      </c>
      <c r="G2661" s="4">
        <f>IFERROR(__xludf.DUMMYFUNCTION("""COMPUTED_VALUE"""),845.0)</f>
        <v>845</v>
      </c>
      <c r="H2661" s="5">
        <f>IFERROR(__xludf.DUMMYFUNCTION("""COMPUTED_VALUE"""),3911.84)</f>
        <v>3911.84</v>
      </c>
      <c r="I2661" s="5">
        <f>IFERROR(__xludf.DUMMYFUNCTION("""COMPUTED_VALUE"""),7493.8)</f>
        <v>7493.8</v>
      </c>
      <c r="J2661" s="5">
        <f>IFERROR(__xludf.DUMMYFUNCTION("""COMPUTED_VALUE"""),3184.04)</f>
        <v>3184.04</v>
      </c>
      <c r="K2661" s="5">
        <f>IFERROR(__xludf.DUMMYFUNCTION("""COMPUTED_VALUE"""),9732.0)</f>
        <v>9732</v>
      </c>
      <c r="L2661" s="4">
        <f>IFERROR(__xludf.DUMMYFUNCTION("""COMPUTED_VALUE"""),8.0)</f>
        <v>8</v>
      </c>
      <c r="M2661" s="4">
        <f>IFERROR(__xludf.DUMMYFUNCTION("""COMPUTED_VALUE"""),66.0)</f>
        <v>66</v>
      </c>
      <c r="N2661" s="2" t="b">
        <f>IFERROR(__xludf.DUMMYFUNCTION("""COMPUTED_VALUE"""),TRUE)</f>
        <v>1</v>
      </c>
    </row>
    <row r="2662">
      <c r="A2662" s="2">
        <f>IFERROR(__xludf.DUMMYFUNCTION("""COMPUTED_VALUE"""),2661.0)</f>
        <v>2661</v>
      </c>
      <c r="B2662" s="2" t="str">
        <f>IFERROR(__xludf.DUMMYFUNCTION("""COMPUTED_VALUE"""),"Aloysia Shearer")</f>
        <v>Aloysia Shearer</v>
      </c>
      <c r="C2662" s="2"/>
      <c r="D2662" s="4">
        <f>IFERROR(__xludf.DUMMYFUNCTION("""COMPUTED_VALUE"""),30.0)</f>
        <v>30</v>
      </c>
      <c r="E2662" s="4">
        <f>IFERROR(__xludf.DUMMYFUNCTION("""COMPUTED_VALUE"""),96.0)</f>
        <v>96</v>
      </c>
      <c r="F2662" s="4">
        <f>IFERROR(__xludf.DUMMYFUNCTION("""COMPUTED_VALUE"""),3.0)</f>
        <v>3</v>
      </c>
      <c r="G2662" s="4">
        <f>IFERROR(__xludf.DUMMYFUNCTION("""COMPUTED_VALUE"""),309.0)</f>
        <v>309</v>
      </c>
      <c r="H2662" s="5">
        <f>IFERROR(__xludf.DUMMYFUNCTION("""COMPUTED_VALUE"""),2276.81)</f>
        <v>2276.81</v>
      </c>
      <c r="I2662" s="5">
        <f>IFERROR(__xludf.DUMMYFUNCTION("""COMPUTED_VALUE"""),1224.15)</f>
        <v>1224.15</v>
      </c>
      <c r="J2662" s="5">
        <f>IFERROR(__xludf.DUMMYFUNCTION("""COMPUTED_VALUE"""),4648.39)</f>
        <v>4648.39</v>
      </c>
      <c r="K2662" s="5">
        <f>IFERROR(__xludf.DUMMYFUNCTION("""COMPUTED_VALUE"""),5957.75)</f>
        <v>5957.75</v>
      </c>
      <c r="L2662" s="4">
        <f>IFERROR(__xludf.DUMMYFUNCTION("""COMPUTED_VALUE"""),1.0)</f>
        <v>1</v>
      </c>
      <c r="M2662" s="4">
        <f>IFERROR(__xludf.DUMMYFUNCTION("""COMPUTED_VALUE"""),86.0)</f>
        <v>86</v>
      </c>
      <c r="N2662" s="2" t="b">
        <f>IFERROR(__xludf.DUMMYFUNCTION("""COMPUTED_VALUE"""),FALSE)</f>
        <v>0</v>
      </c>
    </row>
    <row r="2663">
      <c r="A2663" s="2">
        <f>IFERROR(__xludf.DUMMYFUNCTION("""COMPUTED_VALUE"""),2662.0)</f>
        <v>2662</v>
      </c>
      <c r="B2663" s="2" t="str">
        <f>IFERROR(__xludf.DUMMYFUNCTION("""COMPUTED_VALUE"""),"Odie Chettoe")</f>
        <v>Odie Chettoe</v>
      </c>
      <c r="C2663" s="2"/>
      <c r="D2663" s="4">
        <f>IFERROR(__xludf.DUMMYFUNCTION("""COMPUTED_VALUE"""),138.0)</f>
        <v>138</v>
      </c>
      <c r="E2663" s="4">
        <f>IFERROR(__xludf.DUMMYFUNCTION("""COMPUTED_VALUE"""),110.0)</f>
        <v>110</v>
      </c>
      <c r="F2663" s="4">
        <f>IFERROR(__xludf.DUMMYFUNCTION("""COMPUTED_VALUE"""),7.0)</f>
        <v>7</v>
      </c>
      <c r="G2663" s="4">
        <f>IFERROR(__xludf.DUMMYFUNCTION("""COMPUTED_VALUE"""),225.0)</f>
        <v>225</v>
      </c>
      <c r="H2663" s="5">
        <f>IFERROR(__xludf.DUMMYFUNCTION("""COMPUTED_VALUE"""),9865.8)</f>
        <v>9865.8</v>
      </c>
      <c r="I2663" s="5">
        <f>IFERROR(__xludf.DUMMYFUNCTION("""COMPUTED_VALUE"""),9307.15)</f>
        <v>9307.15</v>
      </c>
      <c r="J2663" s="5">
        <f>IFERROR(__xludf.DUMMYFUNCTION("""COMPUTED_VALUE"""),7689.71)</f>
        <v>7689.71</v>
      </c>
      <c r="K2663" s="5">
        <f>IFERROR(__xludf.DUMMYFUNCTION("""COMPUTED_VALUE"""),2743.79)</f>
        <v>2743.79</v>
      </c>
      <c r="L2663" s="4">
        <f>IFERROR(__xludf.DUMMYFUNCTION("""COMPUTED_VALUE"""),10.0)</f>
        <v>10</v>
      </c>
      <c r="M2663" s="4">
        <f>IFERROR(__xludf.DUMMYFUNCTION("""COMPUTED_VALUE"""),70.0)</f>
        <v>70</v>
      </c>
      <c r="N2663" s="2" t="b">
        <f>IFERROR(__xludf.DUMMYFUNCTION("""COMPUTED_VALUE"""),FALSE)</f>
        <v>0</v>
      </c>
    </row>
    <row r="2664">
      <c r="A2664" s="2">
        <f>IFERROR(__xludf.DUMMYFUNCTION("""COMPUTED_VALUE"""),2663.0)</f>
        <v>2663</v>
      </c>
      <c r="B2664" s="2" t="str">
        <f>IFERROR(__xludf.DUMMYFUNCTION("""COMPUTED_VALUE"""),"Sara-ann Tondeur")</f>
        <v>Sara-ann Tondeur</v>
      </c>
      <c r="C2664" s="2"/>
      <c r="D2664" s="4">
        <f>IFERROR(__xludf.DUMMYFUNCTION("""COMPUTED_VALUE"""),152.0)</f>
        <v>152</v>
      </c>
      <c r="E2664" s="4">
        <f>IFERROR(__xludf.DUMMYFUNCTION("""COMPUTED_VALUE"""),84.0)</f>
        <v>84</v>
      </c>
      <c r="F2664" s="4">
        <f>IFERROR(__xludf.DUMMYFUNCTION("""COMPUTED_VALUE"""),2.0)</f>
        <v>2</v>
      </c>
      <c r="G2664" s="4">
        <f>IFERROR(__xludf.DUMMYFUNCTION("""COMPUTED_VALUE"""),403.0)</f>
        <v>403</v>
      </c>
      <c r="H2664" s="5">
        <f>IFERROR(__xludf.DUMMYFUNCTION("""COMPUTED_VALUE"""),3481.33)</f>
        <v>3481.33</v>
      </c>
      <c r="I2664" s="5">
        <f>IFERROR(__xludf.DUMMYFUNCTION("""COMPUTED_VALUE"""),7679.91)</f>
        <v>7679.91</v>
      </c>
      <c r="J2664" s="5">
        <f>IFERROR(__xludf.DUMMYFUNCTION("""COMPUTED_VALUE"""),9388.95)</f>
        <v>9388.95</v>
      </c>
      <c r="K2664" s="5">
        <f>IFERROR(__xludf.DUMMYFUNCTION("""COMPUTED_VALUE"""),209.75)</f>
        <v>209.75</v>
      </c>
      <c r="L2664" s="4">
        <f>IFERROR(__xludf.DUMMYFUNCTION("""COMPUTED_VALUE"""),3.0)</f>
        <v>3</v>
      </c>
      <c r="M2664" s="4">
        <f>IFERROR(__xludf.DUMMYFUNCTION("""COMPUTED_VALUE"""),82.0)</f>
        <v>82</v>
      </c>
      <c r="N2664" s="2" t="b">
        <f>IFERROR(__xludf.DUMMYFUNCTION("""COMPUTED_VALUE"""),TRUE)</f>
        <v>1</v>
      </c>
    </row>
    <row r="2665">
      <c r="A2665" s="2">
        <f>IFERROR(__xludf.DUMMYFUNCTION("""COMPUTED_VALUE"""),2664.0)</f>
        <v>2664</v>
      </c>
      <c r="B2665" s="2" t="str">
        <f>IFERROR(__xludf.DUMMYFUNCTION("""COMPUTED_VALUE"""),"Lory Stork")</f>
        <v>Lory Stork</v>
      </c>
      <c r="C2665" s="2"/>
      <c r="D2665" s="4">
        <f>IFERROR(__xludf.DUMMYFUNCTION("""COMPUTED_VALUE"""),101.0)</f>
        <v>101</v>
      </c>
      <c r="E2665" s="4">
        <f>IFERROR(__xludf.DUMMYFUNCTION("""COMPUTED_VALUE"""),30.0)</f>
        <v>30</v>
      </c>
      <c r="F2665" s="4">
        <f>IFERROR(__xludf.DUMMYFUNCTION("""COMPUTED_VALUE"""),9.0)</f>
        <v>9</v>
      </c>
      <c r="G2665" s="4">
        <f>IFERROR(__xludf.DUMMYFUNCTION("""COMPUTED_VALUE"""),1433.0)</f>
        <v>1433</v>
      </c>
      <c r="H2665" s="5">
        <f>IFERROR(__xludf.DUMMYFUNCTION("""COMPUTED_VALUE"""),9572.18)</f>
        <v>9572.18</v>
      </c>
      <c r="I2665" s="5">
        <f>IFERROR(__xludf.DUMMYFUNCTION("""COMPUTED_VALUE"""),8677.64)</f>
        <v>8677.64</v>
      </c>
      <c r="J2665" s="5">
        <f>IFERROR(__xludf.DUMMYFUNCTION("""COMPUTED_VALUE"""),8540.51)</f>
        <v>8540.51</v>
      </c>
      <c r="K2665" s="5">
        <f>IFERROR(__xludf.DUMMYFUNCTION("""COMPUTED_VALUE"""),409.29)</f>
        <v>409.29</v>
      </c>
      <c r="L2665" s="4">
        <f>IFERROR(__xludf.DUMMYFUNCTION("""COMPUTED_VALUE"""),6.0)</f>
        <v>6</v>
      </c>
      <c r="M2665" s="4">
        <f>IFERROR(__xludf.DUMMYFUNCTION("""COMPUTED_VALUE"""),26.0)</f>
        <v>26</v>
      </c>
      <c r="N2665" s="2" t="b">
        <f>IFERROR(__xludf.DUMMYFUNCTION("""COMPUTED_VALUE"""),TRUE)</f>
        <v>1</v>
      </c>
    </row>
    <row r="2666">
      <c r="A2666" s="2">
        <f>IFERROR(__xludf.DUMMYFUNCTION("""COMPUTED_VALUE"""),2665.0)</f>
        <v>2665</v>
      </c>
      <c r="B2666" s="2" t="str">
        <f>IFERROR(__xludf.DUMMYFUNCTION("""COMPUTED_VALUE"""),"Tiebout Kerrod")</f>
        <v>Tiebout Kerrod</v>
      </c>
      <c r="C2666" s="2" t="str">
        <f>IFERROR(__xludf.DUMMYFUNCTION("""COMPUTED_VALUE"""),"tkerrodih@symantec.com")</f>
        <v>tkerrodih@symantec.com</v>
      </c>
      <c r="D2666" s="4">
        <f>IFERROR(__xludf.DUMMYFUNCTION("""COMPUTED_VALUE"""),103.0)</f>
        <v>103</v>
      </c>
      <c r="E2666" s="4">
        <f>IFERROR(__xludf.DUMMYFUNCTION("""COMPUTED_VALUE"""),65.0)</f>
        <v>65</v>
      </c>
      <c r="F2666" s="4">
        <f>IFERROR(__xludf.DUMMYFUNCTION("""COMPUTED_VALUE"""),12.0)</f>
        <v>12</v>
      </c>
      <c r="G2666" s="4">
        <f>IFERROR(__xludf.DUMMYFUNCTION("""COMPUTED_VALUE"""),1094.0)</f>
        <v>1094</v>
      </c>
      <c r="H2666" s="5">
        <f>IFERROR(__xludf.DUMMYFUNCTION("""COMPUTED_VALUE"""),399.11)</f>
        <v>399.11</v>
      </c>
      <c r="I2666" s="5">
        <f>IFERROR(__xludf.DUMMYFUNCTION("""COMPUTED_VALUE"""),2970.62)</f>
        <v>2970.62</v>
      </c>
      <c r="J2666" s="5">
        <f>IFERROR(__xludf.DUMMYFUNCTION("""COMPUTED_VALUE"""),7427.06)</f>
        <v>7427.06</v>
      </c>
      <c r="K2666" s="5">
        <f>IFERROR(__xludf.DUMMYFUNCTION("""COMPUTED_VALUE"""),6237.21)</f>
        <v>6237.21</v>
      </c>
      <c r="L2666" s="4">
        <f>IFERROR(__xludf.DUMMYFUNCTION("""COMPUTED_VALUE"""),5.0)</f>
        <v>5</v>
      </c>
      <c r="M2666" s="4">
        <f>IFERROR(__xludf.DUMMYFUNCTION("""COMPUTED_VALUE"""),41.0)</f>
        <v>41</v>
      </c>
      <c r="N2666" s="2" t="b">
        <f>IFERROR(__xludf.DUMMYFUNCTION("""COMPUTED_VALUE"""),TRUE)</f>
        <v>1</v>
      </c>
    </row>
    <row r="2667">
      <c r="A2667" s="2">
        <f>IFERROR(__xludf.DUMMYFUNCTION("""COMPUTED_VALUE"""),2666.0)</f>
        <v>2666</v>
      </c>
      <c r="B2667" s="2" t="str">
        <f>IFERROR(__xludf.DUMMYFUNCTION("""COMPUTED_VALUE"""),"Stan Gilbard")</f>
        <v>Stan Gilbard</v>
      </c>
      <c r="C2667" s="2" t="str">
        <f>IFERROR(__xludf.DUMMYFUNCTION("""COMPUTED_VALUE"""),"sgilbardii@bloglovin.com")</f>
        <v>sgilbardii@bloglovin.com</v>
      </c>
      <c r="D2667" s="4">
        <f>IFERROR(__xludf.DUMMYFUNCTION("""COMPUTED_VALUE"""),102.0)</f>
        <v>102</v>
      </c>
      <c r="E2667" s="4">
        <f>IFERROR(__xludf.DUMMYFUNCTION("""COMPUTED_VALUE"""),54.0)</f>
        <v>54</v>
      </c>
      <c r="F2667" s="4">
        <f>IFERROR(__xludf.DUMMYFUNCTION("""COMPUTED_VALUE"""),4.0)</f>
        <v>4</v>
      </c>
      <c r="G2667" s="4">
        <f>IFERROR(__xludf.DUMMYFUNCTION("""COMPUTED_VALUE"""),520.0)</f>
        <v>520</v>
      </c>
      <c r="H2667" s="5">
        <f>IFERROR(__xludf.DUMMYFUNCTION("""COMPUTED_VALUE"""),4158.46)</f>
        <v>4158.46</v>
      </c>
      <c r="I2667" s="5">
        <f>IFERROR(__xludf.DUMMYFUNCTION("""COMPUTED_VALUE"""),2785.77)</f>
        <v>2785.77</v>
      </c>
      <c r="J2667" s="5">
        <f>IFERROR(__xludf.DUMMYFUNCTION("""COMPUTED_VALUE"""),2362.8)</f>
        <v>2362.8</v>
      </c>
      <c r="K2667" s="5">
        <f>IFERROR(__xludf.DUMMYFUNCTION("""COMPUTED_VALUE"""),6404.56)</f>
        <v>6404.56</v>
      </c>
      <c r="L2667" s="4">
        <f>IFERROR(__xludf.DUMMYFUNCTION("""COMPUTED_VALUE"""),11.0)</f>
        <v>11</v>
      </c>
      <c r="M2667" s="4">
        <f>IFERROR(__xludf.DUMMYFUNCTION("""COMPUTED_VALUE"""),50.0)</f>
        <v>50</v>
      </c>
      <c r="N2667" s="2" t="b">
        <f>IFERROR(__xludf.DUMMYFUNCTION("""COMPUTED_VALUE"""),FALSE)</f>
        <v>0</v>
      </c>
    </row>
    <row r="2668">
      <c r="A2668" s="2">
        <f>IFERROR(__xludf.DUMMYFUNCTION("""COMPUTED_VALUE"""),2667.0)</f>
        <v>2667</v>
      </c>
      <c r="B2668" s="2" t="str">
        <f>IFERROR(__xludf.DUMMYFUNCTION("""COMPUTED_VALUE"""),"Brand Pumfrey")</f>
        <v>Brand Pumfrey</v>
      </c>
      <c r="C2668" s="2"/>
      <c r="D2668" s="4">
        <f>IFERROR(__xludf.DUMMYFUNCTION("""COMPUTED_VALUE"""),145.0)</f>
        <v>145</v>
      </c>
      <c r="E2668" s="4">
        <f>IFERROR(__xludf.DUMMYFUNCTION("""COMPUTED_VALUE"""),74.0)</f>
        <v>74</v>
      </c>
      <c r="F2668" s="4">
        <f>IFERROR(__xludf.DUMMYFUNCTION("""COMPUTED_VALUE"""),1.0)</f>
        <v>1</v>
      </c>
      <c r="G2668" s="4">
        <f>IFERROR(__xludf.DUMMYFUNCTION("""COMPUTED_VALUE"""),656.0)</f>
        <v>656</v>
      </c>
      <c r="H2668" s="5">
        <f>IFERROR(__xludf.DUMMYFUNCTION("""COMPUTED_VALUE"""),8456.61)</f>
        <v>8456.61</v>
      </c>
      <c r="I2668" s="5">
        <f>IFERROR(__xludf.DUMMYFUNCTION("""COMPUTED_VALUE"""),5411.79)</f>
        <v>5411.79</v>
      </c>
      <c r="J2668" s="5">
        <f>IFERROR(__xludf.DUMMYFUNCTION("""COMPUTED_VALUE"""),2187.06)</f>
        <v>2187.06</v>
      </c>
      <c r="K2668" s="5">
        <f>IFERROR(__xludf.DUMMYFUNCTION("""COMPUTED_VALUE"""),4775.13)</f>
        <v>4775.13</v>
      </c>
      <c r="L2668" s="4">
        <f>IFERROR(__xludf.DUMMYFUNCTION("""COMPUTED_VALUE"""),4.0)</f>
        <v>4</v>
      </c>
      <c r="M2668" s="4">
        <f>IFERROR(__xludf.DUMMYFUNCTION("""COMPUTED_VALUE"""),8.0)</f>
        <v>8</v>
      </c>
      <c r="N2668" s="2" t="b">
        <f>IFERROR(__xludf.DUMMYFUNCTION("""COMPUTED_VALUE"""),TRUE)</f>
        <v>1</v>
      </c>
    </row>
    <row r="2669">
      <c r="A2669" s="2">
        <f>IFERROR(__xludf.DUMMYFUNCTION("""COMPUTED_VALUE"""),2668.0)</f>
        <v>2668</v>
      </c>
      <c r="B2669" s="2" t="str">
        <f>IFERROR(__xludf.DUMMYFUNCTION("""COMPUTED_VALUE"""),"Dayle Skupinski")</f>
        <v>Dayle Skupinski</v>
      </c>
      <c r="C2669" s="2"/>
      <c r="D2669" s="4">
        <f>IFERROR(__xludf.DUMMYFUNCTION("""COMPUTED_VALUE"""),25.0)</f>
        <v>25</v>
      </c>
      <c r="E2669" s="4">
        <f>IFERROR(__xludf.DUMMYFUNCTION("""COMPUTED_VALUE"""),100.0)</f>
        <v>100</v>
      </c>
      <c r="F2669" s="4">
        <f>IFERROR(__xludf.DUMMYFUNCTION("""COMPUTED_VALUE"""),1.0)</f>
        <v>1</v>
      </c>
      <c r="G2669" s="4">
        <f>IFERROR(__xludf.DUMMYFUNCTION("""COMPUTED_VALUE"""),979.0)</f>
        <v>979</v>
      </c>
      <c r="H2669" s="5">
        <f>IFERROR(__xludf.DUMMYFUNCTION("""COMPUTED_VALUE"""),3313.76)</f>
        <v>3313.76</v>
      </c>
      <c r="I2669" s="5">
        <f>IFERROR(__xludf.DUMMYFUNCTION("""COMPUTED_VALUE"""),389.9)</f>
        <v>389.9</v>
      </c>
      <c r="J2669" s="5">
        <f>IFERROR(__xludf.DUMMYFUNCTION("""COMPUTED_VALUE"""),5385.83)</f>
        <v>5385.83</v>
      </c>
      <c r="K2669" s="5">
        <f>IFERROR(__xludf.DUMMYFUNCTION("""COMPUTED_VALUE"""),8719.44)</f>
        <v>8719.44</v>
      </c>
      <c r="L2669" s="4">
        <f>IFERROR(__xludf.DUMMYFUNCTION("""COMPUTED_VALUE"""),10.0)</f>
        <v>10</v>
      </c>
      <c r="M2669" s="4">
        <f>IFERROR(__xludf.DUMMYFUNCTION("""COMPUTED_VALUE"""),21.0)</f>
        <v>21</v>
      </c>
      <c r="N2669" s="2" t="b">
        <f>IFERROR(__xludf.DUMMYFUNCTION("""COMPUTED_VALUE"""),TRUE)</f>
        <v>1</v>
      </c>
    </row>
    <row r="2670">
      <c r="A2670" s="2">
        <f>IFERROR(__xludf.DUMMYFUNCTION("""COMPUTED_VALUE"""),2669.0)</f>
        <v>2669</v>
      </c>
      <c r="B2670" s="2" t="str">
        <f>IFERROR(__xludf.DUMMYFUNCTION("""COMPUTED_VALUE"""),"Pascal Monckton")</f>
        <v>Pascal Monckton</v>
      </c>
      <c r="C2670" s="2"/>
      <c r="D2670" s="4">
        <f>IFERROR(__xludf.DUMMYFUNCTION("""COMPUTED_VALUE"""),20.0)</f>
        <v>20</v>
      </c>
      <c r="E2670" s="4">
        <f>IFERROR(__xludf.DUMMYFUNCTION("""COMPUTED_VALUE"""),14.0)</f>
        <v>14</v>
      </c>
      <c r="F2670" s="4">
        <f>IFERROR(__xludf.DUMMYFUNCTION("""COMPUTED_VALUE"""),12.0)</f>
        <v>12</v>
      </c>
      <c r="G2670" s="4">
        <f>IFERROR(__xludf.DUMMYFUNCTION("""COMPUTED_VALUE"""),1435.0)</f>
        <v>1435</v>
      </c>
      <c r="H2670" s="5">
        <f>IFERROR(__xludf.DUMMYFUNCTION("""COMPUTED_VALUE"""),1557.81)</f>
        <v>1557.81</v>
      </c>
      <c r="I2670" s="5">
        <f>IFERROR(__xludf.DUMMYFUNCTION("""COMPUTED_VALUE"""),1994.54)</f>
        <v>1994.54</v>
      </c>
      <c r="J2670" s="5">
        <f>IFERROR(__xludf.DUMMYFUNCTION("""COMPUTED_VALUE"""),6081.86)</f>
        <v>6081.86</v>
      </c>
      <c r="K2670" s="5">
        <f>IFERROR(__xludf.DUMMYFUNCTION("""COMPUTED_VALUE"""),4427.87)</f>
        <v>4427.87</v>
      </c>
      <c r="L2670" s="4">
        <f>IFERROR(__xludf.DUMMYFUNCTION("""COMPUTED_VALUE"""),20.0)</f>
        <v>20</v>
      </c>
      <c r="M2670" s="4">
        <f>IFERROR(__xludf.DUMMYFUNCTION("""COMPUTED_VALUE"""),38.0)</f>
        <v>38</v>
      </c>
      <c r="N2670" s="2" t="b">
        <f>IFERROR(__xludf.DUMMYFUNCTION("""COMPUTED_VALUE"""),TRUE)</f>
        <v>1</v>
      </c>
    </row>
    <row r="2671">
      <c r="A2671" s="2">
        <f>IFERROR(__xludf.DUMMYFUNCTION("""COMPUTED_VALUE"""),2670.0)</f>
        <v>2670</v>
      </c>
      <c r="B2671" s="2" t="str">
        <f>IFERROR(__xludf.DUMMYFUNCTION("""COMPUTED_VALUE"""),"Barnaby Harvett")</f>
        <v>Barnaby Harvett</v>
      </c>
      <c r="C2671" s="2" t="str">
        <f>IFERROR(__xludf.DUMMYFUNCTION("""COMPUTED_VALUE"""),"bharvettim@zimbio.com")</f>
        <v>bharvettim@zimbio.com</v>
      </c>
      <c r="D2671" s="4">
        <f>IFERROR(__xludf.DUMMYFUNCTION("""COMPUTED_VALUE"""),66.0)</f>
        <v>66</v>
      </c>
      <c r="E2671" s="4">
        <f>IFERROR(__xludf.DUMMYFUNCTION("""COMPUTED_VALUE"""),23.0)</f>
        <v>23</v>
      </c>
      <c r="F2671" s="4">
        <f>IFERROR(__xludf.DUMMYFUNCTION("""COMPUTED_VALUE"""),9.0)</f>
        <v>9</v>
      </c>
      <c r="G2671" s="4">
        <f>IFERROR(__xludf.DUMMYFUNCTION("""COMPUTED_VALUE"""),1229.0)</f>
        <v>1229</v>
      </c>
      <c r="H2671" s="5">
        <f>IFERROR(__xludf.DUMMYFUNCTION("""COMPUTED_VALUE"""),9577.61)</f>
        <v>9577.61</v>
      </c>
      <c r="I2671" s="5">
        <f>IFERROR(__xludf.DUMMYFUNCTION("""COMPUTED_VALUE"""),5978.32)</f>
        <v>5978.32</v>
      </c>
      <c r="J2671" s="5">
        <f>IFERROR(__xludf.DUMMYFUNCTION("""COMPUTED_VALUE"""),7100.67)</f>
        <v>7100.67</v>
      </c>
      <c r="K2671" s="5">
        <f>IFERROR(__xludf.DUMMYFUNCTION("""COMPUTED_VALUE"""),7207.16)</f>
        <v>7207.16</v>
      </c>
      <c r="L2671" s="4">
        <f>IFERROR(__xludf.DUMMYFUNCTION("""COMPUTED_VALUE"""),18.0)</f>
        <v>18</v>
      </c>
      <c r="M2671" s="4">
        <f>IFERROR(__xludf.DUMMYFUNCTION("""COMPUTED_VALUE"""),14.0)</f>
        <v>14</v>
      </c>
      <c r="N2671" s="2" t="b">
        <f>IFERROR(__xludf.DUMMYFUNCTION("""COMPUTED_VALUE"""),FALSE)</f>
        <v>0</v>
      </c>
    </row>
    <row r="2672">
      <c r="A2672" s="2">
        <f>IFERROR(__xludf.DUMMYFUNCTION("""COMPUTED_VALUE"""),2671.0)</f>
        <v>2671</v>
      </c>
      <c r="B2672" s="2" t="str">
        <f>IFERROR(__xludf.DUMMYFUNCTION("""COMPUTED_VALUE"""),"Juliet Werndly")</f>
        <v>Juliet Werndly</v>
      </c>
      <c r="C2672" s="2"/>
      <c r="D2672" s="4">
        <f>IFERROR(__xludf.DUMMYFUNCTION("""COMPUTED_VALUE"""),5.0)</f>
        <v>5</v>
      </c>
      <c r="E2672" s="4">
        <f>IFERROR(__xludf.DUMMYFUNCTION("""COMPUTED_VALUE"""),37.0)</f>
        <v>37</v>
      </c>
      <c r="F2672" s="4">
        <f>IFERROR(__xludf.DUMMYFUNCTION("""COMPUTED_VALUE"""),13.0)</f>
        <v>13</v>
      </c>
      <c r="G2672" s="4">
        <f>IFERROR(__xludf.DUMMYFUNCTION("""COMPUTED_VALUE"""),1289.0)</f>
        <v>1289</v>
      </c>
      <c r="H2672" s="5">
        <f>IFERROR(__xludf.DUMMYFUNCTION("""COMPUTED_VALUE"""),1627.31)</f>
        <v>1627.31</v>
      </c>
      <c r="I2672" s="5">
        <f>IFERROR(__xludf.DUMMYFUNCTION("""COMPUTED_VALUE"""),1382.46)</f>
        <v>1382.46</v>
      </c>
      <c r="J2672" s="5">
        <f>IFERROR(__xludf.DUMMYFUNCTION("""COMPUTED_VALUE"""),444.34)</f>
        <v>444.34</v>
      </c>
      <c r="K2672" s="5">
        <f>IFERROR(__xludf.DUMMYFUNCTION("""COMPUTED_VALUE"""),8932.58)</f>
        <v>8932.58</v>
      </c>
      <c r="L2672" s="4">
        <f>IFERROR(__xludf.DUMMYFUNCTION("""COMPUTED_VALUE"""),2.0)</f>
        <v>2</v>
      </c>
      <c r="M2672" s="4">
        <f>IFERROR(__xludf.DUMMYFUNCTION("""COMPUTED_VALUE"""),99.0)</f>
        <v>99</v>
      </c>
      <c r="N2672" s="2" t="b">
        <f>IFERROR(__xludf.DUMMYFUNCTION("""COMPUTED_VALUE"""),FALSE)</f>
        <v>0</v>
      </c>
    </row>
    <row r="2673">
      <c r="A2673" s="2">
        <f>IFERROR(__xludf.DUMMYFUNCTION("""COMPUTED_VALUE"""),2672.0)</f>
        <v>2672</v>
      </c>
      <c r="B2673" s="2" t="str">
        <f>IFERROR(__xludf.DUMMYFUNCTION("""COMPUTED_VALUE"""),"Carlie Emmett")</f>
        <v>Carlie Emmett</v>
      </c>
      <c r="C2673" s="2"/>
      <c r="D2673" s="4">
        <f>IFERROR(__xludf.DUMMYFUNCTION("""COMPUTED_VALUE"""),145.0)</f>
        <v>145</v>
      </c>
      <c r="E2673" s="4">
        <f>IFERROR(__xludf.DUMMYFUNCTION("""COMPUTED_VALUE"""),11.0)</f>
        <v>11</v>
      </c>
      <c r="F2673" s="4">
        <f>IFERROR(__xludf.DUMMYFUNCTION("""COMPUTED_VALUE"""),13.0)</f>
        <v>13</v>
      </c>
      <c r="G2673" s="4">
        <f>IFERROR(__xludf.DUMMYFUNCTION("""COMPUTED_VALUE"""),610.0)</f>
        <v>610</v>
      </c>
      <c r="H2673" s="5">
        <f>IFERROR(__xludf.DUMMYFUNCTION("""COMPUTED_VALUE"""),8272.88)</f>
        <v>8272.88</v>
      </c>
      <c r="I2673" s="5">
        <f>IFERROR(__xludf.DUMMYFUNCTION("""COMPUTED_VALUE"""),4927.37)</f>
        <v>4927.37</v>
      </c>
      <c r="J2673" s="5">
        <f>IFERROR(__xludf.DUMMYFUNCTION("""COMPUTED_VALUE"""),3620.98)</f>
        <v>3620.98</v>
      </c>
      <c r="K2673" s="5">
        <f>IFERROR(__xludf.DUMMYFUNCTION("""COMPUTED_VALUE"""),3910.15)</f>
        <v>3910.15</v>
      </c>
      <c r="L2673" s="4">
        <f>IFERROR(__xludf.DUMMYFUNCTION("""COMPUTED_VALUE"""),1.0)</f>
        <v>1</v>
      </c>
      <c r="M2673" s="4">
        <f>IFERROR(__xludf.DUMMYFUNCTION("""COMPUTED_VALUE"""),60.0)</f>
        <v>60</v>
      </c>
      <c r="N2673" s="2" t="b">
        <f>IFERROR(__xludf.DUMMYFUNCTION("""COMPUTED_VALUE"""),FALSE)</f>
        <v>0</v>
      </c>
    </row>
    <row r="2674">
      <c r="A2674" s="2">
        <f>IFERROR(__xludf.DUMMYFUNCTION("""COMPUTED_VALUE"""),2673.0)</f>
        <v>2673</v>
      </c>
      <c r="B2674" s="2" t="str">
        <f>IFERROR(__xludf.DUMMYFUNCTION("""COMPUTED_VALUE"""),"Tobye Pren")</f>
        <v>Tobye Pren</v>
      </c>
      <c r="C2674" s="2"/>
      <c r="D2674" s="4">
        <f>IFERROR(__xludf.DUMMYFUNCTION("""COMPUTED_VALUE"""),77.0)</f>
        <v>77</v>
      </c>
      <c r="E2674" s="4">
        <f>IFERROR(__xludf.DUMMYFUNCTION("""COMPUTED_VALUE"""),125.0)</f>
        <v>125</v>
      </c>
      <c r="F2674" s="4">
        <f>IFERROR(__xludf.DUMMYFUNCTION("""COMPUTED_VALUE"""),6.0)</f>
        <v>6</v>
      </c>
      <c r="G2674" s="4">
        <f>IFERROR(__xludf.DUMMYFUNCTION("""COMPUTED_VALUE"""),1555.0)</f>
        <v>1555</v>
      </c>
      <c r="H2674" s="5">
        <f>IFERROR(__xludf.DUMMYFUNCTION("""COMPUTED_VALUE"""),6993.19)</f>
        <v>6993.19</v>
      </c>
      <c r="I2674" s="5">
        <f>IFERROR(__xludf.DUMMYFUNCTION("""COMPUTED_VALUE"""),6608.73)</f>
        <v>6608.73</v>
      </c>
      <c r="J2674" s="5">
        <f>IFERROR(__xludf.DUMMYFUNCTION("""COMPUTED_VALUE"""),2956.31)</f>
        <v>2956.31</v>
      </c>
      <c r="K2674" s="5">
        <f>IFERROR(__xludf.DUMMYFUNCTION("""COMPUTED_VALUE"""),1872.36)</f>
        <v>1872.36</v>
      </c>
      <c r="L2674" s="4">
        <f>IFERROR(__xludf.DUMMYFUNCTION("""COMPUTED_VALUE"""),1.0)</f>
        <v>1</v>
      </c>
      <c r="M2674" s="4">
        <f>IFERROR(__xludf.DUMMYFUNCTION("""COMPUTED_VALUE"""),1.0)</f>
        <v>1</v>
      </c>
      <c r="N2674" s="2" t="b">
        <f>IFERROR(__xludf.DUMMYFUNCTION("""COMPUTED_VALUE"""),FALSE)</f>
        <v>0</v>
      </c>
    </row>
    <row r="2675">
      <c r="A2675" s="2">
        <f>IFERROR(__xludf.DUMMYFUNCTION("""COMPUTED_VALUE"""),2674.0)</f>
        <v>2674</v>
      </c>
      <c r="B2675" s="2" t="str">
        <f>IFERROR(__xludf.DUMMYFUNCTION("""COMPUTED_VALUE"""),"Lucilia Buzza")</f>
        <v>Lucilia Buzza</v>
      </c>
      <c r="C2675" s="2" t="str">
        <f>IFERROR(__xludf.DUMMYFUNCTION("""COMPUTED_VALUE"""),"lbuzzaiq@bluehost.com")</f>
        <v>lbuzzaiq@bluehost.com</v>
      </c>
      <c r="D2675" s="4">
        <f>IFERROR(__xludf.DUMMYFUNCTION("""COMPUTED_VALUE"""),19.0)</f>
        <v>19</v>
      </c>
      <c r="E2675" s="4">
        <f>IFERROR(__xludf.DUMMYFUNCTION("""COMPUTED_VALUE"""),29.0)</f>
        <v>29</v>
      </c>
      <c r="F2675" s="4">
        <f>IFERROR(__xludf.DUMMYFUNCTION("""COMPUTED_VALUE"""),3.0)</f>
        <v>3</v>
      </c>
      <c r="G2675" s="4">
        <f>IFERROR(__xludf.DUMMYFUNCTION("""COMPUTED_VALUE"""),1078.0)</f>
        <v>1078</v>
      </c>
      <c r="H2675" s="5">
        <f>IFERROR(__xludf.DUMMYFUNCTION("""COMPUTED_VALUE"""),9337.95)</f>
        <v>9337.95</v>
      </c>
      <c r="I2675" s="5">
        <f>IFERROR(__xludf.DUMMYFUNCTION("""COMPUTED_VALUE"""),2705.92)</f>
        <v>2705.92</v>
      </c>
      <c r="J2675" s="5">
        <f>IFERROR(__xludf.DUMMYFUNCTION("""COMPUTED_VALUE"""),3523.94)</f>
        <v>3523.94</v>
      </c>
      <c r="K2675" s="5">
        <f>IFERROR(__xludf.DUMMYFUNCTION("""COMPUTED_VALUE"""),8650.16)</f>
        <v>8650.16</v>
      </c>
      <c r="L2675" s="4">
        <f>IFERROR(__xludf.DUMMYFUNCTION("""COMPUTED_VALUE"""),17.0)</f>
        <v>17</v>
      </c>
      <c r="M2675" s="4">
        <f>IFERROR(__xludf.DUMMYFUNCTION("""COMPUTED_VALUE"""),60.0)</f>
        <v>60</v>
      </c>
      <c r="N2675" s="2" t="b">
        <f>IFERROR(__xludf.DUMMYFUNCTION("""COMPUTED_VALUE"""),FALSE)</f>
        <v>0</v>
      </c>
    </row>
    <row r="2676">
      <c r="A2676" s="2">
        <f>IFERROR(__xludf.DUMMYFUNCTION("""COMPUTED_VALUE"""),2675.0)</f>
        <v>2675</v>
      </c>
      <c r="B2676" s="2" t="str">
        <f>IFERROR(__xludf.DUMMYFUNCTION("""COMPUTED_VALUE"""),"Guenevere Sothern")</f>
        <v>Guenevere Sothern</v>
      </c>
      <c r="C2676" s="2"/>
      <c r="D2676" s="4">
        <f>IFERROR(__xludf.DUMMYFUNCTION("""COMPUTED_VALUE"""),91.0)</f>
        <v>91</v>
      </c>
      <c r="E2676" s="4">
        <f>IFERROR(__xludf.DUMMYFUNCTION("""COMPUTED_VALUE"""),29.0)</f>
        <v>29</v>
      </c>
      <c r="F2676" s="4">
        <f>IFERROR(__xludf.DUMMYFUNCTION("""COMPUTED_VALUE"""),8.0)</f>
        <v>8</v>
      </c>
      <c r="G2676" s="4">
        <f>IFERROR(__xludf.DUMMYFUNCTION("""COMPUTED_VALUE"""),405.0)</f>
        <v>405</v>
      </c>
      <c r="H2676" s="5">
        <f>IFERROR(__xludf.DUMMYFUNCTION("""COMPUTED_VALUE"""),2412.79)</f>
        <v>2412.79</v>
      </c>
      <c r="I2676" s="5">
        <f>IFERROR(__xludf.DUMMYFUNCTION("""COMPUTED_VALUE"""),7103.45)</f>
        <v>7103.45</v>
      </c>
      <c r="J2676" s="5">
        <f>IFERROR(__xludf.DUMMYFUNCTION("""COMPUTED_VALUE"""),3573.71)</f>
        <v>3573.71</v>
      </c>
      <c r="K2676" s="5">
        <f>IFERROR(__xludf.DUMMYFUNCTION("""COMPUTED_VALUE"""),2288.55)</f>
        <v>2288.55</v>
      </c>
      <c r="L2676" s="4">
        <f>IFERROR(__xludf.DUMMYFUNCTION("""COMPUTED_VALUE"""),17.0)</f>
        <v>17</v>
      </c>
      <c r="M2676" s="4">
        <f>IFERROR(__xludf.DUMMYFUNCTION("""COMPUTED_VALUE"""),74.0)</f>
        <v>74</v>
      </c>
      <c r="N2676" s="2" t="b">
        <f>IFERROR(__xludf.DUMMYFUNCTION("""COMPUTED_VALUE"""),TRUE)</f>
        <v>1</v>
      </c>
    </row>
    <row r="2677">
      <c r="A2677" s="2">
        <f>IFERROR(__xludf.DUMMYFUNCTION("""COMPUTED_VALUE"""),2676.0)</f>
        <v>2676</v>
      </c>
      <c r="B2677" s="2" t="str">
        <f>IFERROR(__xludf.DUMMYFUNCTION("""COMPUTED_VALUE"""),"Ignace Eby")</f>
        <v>Ignace Eby</v>
      </c>
      <c r="C2677" s="2"/>
      <c r="D2677" s="4">
        <f>IFERROR(__xludf.DUMMYFUNCTION("""COMPUTED_VALUE"""),83.0)</f>
        <v>83</v>
      </c>
      <c r="E2677" s="4">
        <f>IFERROR(__xludf.DUMMYFUNCTION("""COMPUTED_VALUE"""),76.0)</f>
        <v>76</v>
      </c>
      <c r="F2677" s="4">
        <f>IFERROR(__xludf.DUMMYFUNCTION("""COMPUTED_VALUE"""),6.0)</f>
        <v>6</v>
      </c>
      <c r="G2677" s="4">
        <f>IFERROR(__xludf.DUMMYFUNCTION("""COMPUTED_VALUE"""),81.0)</f>
        <v>81</v>
      </c>
      <c r="H2677" s="5">
        <f>IFERROR(__xludf.DUMMYFUNCTION("""COMPUTED_VALUE"""),231.95)</f>
        <v>231.95</v>
      </c>
      <c r="I2677" s="5">
        <f>IFERROR(__xludf.DUMMYFUNCTION("""COMPUTED_VALUE"""),2107.1)</f>
        <v>2107.1</v>
      </c>
      <c r="J2677" s="5">
        <f>IFERROR(__xludf.DUMMYFUNCTION("""COMPUTED_VALUE"""),6428.16)</f>
        <v>6428.16</v>
      </c>
      <c r="K2677" s="5">
        <f>IFERROR(__xludf.DUMMYFUNCTION("""COMPUTED_VALUE"""),5303.83)</f>
        <v>5303.83</v>
      </c>
      <c r="L2677" s="4">
        <f>IFERROR(__xludf.DUMMYFUNCTION("""COMPUTED_VALUE"""),6.0)</f>
        <v>6</v>
      </c>
      <c r="M2677" s="4">
        <f>IFERROR(__xludf.DUMMYFUNCTION("""COMPUTED_VALUE"""),65.0)</f>
        <v>65</v>
      </c>
      <c r="N2677" s="2" t="b">
        <f>IFERROR(__xludf.DUMMYFUNCTION("""COMPUTED_VALUE"""),FALSE)</f>
        <v>0</v>
      </c>
    </row>
    <row r="2678">
      <c r="A2678" s="2">
        <f>IFERROR(__xludf.DUMMYFUNCTION("""COMPUTED_VALUE"""),2677.0)</f>
        <v>2677</v>
      </c>
      <c r="B2678" s="2" t="str">
        <f>IFERROR(__xludf.DUMMYFUNCTION("""COMPUTED_VALUE"""),"Maddy Peddel")</f>
        <v>Maddy Peddel</v>
      </c>
      <c r="C2678" s="2"/>
      <c r="D2678" s="4">
        <f>IFERROR(__xludf.DUMMYFUNCTION("""COMPUTED_VALUE"""),140.0)</f>
        <v>140</v>
      </c>
      <c r="E2678" s="4">
        <f>IFERROR(__xludf.DUMMYFUNCTION("""COMPUTED_VALUE"""),49.0)</f>
        <v>49</v>
      </c>
      <c r="F2678" s="4">
        <f>IFERROR(__xludf.DUMMYFUNCTION("""COMPUTED_VALUE"""),13.0)</f>
        <v>13</v>
      </c>
      <c r="G2678" s="4">
        <f>IFERROR(__xludf.DUMMYFUNCTION("""COMPUTED_VALUE"""),172.0)</f>
        <v>172</v>
      </c>
      <c r="H2678" s="5">
        <f>IFERROR(__xludf.DUMMYFUNCTION("""COMPUTED_VALUE"""),9599.91)</f>
        <v>9599.91</v>
      </c>
      <c r="I2678" s="5">
        <f>IFERROR(__xludf.DUMMYFUNCTION("""COMPUTED_VALUE"""),163.43)</f>
        <v>163.43</v>
      </c>
      <c r="J2678" s="5">
        <f>IFERROR(__xludf.DUMMYFUNCTION("""COMPUTED_VALUE"""),303.71)</f>
        <v>303.71</v>
      </c>
      <c r="K2678" s="5">
        <f>IFERROR(__xludf.DUMMYFUNCTION("""COMPUTED_VALUE"""),8191.2)</f>
        <v>8191.2</v>
      </c>
      <c r="L2678" s="4">
        <f>IFERROR(__xludf.DUMMYFUNCTION("""COMPUTED_VALUE"""),12.0)</f>
        <v>12</v>
      </c>
      <c r="M2678" s="4">
        <f>IFERROR(__xludf.DUMMYFUNCTION("""COMPUTED_VALUE"""),19.0)</f>
        <v>19</v>
      </c>
      <c r="N2678" s="2" t="b">
        <f>IFERROR(__xludf.DUMMYFUNCTION("""COMPUTED_VALUE"""),FALSE)</f>
        <v>0</v>
      </c>
    </row>
    <row r="2679">
      <c r="A2679" s="2">
        <f>IFERROR(__xludf.DUMMYFUNCTION("""COMPUTED_VALUE"""),2678.0)</f>
        <v>2678</v>
      </c>
      <c r="B2679" s="2" t="str">
        <f>IFERROR(__xludf.DUMMYFUNCTION("""COMPUTED_VALUE"""),"Roselia Jurek")</f>
        <v>Roselia Jurek</v>
      </c>
      <c r="C2679" s="2" t="str">
        <f>IFERROR(__xludf.DUMMYFUNCTION("""COMPUTED_VALUE"""),"rjurekiu@samsung.com")</f>
        <v>rjurekiu@samsung.com</v>
      </c>
      <c r="D2679" s="4">
        <f>IFERROR(__xludf.DUMMYFUNCTION("""COMPUTED_VALUE"""),40.0)</f>
        <v>40</v>
      </c>
      <c r="E2679" s="4">
        <f>IFERROR(__xludf.DUMMYFUNCTION("""COMPUTED_VALUE"""),6.0)</f>
        <v>6</v>
      </c>
      <c r="F2679" s="4">
        <f>IFERROR(__xludf.DUMMYFUNCTION("""COMPUTED_VALUE"""),7.0)</f>
        <v>7</v>
      </c>
      <c r="G2679" s="4">
        <f>IFERROR(__xludf.DUMMYFUNCTION("""COMPUTED_VALUE"""),286.0)</f>
        <v>286</v>
      </c>
      <c r="H2679" s="5">
        <f>IFERROR(__xludf.DUMMYFUNCTION("""COMPUTED_VALUE"""),56.94)</f>
        <v>56.94</v>
      </c>
      <c r="I2679" s="5">
        <f>IFERROR(__xludf.DUMMYFUNCTION("""COMPUTED_VALUE"""),6482.24)</f>
        <v>6482.24</v>
      </c>
      <c r="J2679" s="5">
        <f>IFERROR(__xludf.DUMMYFUNCTION("""COMPUTED_VALUE"""),2000.53)</f>
        <v>2000.53</v>
      </c>
      <c r="K2679" s="5">
        <f>IFERROR(__xludf.DUMMYFUNCTION("""COMPUTED_VALUE"""),3137.23)</f>
        <v>3137.23</v>
      </c>
      <c r="L2679" s="4">
        <f>IFERROR(__xludf.DUMMYFUNCTION("""COMPUTED_VALUE"""),13.0)</f>
        <v>13</v>
      </c>
      <c r="M2679" s="4">
        <f>IFERROR(__xludf.DUMMYFUNCTION("""COMPUTED_VALUE"""),84.0)</f>
        <v>84</v>
      </c>
      <c r="N2679" s="2" t="b">
        <f>IFERROR(__xludf.DUMMYFUNCTION("""COMPUTED_VALUE"""),TRUE)</f>
        <v>1</v>
      </c>
    </row>
    <row r="2680">
      <c r="A2680" s="2">
        <f>IFERROR(__xludf.DUMMYFUNCTION("""COMPUTED_VALUE"""),2679.0)</f>
        <v>2679</v>
      </c>
      <c r="B2680" s="2" t="str">
        <f>IFERROR(__xludf.DUMMYFUNCTION("""COMPUTED_VALUE"""),"Michele China")</f>
        <v>Michele China</v>
      </c>
      <c r="C2680" s="2"/>
      <c r="D2680" s="4">
        <f>IFERROR(__xludf.DUMMYFUNCTION("""COMPUTED_VALUE"""),46.0)</f>
        <v>46</v>
      </c>
      <c r="E2680" s="4">
        <f>IFERROR(__xludf.DUMMYFUNCTION("""COMPUTED_VALUE"""),54.0)</f>
        <v>54</v>
      </c>
      <c r="F2680" s="4">
        <f>IFERROR(__xludf.DUMMYFUNCTION("""COMPUTED_VALUE"""),7.0)</f>
        <v>7</v>
      </c>
      <c r="G2680" s="4">
        <f>IFERROR(__xludf.DUMMYFUNCTION("""COMPUTED_VALUE"""),240.0)</f>
        <v>240</v>
      </c>
      <c r="H2680" s="5">
        <f>IFERROR(__xludf.DUMMYFUNCTION("""COMPUTED_VALUE"""),4661.42)</f>
        <v>4661.42</v>
      </c>
      <c r="I2680" s="5">
        <f>IFERROR(__xludf.DUMMYFUNCTION("""COMPUTED_VALUE"""),7792.89)</f>
        <v>7792.89</v>
      </c>
      <c r="J2680" s="5">
        <f>IFERROR(__xludf.DUMMYFUNCTION("""COMPUTED_VALUE"""),2960.38)</f>
        <v>2960.38</v>
      </c>
      <c r="K2680" s="5">
        <f>IFERROR(__xludf.DUMMYFUNCTION("""COMPUTED_VALUE"""),6652.56)</f>
        <v>6652.56</v>
      </c>
      <c r="L2680" s="4">
        <f>IFERROR(__xludf.DUMMYFUNCTION("""COMPUTED_VALUE"""),14.0)</f>
        <v>14</v>
      </c>
      <c r="M2680" s="4">
        <f>IFERROR(__xludf.DUMMYFUNCTION("""COMPUTED_VALUE"""),84.0)</f>
        <v>84</v>
      </c>
      <c r="N2680" s="2" t="b">
        <f>IFERROR(__xludf.DUMMYFUNCTION("""COMPUTED_VALUE"""),TRUE)</f>
        <v>1</v>
      </c>
    </row>
    <row r="2681">
      <c r="A2681" s="2">
        <f>IFERROR(__xludf.DUMMYFUNCTION("""COMPUTED_VALUE"""),2680.0)</f>
        <v>2680</v>
      </c>
      <c r="B2681" s="2" t="str">
        <f>IFERROR(__xludf.DUMMYFUNCTION("""COMPUTED_VALUE"""),"Marcela Blakeney")</f>
        <v>Marcela Blakeney</v>
      </c>
      <c r="C2681" s="2" t="str">
        <f>IFERROR(__xludf.DUMMYFUNCTION("""COMPUTED_VALUE"""),"mblakeneyiw@homestead.com")</f>
        <v>mblakeneyiw@homestead.com</v>
      </c>
      <c r="D2681" s="4">
        <f>IFERROR(__xludf.DUMMYFUNCTION("""COMPUTED_VALUE"""),55.0)</f>
        <v>55</v>
      </c>
      <c r="E2681" s="4">
        <f>IFERROR(__xludf.DUMMYFUNCTION("""COMPUTED_VALUE"""),94.0)</f>
        <v>94</v>
      </c>
      <c r="F2681" s="4">
        <f>IFERROR(__xludf.DUMMYFUNCTION("""COMPUTED_VALUE"""),10.0)</f>
        <v>10</v>
      </c>
      <c r="G2681" s="4">
        <f>IFERROR(__xludf.DUMMYFUNCTION("""COMPUTED_VALUE"""),1192.0)</f>
        <v>1192</v>
      </c>
      <c r="H2681" s="5">
        <f>IFERROR(__xludf.DUMMYFUNCTION("""COMPUTED_VALUE"""),7567.93)</f>
        <v>7567.93</v>
      </c>
      <c r="I2681" s="5">
        <f>IFERROR(__xludf.DUMMYFUNCTION("""COMPUTED_VALUE"""),3651.83)</f>
        <v>3651.83</v>
      </c>
      <c r="J2681" s="5">
        <f>IFERROR(__xludf.DUMMYFUNCTION("""COMPUTED_VALUE"""),5256.41)</f>
        <v>5256.41</v>
      </c>
      <c r="K2681" s="5">
        <f>IFERROR(__xludf.DUMMYFUNCTION("""COMPUTED_VALUE"""),2736.47)</f>
        <v>2736.47</v>
      </c>
      <c r="L2681" s="4">
        <f>IFERROR(__xludf.DUMMYFUNCTION("""COMPUTED_VALUE"""),10.0)</f>
        <v>10</v>
      </c>
      <c r="M2681" s="4">
        <f>IFERROR(__xludf.DUMMYFUNCTION("""COMPUTED_VALUE"""),19.0)</f>
        <v>19</v>
      </c>
      <c r="N2681" s="2" t="b">
        <f>IFERROR(__xludf.DUMMYFUNCTION("""COMPUTED_VALUE"""),FALSE)</f>
        <v>0</v>
      </c>
    </row>
    <row r="2682">
      <c r="A2682" s="2">
        <f>IFERROR(__xludf.DUMMYFUNCTION("""COMPUTED_VALUE"""),2681.0)</f>
        <v>2681</v>
      </c>
      <c r="B2682" s="2" t="str">
        <f>IFERROR(__xludf.DUMMYFUNCTION("""COMPUTED_VALUE"""),"Dorri Gingles")</f>
        <v>Dorri Gingles</v>
      </c>
      <c r="C2682" s="2"/>
      <c r="D2682" s="4">
        <f>IFERROR(__xludf.DUMMYFUNCTION("""COMPUTED_VALUE"""),120.0)</f>
        <v>120</v>
      </c>
      <c r="E2682" s="4">
        <f>IFERROR(__xludf.DUMMYFUNCTION("""COMPUTED_VALUE"""),14.0)</f>
        <v>14</v>
      </c>
      <c r="F2682" s="4">
        <f>IFERROR(__xludf.DUMMYFUNCTION("""COMPUTED_VALUE"""),5.0)</f>
        <v>5</v>
      </c>
      <c r="G2682" s="4">
        <f>IFERROR(__xludf.DUMMYFUNCTION("""COMPUTED_VALUE"""),149.0)</f>
        <v>149</v>
      </c>
      <c r="H2682" s="5">
        <f>IFERROR(__xludf.DUMMYFUNCTION("""COMPUTED_VALUE"""),2516.68)</f>
        <v>2516.68</v>
      </c>
      <c r="I2682" s="5">
        <f>IFERROR(__xludf.DUMMYFUNCTION("""COMPUTED_VALUE"""),6532.98)</f>
        <v>6532.98</v>
      </c>
      <c r="J2682" s="5">
        <f>IFERROR(__xludf.DUMMYFUNCTION("""COMPUTED_VALUE"""),520.24)</f>
        <v>520.24</v>
      </c>
      <c r="K2682" s="5">
        <f>IFERROR(__xludf.DUMMYFUNCTION("""COMPUTED_VALUE"""),4179.69)</f>
        <v>4179.69</v>
      </c>
      <c r="L2682" s="4">
        <f>IFERROR(__xludf.DUMMYFUNCTION("""COMPUTED_VALUE"""),12.0)</f>
        <v>12</v>
      </c>
      <c r="M2682" s="4">
        <f>IFERROR(__xludf.DUMMYFUNCTION("""COMPUTED_VALUE"""),13.0)</f>
        <v>13</v>
      </c>
      <c r="N2682" s="2" t="b">
        <f>IFERROR(__xludf.DUMMYFUNCTION("""COMPUTED_VALUE"""),TRUE)</f>
        <v>1</v>
      </c>
    </row>
    <row r="2683">
      <c r="A2683" s="2">
        <f>IFERROR(__xludf.DUMMYFUNCTION("""COMPUTED_VALUE"""),2682.0)</f>
        <v>2682</v>
      </c>
      <c r="B2683" s="2" t="str">
        <f>IFERROR(__xludf.DUMMYFUNCTION("""COMPUTED_VALUE"""),"Isabel Haggart")</f>
        <v>Isabel Haggart</v>
      </c>
      <c r="C2683" s="2" t="str">
        <f>IFERROR(__xludf.DUMMYFUNCTION("""COMPUTED_VALUE"""),"ihaggartiy@ibm.com")</f>
        <v>ihaggartiy@ibm.com</v>
      </c>
      <c r="D2683" s="4">
        <f>IFERROR(__xludf.DUMMYFUNCTION("""COMPUTED_VALUE"""),23.0)</f>
        <v>23</v>
      </c>
      <c r="E2683" s="4">
        <f>IFERROR(__xludf.DUMMYFUNCTION("""COMPUTED_VALUE"""),37.0)</f>
        <v>37</v>
      </c>
      <c r="F2683" s="4">
        <f>IFERROR(__xludf.DUMMYFUNCTION("""COMPUTED_VALUE"""),1.0)</f>
        <v>1</v>
      </c>
      <c r="G2683" s="4">
        <f>IFERROR(__xludf.DUMMYFUNCTION("""COMPUTED_VALUE"""),139.0)</f>
        <v>139</v>
      </c>
      <c r="H2683" s="5">
        <f>IFERROR(__xludf.DUMMYFUNCTION("""COMPUTED_VALUE"""),8451.55)</f>
        <v>8451.55</v>
      </c>
      <c r="I2683" s="5">
        <f>IFERROR(__xludf.DUMMYFUNCTION("""COMPUTED_VALUE"""),9792.99)</f>
        <v>9792.99</v>
      </c>
      <c r="J2683" s="5">
        <f>IFERROR(__xludf.DUMMYFUNCTION("""COMPUTED_VALUE"""),2151.54)</f>
        <v>2151.54</v>
      </c>
      <c r="K2683" s="5">
        <f>IFERROR(__xludf.DUMMYFUNCTION("""COMPUTED_VALUE"""),2355.52)</f>
        <v>2355.52</v>
      </c>
      <c r="L2683" s="4">
        <f>IFERROR(__xludf.DUMMYFUNCTION("""COMPUTED_VALUE"""),8.0)</f>
        <v>8</v>
      </c>
      <c r="M2683" s="4">
        <f>IFERROR(__xludf.DUMMYFUNCTION("""COMPUTED_VALUE"""),35.0)</f>
        <v>35</v>
      </c>
      <c r="N2683" s="2" t="b">
        <f>IFERROR(__xludf.DUMMYFUNCTION("""COMPUTED_VALUE"""),TRUE)</f>
        <v>1</v>
      </c>
    </row>
    <row r="2684">
      <c r="A2684" s="2">
        <f>IFERROR(__xludf.DUMMYFUNCTION("""COMPUTED_VALUE"""),2683.0)</f>
        <v>2683</v>
      </c>
      <c r="B2684" s="2" t="str">
        <f>IFERROR(__xludf.DUMMYFUNCTION("""COMPUTED_VALUE"""),"Renata Sperling")</f>
        <v>Renata Sperling</v>
      </c>
      <c r="C2684" s="2"/>
      <c r="D2684" s="4">
        <f>IFERROR(__xludf.DUMMYFUNCTION("""COMPUTED_VALUE"""),22.0)</f>
        <v>22</v>
      </c>
      <c r="E2684" s="4">
        <f>IFERROR(__xludf.DUMMYFUNCTION("""COMPUTED_VALUE"""),4.0)</f>
        <v>4</v>
      </c>
      <c r="F2684" s="4">
        <f>IFERROR(__xludf.DUMMYFUNCTION("""COMPUTED_VALUE"""),7.0)</f>
        <v>7</v>
      </c>
      <c r="G2684" s="4">
        <f>IFERROR(__xludf.DUMMYFUNCTION("""COMPUTED_VALUE"""),1077.0)</f>
        <v>1077</v>
      </c>
      <c r="H2684" s="5">
        <f>IFERROR(__xludf.DUMMYFUNCTION("""COMPUTED_VALUE"""),264.72)</f>
        <v>264.72</v>
      </c>
      <c r="I2684" s="5">
        <f>IFERROR(__xludf.DUMMYFUNCTION("""COMPUTED_VALUE"""),7596.71)</f>
        <v>7596.71</v>
      </c>
      <c r="J2684" s="5">
        <f>IFERROR(__xludf.DUMMYFUNCTION("""COMPUTED_VALUE"""),6383.77)</f>
        <v>6383.77</v>
      </c>
      <c r="K2684" s="5">
        <f>IFERROR(__xludf.DUMMYFUNCTION("""COMPUTED_VALUE"""),727.58)</f>
        <v>727.58</v>
      </c>
      <c r="L2684" s="4">
        <f>IFERROR(__xludf.DUMMYFUNCTION("""COMPUTED_VALUE"""),4.0)</f>
        <v>4</v>
      </c>
      <c r="M2684" s="4">
        <f>IFERROR(__xludf.DUMMYFUNCTION("""COMPUTED_VALUE"""),49.0)</f>
        <v>49</v>
      </c>
      <c r="N2684" s="2" t="b">
        <f>IFERROR(__xludf.DUMMYFUNCTION("""COMPUTED_VALUE"""),TRUE)</f>
        <v>1</v>
      </c>
    </row>
    <row r="2685">
      <c r="A2685" s="2">
        <f>IFERROR(__xludf.DUMMYFUNCTION("""COMPUTED_VALUE"""),2684.0)</f>
        <v>2684</v>
      </c>
      <c r="B2685" s="2" t="str">
        <f>IFERROR(__xludf.DUMMYFUNCTION("""COMPUTED_VALUE"""),"Monroe Coyne")</f>
        <v>Monroe Coyne</v>
      </c>
      <c r="C2685" s="2" t="str">
        <f>IFERROR(__xludf.DUMMYFUNCTION("""COMPUTED_VALUE"""),"mcoynej0@businesswire.com")</f>
        <v>mcoynej0@businesswire.com</v>
      </c>
      <c r="D2685" s="4">
        <f>IFERROR(__xludf.DUMMYFUNCTION("""COMPUTED_VALUE"""),158.0)</f>
        <v>158</v>
      </c>
      <c r="E2685" s="4">
        <f>IFERROR(__xludf.DUMMYFUNCTION("""COMPUTED_VALUE"""),57.0)</f>
        <v>57</v>
      </c>
      <c r="F2685" s="4">
        <f>IFERROR(__xludf.DUMMYFUNCTION("""COMPUTED_VALUE"""),9.0)</f>
        <v>9</v>
      </c>
      <c r="G2685" s="4">
        <f>IFERROR(__xludf.DUMMYFUNCTION("""COMPUTED_VALUE"""),969.0)</f>
        <v>969</v>
      </c>
      <c r="H2685" s="5">
        <f>IFERROR(__xludf.DUMMYFUNCTION("""COMPUTED_VALUE"""),4964.75)</f>
        <v>4964.75</v>
      </c>
      <c r="I2685" s="5">
        <f>IFERROR(__xludf.DUMMYFUNCTION("""COMPUTED_VALUE"""),5920.41)</f>
        <v>5920.41</v>
      </c>
      <c r="J2685" s="5">
        <f>IFERROR(__xludf.DUMMYFUNCTION("""COMPUTED_VALUE"""),5992.45)</f>
        <v>5992.45</v>
      </c>
      <c r="K2685" s="5">
        <f>IFERROR(__xludf.DUMMYFUNCTION("""COMPUTED_VALUE"""),3852.17)</f>
        <v>3852.17</v>
      </c>
      <c r="L2685" s="4">
        <f>IFERROR(__xludf.DUMMYFUNCTION("""COMPUTED_VALUE"""),17.0)</f>
        <v>17</v>
      </c>
      <c r="M2685" s="4">
        <f>IFERROR(__xludf.DUMMYFUNCTION("""COMPUTED_VALUE"""),61.0)</f>
        <v>61</v>
      </c>
      <c r="N2685" s="2" t="b">
        <f>IFERROR(__xludf.DUMMYFUNCTION("""COMPUTED_VALUE"""),TRUE)</f>
        <v>1</v>
      </c>
    </row>
    <row r="2686">
      <c r="A2686" s="2">
        <f>IFERROR(__xludf.DUMMYFUNCTION("""COMPUTED_VALUE"""),2685.0)</f>
        <v>2685</v>
      </c>
      <c r="B2686" s="2" t="str">
        <f>IFERROR(__xludf.DUMMYFUNCTION("""COMPUTED_VALUE"""),"Gay Knoble")</f>
        <v>Gay Knoble</v>
      </c>
      <c r="C2686" s="2"/>
      <c r="D2686" s="4">
        <f>IFERROR(__xludf.DUMMYFUNCTION("""COMPUTED_VALUE"""),69.0)</f>
        <v>69</v>
      </c>
      <c r="E2686" s="4">
        <f>IFERROR(__xludf.DUMMYFUNCTION("""COMPUTED_VALUE"""),84.0)</f>
        <v>84</v>
      </c>
      <c r="F2686" s="4">
        <f>IFERROR(__xludf.DUMMYFUNCTION("""COMPUTED_VALUE"""),9.0)</f>
        <v>9</v>
      </c>
      <c r="G2686" s="4">
        <f>IFERROR(__xludf.DUMMYFUNCTION("""COMPUTED_VALUE"""),1506.0)</f>
        <v>1506</v>
      </c>
      <c r="H2686" s="5">
        <f>IFERROR(__xludf.DUMMYFUNCTION("""COMPUTED_VALUE"""),1001.43)</f>
        <v>1001.43</v>
      </c>
      <c r="I2686" s="5">
        <f>IFERROR(__xludf.DUMMYFUNCTION("""COMPUTED_VALUE"""),4505.65)</f>
        <v>4505.65</v>
      </c>
      <c r="J2686" s="5">
        <f>IFERROR(__xludf.DUMMYFUNCTION("""COMPUTED_VALUE"""),8971.41)</f>
        <v>8971.41</v>
      </c>
      <c r="K2686" s="5">
        <f>IFERROR(__xludf.DUMMYFUNCTION("""COMPUTED_VALUE"""),540.11)</f>
        <v>540.11</v>
      </c>
      <c r="L2686" s="4">
        <f>IFERROR(__xludf.DUMMYFUNCTION("""COMPUTED_VALUE"""),10.0)</f>
        <v>10</v>
      </c>
      <c r="M2686" s="4">
        <f>IFERROR(__xludf.DUMMYFUNCTION("""COMPUTED_VALUE"""),41.0)</f>
        <v>41</v>
      </c>
      <c r="N2686" s="2" t="b">
        <f>IFERROR(__xludf.DUMMYFUNCTION("""COMPUTED_VALUE"""),TRUE)</f>
        <v>1</v>
      </c>
    </row>
    <row r="2687">
      <c r="A2687" s="2">
        <f>IFERROR(__xludf.DUMMYFUNCTION("""COMPUTED_VALUE"""),2686.0)</f>
        <v>2686</v>
      </c>
      <c r="B2687" s="2" t="str">
        <f>IFERROR(__xludf.DUMMYFUNCTION("""COMPUTED_VALUE"""),"Coleman Atwood")</f>
        <v>Coleman Atwood</v>
      </c>
      <c r="C2687" s="2"/>
      <c r="D2687" s="4">
        <f>IFERROR(__xludf.DUMMYFUNCTION("""COMPUTED_VALUE"""),63.0)</f>
        <v>63</v>
      </c>
      <c r="E2687" s="4">
        <f>IFERROR(__xludf.DUMMYFUNCTION("""COMPUTED_VALUE"""),53.0)</f>
        <v>53</v>
      </c>
      <c r="F2687" s="4">
        <f>IFERROR(__xludf.DUMMYFUNCTION("""COMPUTED_VALUE"""),4.0)</f>
        <v>4</v>
      </c>
      <c r="G2687" s="4">
        <f>IFERROR(__xludf.DUMMYFUNCTION("""COMPUTED_VALUE"""),364.0)</f>
        <v>364</v>
      </c>
      <c r="H2687" s="5">
        <f>IFERROR(__xludf.DUMMYFUNCTION("""COMPUTED_VALUE"""),1027.98)</f>
        <v>1027.98</v>
      </c>
      <c r="I2687" s="5">
        <f>IFERROR(__xludf.DUMMYFUNCTION("""COMPUTED_VALUE"""),9277.91)</f>
        <v>9277.91</v>
      </c>
      <c r="J2687" s="5">
        <f>IFERROR(__xludf.DUMMYFUNCTION("""COMPUTED_VALUE"""),8118.65)</f>
        <v>8118.65</v>
      </c>
      <c r="K2687" s="5">
        <f>IFERROR(__xludf.DUMMYFUNCTION("""COMPUTED_VALUE"""),8280.21)</f>
        <v>8280.21</v>
      </c>
      <c r="L2687" s="4">
        <f>IFERROR(__xludf.DUMMYFUNCTION("""COMPUTED_VALUE"""),3.0)</f>
        <v>3</v>
      </c>
      <c r="M2687" s="4">
        <f>IFERROR(__xludf.DUMMYFUNCTION("""COMPUTED_VALUE"""),51.0)</f>
        <v>51</v>
      </c>
      <c r="N2687" s="2" t="b">
        <f>IFERROR(__xludf.DUMMYFUNCTION("""COMPUTED_VALUE"""),FALSE)</f>
        <v>0</v>
      </c>
    </row>
    <row r="2688">
      <c r="A2688" s="2">
        <f>IFERROR(__xludf.DUMMYFUNCTION("""COMPUTED_VALUE"""),2687.0)</f>
        <v>2687</v>
      </c>
      <c r="B2688" s="2" t="str">
        <f>IFERROR(__xludf.DUMMYFUNCTION("""COMPUTED_VALUE"""),"Brandtr Humblestone")</f>
        <v>Brandtr Humblestone</v>
      </c>
      <c r="C2688" s="2" t="str">
        <f>IFERROR(__xludf.DUMMYFUNCTION("""COMPUTED_VALUE"""),"bhumblestonej3@harvard.edu")</f>
        <v>bhumblestonej3@harvard.edu</v>
      </c>
      <c r="D2688" s="4">
        <f>IFERROR(__xludf.DUMMYFUNCTION("""COMPUTED_VALUE"""),77.0)</f>
        <v>77</v>
      </c>
      <c r="E2688" s="4">
        <f>IFERROR(__xludf.DUMMYFUNCTION("""COMPUTED_VALUE"""),109.0)</f>
        <v>109</v>
      </c>
      <c r="F2688" s="4">
        <f>IFERROR(__xludf.DUMMYFUNCTION("""COMPUTED_VALUE"""),13.0)</f>
        <v>13</v>
      </c>
      <c r="G2688" s="4">
        <f>IFERROR(__xludf.DUMMYFUNCTION("""COMPUTED_VALUE"""),1064.0)</f>
        <v>1064</v>
      </c>
      <c r="H2688" s="5">
        <f>IFERROR(__xludf.DUMMYFUNCTION("""COMPUTED_VALUE"""),7636.7)</f>
        <v>7636.7</v>
      </c>
      <c r="I2688" s="5">
        <f>IFERROR(__xludf.DUMMYFUNCTION("""COMPUTED_VALUE"""),1647.08)</f>
        <v>1647.08</v>
      </c>
      <c r="J2688" s="5">
        <f>IFERROR(__xludf.DUMMYFUNCTION("""COMPUTED_VALUE"""),5226.02)</f>
        <v>5226.02</v>
      </c>
      <c r="K2688" s="5">
        <f>IFERROR(__xludf.DUMMYFUNCTION("""COMPUTED_VALUE"""),2349.1)</f>
        <v>2349.1</v>
      </c>
      <c r="L2688" s="4">
        <f>IFERROR(__xludf.DUMMYFUNCTION("""COMPUTED_VALUE"""),20.0)</f>
        <v>20</v>
      </c>
      <c r="M2688" s="4">
        <f>IFERROR(__xludf.DUMMYFUNCTION("""COMPUTED_VALUE"""),53.0)</f>
        <v>53</v>
      </c>
      <c r="N2688" s="2" t="b">
        <f>IFERROR(__xludf.DUMMYFUNCTION("""COMPUTED_VALUE"""),TRUE)</f>
        <v>1</v>
      </c>
    </row>
    <row r="2689">
      <c r="A2689" s="2">
        <f>IFERROR(__xludf.DUMMYFUNCTION("""COMPUTED_VALUE"""),2688.0)</f>
        <v>2688</v>
      </c>
      <c r="B2689" s="2" t="str">
        <f>IFERROR(__xludf.DUMMYFUNCTION("""COMPUTED_VALUE"""),"Cathryn Questier")</f>
        <v>Cathryn Questier</v>
      </c>
      <c r="C2689" s="2" t="str">
        <f>IFERROR(__xludf.DUMMYFUNCTION("""COMPUTED_VALUE"""),"cquestierj4@wiley.com")</f>
        <v>cquestierj4@wiley.com</v>
      </c>
      <c r="D2689" s="4">
        <f>IFERROR(__xludf.DUMMYFUNCTION("""COMPUTED_VALUE"""),86.0)</f>
        <v>86</v>
      </c>
      <c r="E2689" s="4">
        <f>IFERROR(__xludf.DUMMYFUNCTION("""COMPUTED_VALUE"""),108.0)</f>
        <v>108</v>
      </c>
      <c r="F2689" s="4">
        <f>IFERROR(__xludf.DUMMYFUNCTION("""COMPUTED_VALUE"""),11.0)</f>
        <v>11</v>
      </c>
      <c r="G2689" s="4">
        <f>IFERROR(__xludf.DUMMYFUNCTION("""COMPUTED_VALUE"""),1408.0)</f>
        <v>1408</v>
      </c>
      <c r="H2689" s="5">
        <f>IFERROR(__xludf.DUMMYFUNCTION("""COMPUTED_VALUE"""),1556.6)</f>
        <v>1556.6</v>
      </c>
      <c r="I2689" s="5">
        <f>IFERROR(__xludf.DUMMYFUNCTION("""COMPUTED_VALUE"""),4863.9)</f>
        <v>4863.9</v>
      </c>
      <c r="J2689" s="5">
        <f>IFERROR(__xludf.DUMMYFUNCTION("""COMPUTED_VALUE"""),8246.38)</f>
        <v>8246.38</v>
      </c>
      <c r="K2689" s="5">
        <f>IFERROR(__xludf.DUMMYFUNCTION("""COMPUTED_VALUE"""),7307.72)</f>
        <v>7307.72</v>
      </c>
      <c r="L2689" s="4">
        <f>IFERROR(__xludf.DUMMYFUNCTION("""COMPUTED_VALUE"""),15.0)</f>
        <v>15</v>
      </c>
      <c r="M2689" s="4">
        <f>IFERROR(__xludf.DUMMYFUNCTION("""COMPUTED_VALUE"""),93.0)</f>
        <v>93</v>
      </c>
      <c r="N2689" s="2" t="b">
        <f>IFERROR(__xludf.DUMMYFUNCTION("""COMPUTED_VALUE"""),FALSE)</f>
        <v>0</v>
      </c>
    </row>
    <row r="2690">
      <c r="A2690" s="2">
        <f>IFERROR(__xludf.DUMMYFUNCTION("""COMPUTED_VALUE"""),2689.0)</f>
        <v>2689</v>
      </c>
      <c r="B2690" s="2" t="str">
        <f>IFERROR(__xludf.DUMMYFUNCTION("""COMPUTED_VALUE"""),"Joy Mocquer")</f>
        <v>Joy Mocquer</v>
      </c>
      <c r="C2690" s="2" t="str">
        <f>IFERROR(__xludf.DUMMYFUNCTION("""COMPUTED_VALUE"""),"jmocquerj5@eepurl.com")</f>
        <v>jmocquerj5@eepurl.com</v>
      </c>
      <c r="D2690" s="4">
        <f>IFERROR(__xludf.DUMMYFUNCTION("""COMPUTED_VALUE"""),80.0)</f>
        <v>80</v>
      </c>
      <c r="E2690" s="4">
        <f>IFERROR(__xludf.DUMMYFUNCTION("""COMPUTED_VALUE"""),62.0)</f>
        <v>62</v>
      </c>
      <c r="F2690" s="4">
        <f>IFERROR(__xludf.DUMMYFUNCTION("""COMPUTED_VALUE"""),1.0)</f>
        <v>1</v>
      </c>
      <c r="G2690" s="4">
        <f>IFERROR(__xludf.DUMMYFUNCTION("""COMPUTED_VALUE"""),1245.0)</f>
        <v>1245</v>
      </c>
      <c r="H2690" s="5">
        <f>IFERROR(__xludf.DUMMYFUNCTION("""COMPUTED_VALUE"""),2928.55)</f>
        <v>2928.55</v>
      </c>
      <c r="I2690" s="5">
        <f>IFERROR(__xludf.DUMMYFUNCTION("""COMPUTED_VALUE"""),5507.07)</f>
        <v>5507.07</v>
      </c>
      <c r="J2690" s="5">
        <f>IFERROR(__xludf.DUMMYFUNCTION("""COMPUTED_VALUE"""),517.97)</f>
        <v>517.97</v>
      </c>
      <c r="K2690" s="5">
        <f>IFERROR(__xludf.DUMMYFUNCTION("""COMPUTED_VALUE"""),7821.72)</f>
        <v>7821.72</v>
      </c>
      <c r="L2690" s="4">
        <f>IFERROR(__xludf.DUMMYFUNCTION("""COMPUTED_VALUE"""),10.0)</f>
        <v>10</v>
      </c>
      <c r="M2690" s="4">
        <f>IFERROR(__xludf.DUMMYFUNCTION("""COMPUTED_VALUE"""),76.0)</f>
        <v>76</v>
      </c>
      <c r="N2690" s="2" t="b">
        <f>IFERROR(__xludf.DUMMYFUNCTION("""COMPUTED_VALUE"""),FALSE)</f>
        <v>0</v>
      </c>
    </row>
    <row r="2691">
      <c r="A2691" s="2">
        <f>IFERROR(__xludf.DUMMYFUNCTION("""COMPUTED_VALUE"""),2690.0)</f>
        <v>2690</v>
      </c>
      <c r="B2691" s="2" t="str">
        <f>IFERROR(__xludf.DUMMYFUNCTION("""COMPUTED_VALUE"""),"Lucina Pinchon")</f>
        <v>Lucina Pinchon</v>
      </c>
      <c r="C2691" s="2"/>
      <c r="D2691" s="4">
        <f>IFERROR(__xludf.DUMMYFUNCTION("""COMPUTED_VALUE"""),42.0)</f>
        <v>42</v>
      </c>
      <c r="E2691" s="4">
        <f>IFERROR(__xludf.DUMMYFUNCTION("""COMPUTED_VALUE"""),111.0)</f>
        <v>111</v>
      </c>
      <c r="F2691" s="4">
        <f>IFERROR(__xludf.DUMMYFUNCTION("""COMPUTED_VALUE"""),12.0)</f>
        <v>12</v>
      </c>
      <c r="G2691" s="4">
        <f>IFERROR(__xludf.DUMMYFUNCTION("""COMPUTED_VALUE"""),172.0)</f>
        <v>172</v>
      </c>
      <c r="H2691" s="5">
        <f>IFERROR(__xludf.DUMMYFUNCTION("""COMPUTED_VALUE"""),2082.19)</f>
        <v>2082.19</v>
      </c>
      <c r="I2691" s="5">
        <f>IFERROR(__xludf.DUMMYFUNCTION("""COMPUTED_VALUE"""),1807.7)</f>
        <v>1807.7</v>
      </c>
      <c r="J2691" s="5">
        <f>IFERROR(__xludf.DUMMYFUNCTION("""COMPUTED_VALUE"""),3319.11)</f>
        <v>3319.11</v>
      </c>
      <c r="K2691" s="5">
        <f>IFERROR(__xludf.DUMMYFUNCTION("""COMPUTED_VALUE"""),9214.96)</f>
        <v>9214.96</v>
      </c>
      <c r="L2691" s="4">
        <f>IFERROR(__xludf.DUMMYFUNCTION("""COMPUTED_VALUE"""),2.0)</f>
        <v>2</v>
      </c>
      <c r="M2691" s="4">
        <f>IFERROR(__xludf.DUMMYFUNCTION("""COMPUTED_VALUE"""),83.0)</f>
        <v>83</v>
      </c>
      <c r="N2691" s="2" t="b">
        <f>IFERROR(__xludf.DUMMYFUNCTION("""COMPUTED_VALUE"""),FALSE)</f>
        <v>0</v>
      </c>
    </row>
    <row r="2692">
      <c r="A2692" s="2">
        <f>IFERROR(__xludf.DUMMYFUNCTION("""COMPUTED_VALUE"""),2691.0)</f>
        <v>2691</v>
      </c>
      <c r="B2692" s="2" t="str">
        <f>IFERROR(__xludf.DUMMYFUNCTION("""COMPUTED_VALUE"""),"Davide Girodier")</f>
        <v>Davide Girodier</v>
      </c>
      <c r="C2692" s="2"/>
      <c r="D2692" s="4">
        <f>IFERROR(__xludf.DUMMYFUNCTION("""COMPUTED_VALUE"""),64.0)</f>
        <v>64</v>
      </c>
      <c r="E2692" s="4">
        <f>IFERROR(__xludf.DUMMYFUNCTION("""COMPUTED_VALUE"""),56.0)</f>
        <v>56</v>
      </c>
      <c r="F2692" s="4">
        <f>IFERROR(__xludf.DUMMYFUNCTION("""COMPUTED_VALUE"""),7.0)</f>
        <v>7</v>
      </c>
      <c r="G2692" s="4">
        <f>IFERROR(__xludf.DUMMYFUNCTION("""COMPUTED_VALUE"""),1096.0)</f>
        <v>1096</v>
      </c>
      <c r="H2692" s="5">
        <f>IFERROR(__xludf.DUMMYFUNCTION("""COMPUTED_VALUE"""),1105.09)</f>
        <v>1105.09</v>
      </c>
      <c r="I2692" s="5">
        <f>IFERROR(__xludf.DUMMYFUNCTION("""COMPUTED_VALUE"""),3629.07)</f>
        <v>3629.07</v>
      </c>
      <c r="J2692" s="5">
        <f>IFERROR(__xludf.DUMMYFUNCTION("""COMPUTED_VALUE"""),730.15)</f>
        <v>730.15</v>
      </c>
      <c r="K2692" s="5">
        <f>IFERROR(__xludf.DUMMYFUNCTION("""COMPUTED_VALUE"""),1023.23)</f>
        <v>1023.23</v>
      </c>
      <c r="L2692" s="4">
        <f>IFERROR(__xludf.DUMMYFUNCTION("""COMPUTED_VALUE"""),4.0)</f>
        <v>4</v>
      </c>
      <c r="M2692" s="4">
        <f>IFERROR(__xludf.DUMMYFUNCTION("""COMPUTED_VALUE"""),88.0)</f>
        <v>88</v>
      </c>
      <c r="N2692" s="2" t="b">
        <f>IFERROR(__xludf.DUMMYFUNCTION("""COMPUTED_VALUE"""),TRUE)</f>
        <v>1</v>
      </c>
    </row>
    <row r="2693">
      <c r="A2693" s="2">
        <f>IFERROR(__xludf.DUMMYFUNCTION("""COMPUTED_VALUE"""),2692.0)</f>
        <v>2692</v>
      </c>
      <c r="B2693" s="2" t="str">
        <f>IFERROR(__xludf.DUMMYFUNCTION("""COMPUTED_VALUE"""),"Claire Rikard")</f>
        <v>Claire Rikard</v>
      </c>
      <c r="C2693" s="2" t="str">
        <f>IFERROR(__xludf.DUMMYFUNCTION("""COMPUTED_VALUE"""),"crikardj8@eventbrite.com")</f>
        <v>crikardj8@eventbrite.com</v>
      </c>
      <c r="D2693" s="4">
        <f>IFERROR(__xludf.DUMMYFUNCTION("""COMPUTED_VALUE"""),45.0)</f>
        <v>45</v>
      </c>
      <c r="E2693" s="4">
        <f>IFERROR(__xludf.DUMMYFUNCTION("""COMPUTED_VALUE"""),116.0)</f>
        <v>116</v>
      </c>
      <c r="F2693" s="4">
        <f>IFERROR(__xludf.DUMMYFUNCTION("""COMPUTED_VALUE"""),8.0)</f>
        <v>8</v>
      </c>
      <c r="G2693" s="4">
        <f>IFERROR(__xludf.DUMMYFUNCTION("""COMPUTED_VALUE"""),1035.0)</f>
        <v>1035</v>
      </c>
      <c r="H2693" s="5">
        <f>IFERROR(__xludf.DUMMYFUNCTION("""COMPUTED_VALUE"""),3670.43)</f>
        <v>3670.43</v>
      </c>
      <c r="I2693" s="5">
        <f>IFERROR(__xludf.DUMMYFUNCTION("""COMPUTED_VALUE"""),7407.82)</f>
        <v>7407.82</v>
      </c>
      <c r="J2693" s="5">
        <f>IFERROR(__xludf.DUMMYFUNCTION("""COMPUTED_VALUE"""),3066.42)</f>
        <v>3066.42</v>
      </c>
      <c r="K2693" s="5">
        <f>IFERROR(__xludf.DUMMYFUNCTION("""COMPUTED_VALUE"""),8186.75)</f>
        <v>8186.75</v>
      </c>
      <c r="L2693" s="4">
        <f>IFERROR(__xludf.DUMMYFUNCTION("""COMPUTED_VALUE"""),15.0)</f>
        <v>15</v>
      </c>
      <c r="M2693" s="4">
        <f>IFERROR(__xludf.DUMMYFUNCTION("""COMPUTED_VALUE"""),50.0)</f>
        <v>50</v>
      </c>
      <c r="N2693" s="2" t="b">
        <f>IFERROR(__xludf.DUMMYFUNCTION("""COMPUTED_VALUE"""),TRUE)</f>
        <v>1</v>
      </c>
    </row>
    <row r="2694">
      <c r="A2694" s="2">
        <f>IFERROR(__xludf.DUMMYFUNCTION("""COMPUTED_VALUE"""),2693.0)</f>
        <v>2693</v>
      </c>
      <c r="B2694" s="2" t="str">
        <f>IFERROR(__xludf.DUMMYFUNCTION("""COMPUTED_VALUE"""),"Antonietta Varley")</f>
        <v>Antonietta Varley</v>
      </c>
      <c r="C2694" s="2" t="str">
        <f>IFERROR(__xludf.DUMMYFUNCTION("""COMPUTED_VALUE"""),"avarleyj9@skype.com")</f>
        <v>avarleyj9@skype.com</v>
      </c>
      <c r="D2694" s="4">
        <f>IFERROR(__xludf.DUMMYFUNCTION("""COMPUTED_VALUE"""),119.0)</f>
        <v>119</v>
      </c>
      <c r="E2694" s="4">
        <f>IFERROR(__xludf.DUMMYFUNCTION("""COMPUTED_VALUE"""),83.0)</f>
        <v>83</v>
      </c>
      <c r="F2694" s="4">
        <f>IFERROR(__xludf.DUMMYFUNCTION("""COMPUTED_VALUE"""),2.0)</f>
        <v>2</v>
      </c>
      <c r="G2694" s="4">
        <f>IFERROR(__xludf.DUMMYFUNCTION("""COMPUTED_VALUE"""),1420.0)</f>
        <v>1420</v>
      </c>
      <c r="H2694" s="5">
        <f>IFERROR(__xludf.DUMMYFUNCTION("""COMPUTED_VALUE"""),3352.05)</f>
        <v>3352.05</v>
      </c>
      <c r="I2694" s="5">
        <f>IFERROR(__xludf.DUMMYFUNCTION("""COMPUTED_VALUE"""),4156.72)</f>
        <v>4156.72</v>
      </c>
      <c r="J2694" s="5">
        <f>IFERROR(__xludf.DUMMYFUNCTION("""COMPUTED_VALUE"""),5598.45)</f>
        <v>5598.45</v>
      </c>
      <c r="K2694" s="5">
        <f>IFERROR(__xludf.DUMMYFUNCTION("""COMPUTED_VALUE"""),6013.51)</f>
        <v>6013.51</v>
      </c>
      <c r="L2694" s="4">
        <f>IFERROR(__xludf.DUMMYFUNCTION("""COMPUTED_VALUE"""),13.0)</f>
        <v>13</v>
      </c>
      <c r="M2694" s="4">
        <f>IFERROR(__xludf.DUMMYFUNCTION("""COMPUTED_VALUE"""),53.0)</f>
        <v>53</v>
      </c>
      <c r="N2694" s="2" t="b">
        <f>IFERROR(__xludf.DUMMYFUNCTION("""COMPUTED_VALUE"""),FALSE)</f>
        <v>0</v>
      </c>
    </row>
    <row r="2695">
      <c r="A2695" s="2">
        <f>IFERROR(__xludf.DUMMYFUNCTION("""COMPUTED_VALUE"""),2694.0)</f>
        <v>2694</v>
      </c>
      <c r="B2695" s="2" t="str">
        <f>IFERROR(__xludf.DUMMYFUNCTION("""COMPUTED_VALUE"""),"Odille Bathowe")</f>
        <v>Odille Bathowe</v>
      </c>
      <c r="C2695" s="2"/>
      <c r="D2695" s="4">
        <f>IFERROR(__xludf.DUMMYFUNCTION("""COMPUTED_VALUE"""),16.0)</f>
        <v>16</v>
      </c>
      <c r="E2695" s="4">
        <f>IFERROR(__xludf.DUMMYFUNCTION("""COMPUTED_VALUE"""),74.0)</f>
        <v>74</v>
      </c>
      <c r="F2695" s="4">
        <f>IFERROR(__xludf.DUMMYFUNCTION("""COMPUTED_VALUE"""),2.0)</f>
        <v>2</v>
      </c>
      <c r="G2695" s="4">
        <f>IFERROR(__xludf.DUMMYFUNCTION("""COMPUTED_VALUE"""),1335.0)</f>
        <v>1335</v>
      </c>
      <c r="H2695" s="5">
        <f>IFERROR(__xludf.DUMMYFUNCTION("""COMPUTED_VALUE"""),2023.19)</f>
        <v>2023.19</v>
      </c>
      <c r="I2695" s="5">
        <f>IFERROR(__xludf.DUMMYFUNCTION("""COMPUTED_VALUE"""),4062.32)</f>
        <v>4062.32</v>
      </c>
      <c r="J2695" s="5">
        <f>IFERROR(__xludf.DUMMYFUNCTION("""COMPUTED_VALUE"""),7474.94)</f>
        <v>7474.94</v>
      </c>
      <c r="K2695" s="5">
        <f>IFERROR(__xludf.DUMMYFUNCTION("""COMPUTED_VALUE"""),5418.26)</f>
        <v>5418.26</v>
      </c>
      <c r="L2695" s="4">
        <f>IFERROR(__xludf.DUMMYFUNCTION("""COMPUTED_VALUE"""),8.0)</f>
        <v>8</v>
      </c>
      <c r="M2695" s="4">
        <f>IFERROR(__xludf.DUMMYFUNCTION("""COMPUTED_VALUE"""),58.0)</f>
        <v>58</v>
      </c>
      <c r="N2695" s="2" t="b">
        <f>IFERROR(__xludf.DUMMYFUNCTION("""COMPUTED_VALUE"""),FALSE)</f>
        <v>0</v>
      </c>
    </row>
    <row r="2696">
      <c r="A2696" s="2">
        <f>IFERROR(__xludf.DUMMYFUNCTION("""COMPUTED_VALUE"""),2695.0)</f>
        <v>2695</v>
      </c>
      <c r="B2696" s="2" t="str">
        <f>IFERROR(__xludf.DUMMYFUNCTION("""COMPUTED_VALUE"""),"Roosevelt Sikora")</f>
        <v>Roosevelt Sikora</v>
      </c>
      <c r="C2696" s="2"/>
      <c r="D2696" s="4">
        <f>IFERROR(__xludf.DUMMYFUNCTION("""COMPUTED_VALUE"""),48.0)</f>
        <v>48</v>
      </c>
      <c r="E2696" s="4">
        <f>IFERROR(__xludf.DUMMYFUNCTION("""COMPUTED_VALUE"""),17.0)</f>
        <v>17</v>
      </c>
      <c r="F2696" s="4">
        <f>IFERROR(__xludf.DUMMYFUNCTION("""COMPUTED_VALUE"""),8.0)</f>
        <v>8</v>
      </c>
      <c r="G2696" s="4">
        <f>IFERROR(__xludf.DUMMYFUNCTION("""COMPUTED_VALUE"""),1031.0)</f>
        <v>1031</v>
      </c>
      <c r="H2696" s="5">
        <f>IFERROR(__xludf.DUMMYFUNCTION("""COMPUTED_VALUE"""),2345.65)</f>
        <v>2345.65</v>
      </c>
      <c r="I2696" s="5">
        <f>IFERROR(__xludf.DUMMYFUNCTION("""COMPUTED_VALUE"""),4320.36)</f>
        <v>4320.36</v>
      </c>
      <c r="J2696" s="5">
        <f>IFERROR(__xludf.DUMMYFUNCTION("""COMPUTED_VALUE"""),3733.42)</f>
        <v>3733.42</v>
      </c>
      <c r="K2696" s="5">
        <f>IFERROR(__xludf.DUMMYFUNCTION("""COMPUTED_VALUE"""),9425.1)</f>
        <v>9425.1</v>
      </c>
      <c r="L2696" s="4">
        <f>IFERROR(__xludf.DUMMYFUNCTION("""COMPUTED_VALUE"""),7.0)</f>
        <v>7</v>
      </c>
      <c r="M2696" s="4">
        <f>IFERROR(__xludf.DUMMYFUNCTION("""COMPUTED_VALUE"""),85.0)</f>
        <v>85</v>
      </c>
      <c r="N2696" s="2" t="b">
        <f>IFERROR(__xludf.DUMMYFUNCTION("""COMPUTED_VALUE"""),TRUE)</f>
        <v>1</v>
      </c>
    </row>
    <row r="2697">
      <c r="A2697" s="2">
        <f>IFERROR(__xludf.DUMMYFUNCTION("""COMPUTED_VALUE"""),2696.0)</f>
        <v>2696</v>
      </c>
      <c r="B2697" s="2" t="str">
        <f>IFERROR(__xludf.DUMMYFUNCTION("""COMPUTED_VALUE"""),"Nicola Cready")</f>
        <v>Nicola Cready</v>
      </c>
      <c r="C2697" s="2"/>
      <c r="D2697" s="4">
        <f>IFERROR(__xludf.DUMMYFUNCTION("""COMPUTED_VALUE"""),56.0)</f>
        <v>56</v>
      </c>
      <c r="E2697" s="4">
        <f>IFERROR(__xludf.DUMMYFUNCTION("""COMPUTED_VALUE"""),43.0)</f>
        <v>43</v>
      </c>
      <c r="F2697" s="4">
        <f>IFERROR(__xludf.DUMMYFUNCTION("""COMPUTED_VALUE"""),1.0)</f>
        <v>1</v>
      </c>
      <c r="G2697" s="4">
        <f>IFERROR(__xludf.DUMMYFUNCTION("""COMPUTED_VALUE"""),313.0)</f>
        <v>313</v>
      </c>
      <c r="H2697" s="5">
        <f>IFERROR(__xludf.DUMMYFUNCTION("""COMPUTED_VALUE"""),1818.09)</f>
        <v>1818.09</v>
      </c>
      <c r="I2697" s="5">
        <f>IFERROR(__xludf.DUMMYFUNCTION("""COMPUTED_VALUE"""),2442.3)</f>
        <v>2442.3</v>
      </c>
      <c r="J2697" s="5">
        <f>IFERROR(__xludf.DUMMYFUNCTION("""COMPUTED_VALUE"""),6656.04)</f>
        <v>6656.04</v>
      </c>
      <c r="K2697" s="5">
        <f>IFERROR(__xludf.DUMMYFUNCTION("""COMPUTED_VALUE"""),912.39)</f>
        <v>912.39</v>
      </c>
      <c r="L2697" s="4">
        <f>IFERROR(__xludf.DUMMYFUNCTION("""COMPUTED_VALUE"""),7.0)</f>
        <v>7</v>
      </c>
      <c r="M2697" s="4">
        <f>IFERROR(__xludf.DUMMYFUNCTION("""COMPUTED_VALUE"""),30.0)</f>
        <v>30</v>
      </c>
      <c r="N2697" s="2" t="b">
        <f>IFERROR(__xludf.DUMMYFUNCTION("""COMPUTED_VALUE"""),TRUE)</f>
        <v>1</v>
      </c>
    </row>
    <row r="2698">
      <c r="A2698" s="2">
        <f>IFERROR(__xludf.DUMMYFUNCTION("""COMPUTED_VALUE"""),2697.0)</f>
        <v>2697</v>
      </c>
      <c r="B2698" s="2" t="str">
        <f>IFERROR(__xludf.DUMMYFUNCTION("""COMPUTED_VALUE"""),"Noreen Bauer")</f>
        <v>Noreen Bauer</v>
      </c>
      <c r="C2698" s="2" t="str">
        <f>IFERROR(__xludf.DUMMYFUNCTION("""COMPUTED_VALUE"""),"nbauerjd@hao123.com")</f>
        <v>nbauerjd@hao123.com</v>
      </c>
      <c r="D2698" s="4">
        <f>IFERROR(__xludf.DUMMYFUNCTION("""COMPUTED_VALUE"""),63.0)</f>
        <v>63</v>
      </c>
      <c r="E2698" s="4">
        <f>IFERROR(__xludf.DUMMYFUNCTION("""COMPUTED_VALUE"""),20.0)</f>
        <v>20</v>
      </c>
      <c r="F2698" s="4">
        <f>IFERROR(__xludf.DUMMYFUNCTION("""COMPUTED_VALUE"""),2.0)</f>
        <v>2</v>
      </c>
      <c r="G2698" s="4">
        <f>IFERROR(__xludf.DUMMYFUNCTION("""COMPUTED_VALUE"""),1492.0)</f>
        <v>1492</v>
      </c>
      <c r="H2698" s="5">
        <f>IFERROR(__xludf.DUMMYFUNCTION("""COMPUTED_VALUE"""),5654.86)</f>
        <v>5654.86</v>
      </c>
      <c r="I2698" s="5">
        <f>IFERROR(__xludf.DUMMYFUNCTION("""COMPUTED_VALUE"""),9861.76)</f>
        <v>9861.76</v>
      </c>
      <c r="J2698" s="5">
        <f>IFERROR(__xludf.DUMMYFUNCTION("""COMPUTED_VALUE"""),1329.61)</f>
        <v>1329.61</v>
      </c>
      <c r="K2698" s="5">
        <f>IFERROR(__xludf.DUMMYFUNCTION("""COMPUTED_VALUE"""),9598.66)</f>
        <v>9598.66</v>
      </c>
      <c r="L2698" s="4">
        <f>IFERROR(__xludf.DUMMYFUNCTION("""COMPUTED_VALUE"""),1.0)</f>
        <v>1</v>
      </c>
      <c r="M2698" s="4">
        <f>IFERROR(__xludf.DUMMYFUNCTION("""COMPUTED_VALUE"""),10.0)</f>
        <v>10</v>
      </c>
      <c r="N2698" s="2" t="b">
        <f>IFERROR(__xludf.DUMMYFUNCTION("""COMPUTED_VALUE"""),TRUE)</f>
        <v>1</v>
      </c>
    </row>
    <row r="2699">
      <c r="A2699" s="2">
        <f>IFERROR(__xludf.DUMMYFUNCTION("""COMPUTED_VALUE"""),2698.0)</f>
        <v>2698</v>
      </c>
      <c r="B2699" s="2" t="str">
        <f>IFERROR(__xludf.DUMMYFUNCTION("""COMPUTED_VALUE"""),"Leigh Ritelli")</f>
        <v>Leigh Ritelli</v>
      </c>
      <c r="C2699" s="2"/>
      <c r="D2699" s="4">
        <f>IFERROR(__xludf.DUMMYFUNCTION("""COMPUTED_VALUE"""),87.0)</f>
        <v>87</v>
      </c>
      <c r="E2699" s="4">
        <f>IFERROR(__xludf.DUMMYFUNCTION("""COMPUTED_VALUE"""),22.0)</f>
        <v>22</v>
      </c>
      <c r="F2699" s="4">
        <f>IFERROR(__xludf.DUMMYFUNCTION("""COMPUTED_VALUE"""),6.0)</f>
        <v>6</v>
      </c>
      <c r="G2699" s="4">
        <f>IFERROR(__xludf.DUMMYFUNCTION("""COMPUTED_VALUE"""),1312.0)</f>
        <v>1312</v>
      </c>
      <c r="H2699" s="5">
        <f>IFERROR(__xludf.DUMMYFUNCTION("""COMPUTED_VALUE"""),5678.08)</f>
        <v>5678.08</v>
      </c>
      <c r="I2699" s="5">
        <f>IFERROR(__xludf.DUMMYFUNCTION("""COMPUTED_VALUE"""),6201.91)</f>
        <v>6201.91</v>
      </c>
      <c r="J2699" s="5">
        <f>IFERROR(__xludf.DUMMYFUNCTION("""COMPUTED_VALUE"""),4477.72)</f>
        <v>4477.72</v>
      </c>
      <c r="K2699" s="5">
        <f>IFERROR(__xludf.DUMMYFUNCTION("""COMPUTED_VALUE"""),9129.87)</f>
        <v>9129.87</v>
      </c>
      <c r="L2699" s="4">
        <f>IFERROR(__xludf.DUMMYFUNCTION("""COMPUTED_VALUE"""),6.0)</f>
        <v>6</v>
      </c>
      <c r="M2699" s="4">
        <f>IFERROR(__xludf.DUMMYFUNCTION("""COMPUTED_VALUE"""),51.0)</f>
        <v>51</v>
      </c>
      <c r="N2699" s="2" t="b">
        <f>IFERROR(__xludf.DUMMYFUNCTION("""COMPUTED_VALUE"""),TRUE)</f>
        <v>1</v>
      </c>
    </row>
    <row r="2700">
      <c r="A2700" s="2">
        <f>IFERROR(__xludf.DUMMYFUNCTION("""COMPUTED_VALUE"""),2699.0)</f>
        <v>2699</v>
      </c>
      <c r="B2700" s="2" t="str">
        <f>IFERROR(__xludf.DUMMYFUNCTION("""COMPUTED_VALUE"""),"Kenn Khoter")</f>
        <v>Kenn Khoter</v>
      </c>
      <c r="C2700" s="2" t="str">
        <f>IFERROR(__xludf.DUMMYFUNCTION("""COMPUTED_VALUE"""),"kkhoterjf@epa.gov")</f>
        <v>kkhoterjf@epa.gov</v>
      </c>
      <c r="D2700" s="4">
        <f>IFERROR(__xludf.DUMMYFUNCTION("""COMPUTED_VALUE"""),18.0)</f>
        <v>18</v>
      </c>
      <c r="E2700" s="4">
        <f>IFERROR(__xludf.DUMMYFUNCTION("""COMPUTED_VALUE"""),49.0)</f>
        <v>49</v>
      </c>
      <c r="F2700" s="4">
        <f>IFERROR(__xludf.DUMMYFUNCTION("""COMPUTED_VALUE"""),3.0)</f>
        <v>3</v>
      </c>
      <c r="G2700" s="4">
        <f>IFERROR(__xludf.DUMMYFUNCTION("""COMPUTED_VALUE"""),757.0)</f>
        <v>757</v>
      </c>
      <c r="H2700" s="5">
        <f>IFERROR(__xludf.DUMMYFUNCTION("""COMPUTED_VALUE"""),7572.72)</f>
        <v>7572.72</v>
      </c>
      <c r="I2700" s="5">
        <f>IFERROR(__xludf.DUMMYFUNCTION("""COMPUTED_VALUE"""),2876.47)</f>
        <v>2876.47</v>
      </c>
      <c r="J2700" s="5">
        <f>IFERROR(__xludf.DUMMYFUNCTION("""COMPUTED_VALUE"""),5635.12)</f>
        <v>5635.12</v>
      </c>
      <c r="K2700" s="5">
        <f>IFERROR(__xludf.DUMMYFUNCTION("""COMPUTED_VALUE"""),8910.2)</f>
        <v>8910.2</v>
      </c>
      <c r="L2700" s="4">
        <f>IFERROR(__xludf.DUMMYFUNCTION("""COMPUTED_VALUE"""),4.0)</f>
        <v>4</v>
      </c>
      <c r="M2700" s="4">
        <f>IFERROR(__xludf.DUMMYFUNCTION("""COMPUTED_VALUE"""),52.0)</f>
        <v>52</v>
      </c>
      <c r="N2700" s="2" t="b">
        <f>IFERROR(__xludf.DUMMYFUNCTION("""COMPUTED_VALUE"""),FALSE)</f>
        <v>0</v>
      </c>
    </row>
    <row r="2701">
      <c r="A2701" s="2">
        <f>IFERROR(__xludf.DUMMYFUNCTION("""COMPUTED_VALUE"""),2700.0)</f>
        <v>2700</v>
      </c>
      <c r="B2701" s="2" t="str">
        <f>IFERROR(__xludf.DUMMYFUNCTION("""COMPUTED_VALUE"""),"Gilligan Clayill")</f>
        <v>Gilligan Clayill</v>
      </c>
      <c r="C2701" s="2" t="str">
        <f>IFERROR(__xludf.DUMMYFUNCTION("""COMPUTED_VALUE"""),"gclayilljg@webeden.co.uk")</f>
        <v>gclayilljg@webeden.co.uk</v>
      </c>
      <c r="D2701" s="4">
        <f>IFERROR(__xludf.DUMMYFUNCTION("""COMPUTED_VALUE"""),52.0)</f>
        <v>52</v>
      </c>
      <c r="E2701" s="4">
        <f>IFERROR(__xludf.DUMMYFUNCTION("""COMPUTED_VALUE"""),99.0)</f>
        <v>99</v>
      </c>
      <c r="F2701" s="4">
        <f>IFERROR(__xludf.DUMMYFUNCTION("""COMPUTED_VALUE"""),2.0)</f>
        <v>2</v>
      </c>
      <c r="G2701" s="4">
        <f>IFERROR(__xludf.DUMMYFUNCTION("""COMPUTED_VALUE"""),628.0)</f>
        <v>628</v>
      </c>
      <c r="H2701" s="5">
        <f>IFERROR(__xludf.DUMMYFUNCTION("""COMPUTED_VALUE"""),529.63)</f>
        <v>529.63</v>
      </c>
      <c r="I2701" s="5">
        <f>IFERROR(__xludf.DUMMYFUNCTION("""COMPUTED_VALUE"""),9617.18)</f>
        <v>9617.18</v>
      </c>
      <c r="J2701" s="5">
        <f>IFERROR(__xludf.DUMMYFUNCTION("""COMPUTED_VALUE"""),2016.0)</f>
        <v>2016</v>
      </c>
      <c r="K2701" s="5">
        <f>IFERROR(__xludf.DUMMYFUNCTION("""COMPUTED_VALUE"""),1754.71)</f>
        <v>1754.71</v>
      </c>
      <c r="L2701" s="4">
        <f>IFERROR(__xludf.DUMMYFUNCTION("""COMPUTED_VALUE"""),6.0)</f>
        <v>6</v>
      </c>
      <c r="M2701" s="4">
        <f>IFERROR(__xludf.DUMMYFUNCTION("""COMPUTED_VALUE"""),3.0)</f>
        <v>3</v>
      </c>
      <c r="N2701" s="2" t="b">
        <f>IFERROR(__xludf.DUMMYFUNCTION("""COMPUTED_VALUE"""),TRUE)</f>
        <v>1</v>
      </c>
    </row>
    <row r="2702">
      <c r="A2702" s="2">
        <f>IFERROR(__xludf.DUMMYFUNCTION("""COMPUTED_VALUE"""),2701.0)</f>
        <v>2701</v>
      </c>
      <c r="B2702" s="2" t="str">
        <f>IFERROR(__xludf.DUMMYFUNCTION("""COMPUTED_VALUE"""),"Port Mollin")</f>
        <v>Port Mollin</v>
      </c>
      <c r="C2702" s="2"/>
      <c r="D2702" s="4">
        <f>IFERROR(__xludf.DUMMYFUNCTION("""COMPUTED_VALUE"""),50.0)</f>
        <v>50</v>
      </c>
      <c r="E2702" s="4">
        <f>IFERROR(__xludf.DUMMYFUNCTION("""COMPUTED_VALUE"""),14.0)</f>
        <v>14</v>
      </c>
      <c r="F2702" s="4">
        <f>IFERROR(__xludf.DUMMYFUNCTION("""COMPUTED_VALUE"""),13.0)</f>
        <v>13</v>
      </c>
      <c r="G2702" s="4">
        <f>IFERROR(__xludf.DUMMYFUNCTION("""COMPUTED_VALUE"""),1219.0)</f>
        <v>1219</v>
      </c>
      <c r="H2702" s="5">
        <f>IFERROR(__xludf.DUMMYFUNCTION("""COMPUTED_VALUE"""),2615.03)</f>
        <v>2615.03</v>
      </c>
      <c r="I2702" s="5">
        <f>IFERROR(__xludf.DUMMYFUNCTION("""COMPUTED_VALUE"""),6719.76)</f>
        <v>6719.76</v>
      </c>
      <c r="J2702" s="5">
        <f>IFERROR(__xludf.DUMMYFUNCTION("""COMPUTED_VALUE"""),7312.5)</f>
        <v>7312.5</v>
      </c>
      <c r="K2702" s="5">
        <f>IFERROR(__xludf.DUMMYFUNCTION("""COMPUTED_VALUE"""),1036.44)</f>
        <v>1036.44</v>
      </c>
      <c r="L2702" s="4">
        <f>IFERROR(__xludf.DUMMYFUNCTION("""COMPUTED_VALUE"""),3.0)</f>
        <v>3</v>
      </c>
      <c r="M2702" s="4">
        <f>IFERROR(__xludf.DUMMYFUNCTION("""COMPUTED_VALUE"""),22.0)</f>
        <v>22</v>
      </c>
      <c r="N2702" s="2" t="b">
        <f>IFERROR(__xludf.DUMMYFUNCTION("""COMPUTED_VALUE"""),TRUE)</f>
        <v>1</v>
      </c>
    </row>
    <row r="2703">
      <c r="A2703" s="2">
        <f>IFERROR(__xludf.DUMMYFUNCTION("""COMPUTED_VALUE"""),2702.0)</f>
        <v>2702</v>
      </c>
      <c r="B2703" s="2" t="str">
        <f>IFERROR(__xludf.DUMMYFUNCTION("""COMPUTED_VALUE"""),"Chelsy Pues")</f>
        <v>Chelsy Pues</v>
      </c>
      <c r="C2703" s="2" t="str">
        <f>IFERROR(__xludf.DUMMYFUNCTION("""COMPUTED_VALUE"""),"cpuesji@wunderground.com")</f>
        <v>cpuesji@wunderground.com</v>
      </c>
      <c r="D2703" s="4">
        <f>IFERROR(__xludf.DUMMYFUNCTION("""COMPUTED_VALUE"""),27.0)</f>
        <v>27</v>
      </c>
      <c r="E2703" s="4">
        <f>IFERROR(__xludf.DUMMYFUNCTION("""COMPUTED_VALUE"""),113.0)</f>
        <v>113</v>
      </c>
      <c r="F2703" s="4">
        <f>IFERROR(__xludf.DUMMYFUNCTION("""COMPUTED_VALUE"""),5.0)</f>
        <v>5</v>
      </c>
      <c r="G2703" s="4">
        <f>IFERROR(__xludf.DUMMYFUNCTION("""COMPUTED_VALUE"""),586.0)</f>
        <v>586</v>
      </c>
      <c r="H2703" s="5">
        <f>IFERROR(__xludf.DUMMYFUNCTION("""COMPUTED_VALUE"""),6617.06)</f>
        <v>6617.06</v>
      </c>
      <c r="I2703" s="5">
        <f>IFERROR(__xludf.DUMMYFUNCTION("""COMPUTED_VALUE"""),657.39)</f>
        <v>657.39</v>
      </c>
      <c r="J2703" s="5">
        <f>IFERROR(__xludf.DUMMYFUNCTION("""COMPUTED_VALUE"""),3637.59)</f>
        <v>3637.59</v>
      </c>
      <c r="K2703" s="5">
        <f>IFERROR(__xludf.DUMMYFUNCTION("""COMPUTED_VALUE"""),3428.91)</f>
        <v>3428.91</v>
      </c>
      <c r="L2703" s="4">
        <f>IFERROR(__xludf.DUMMYFUNCTION("""COMPUTED_VALUE"""),14.0)</f>
        <v>14</v>
      </c>
      <c r="M2703" s="4">
        <f>IFERROR(__xludf.DUMMYFUNCTION("""COMPUTED_VALUE"""),58.0)</f>
        <v>58</v>
      </c>
      <c r="N2703" s="2" t="b">
        <f>IFERROR(__xludf.DUMMYFUNCTION("""COMPUTED_VALUE"""),TRUE)</f>
        <v>1</v>
      </c>
    </row>
    <row r="2704">
      <c r="A2704" s="2">
        <f>IFERROR(__xludf.DUMMYFUNCTION("""COMPUTED_VALUE"""),2703.0)</f>
        <v>2703</v>
      </c>
      <c r="B2704" s="2" t="str">
        <f>IFERROR(__xludf.DUMMYFUNCTION("""COMPUTED_VALUE"""),"Isadora Aglione")</f>
        <v>Isadora Aglione</v>
      </c>
      <c r="C2704" s="2"/>
      <c r="D2704" s="4">
        <f>IFERROR(__xludf.DUMMYFUNCTION("""COMPUTED_VALUE"""),95.0)</f>
        <v>95</v>
      </c>
      <c r="E2704" s="4">
        <f>IFERROR(__xludf.DUMMYFUNCTION("""COMPUTED_VALUE"""),78.0)</f>
        <v>78</v>
      </c>
      <c r="F2704" s="4">
        <f>IFERROR(__xludf.DUMMYFUNCTION("""COMPUTED_VALUE"""),13.0)</f>
        <v>13</v>
      </c>
      <c r="G2704" s="4">
        <f>IFERROR(__xludf.DUMMYFUNCTION("""COMPUTED_VALUE"""),655.0)</f>
        <v>655</v>
      </c>
      <c r="H2704" s="5">
        <f>IFERROR(__xludf.DUMMYFUNCTION("""COMPUTED_VALUE"""),6502.48)</f>
        <v>6502.48</v>
      </c>
      <c r="I2704" s="5">
        <f>IFERROR(__xludf.DUMMYFUNCTION("""COMPUTED_VALUE"""),9782.98)</f>
        <v>9782.98</v>
      </c>
      <c r="J2704" s="5">
        <f>IFERROR(__xludf.DUMMYFUNCTION("""COMPUTED_VALUE"""),5385.8)</f>
        <v>5385.8</v>
      </c>
      <c r="K2704" s="5">
        <f>IFERROR(__xludf.DUMMYFUNCTION("""COMPUTED_VALUE"""),1223.9)</f>
        <v>1223.9</v>
      </c>
      <c r="L2704" s="4">
        <f>IFERROR(__xludf.DUMMYFUNCTION("""COMPUTED_VALUE"""),3.0)</f>
        <v>3</v>
      </c>
      <c r="M2704" s="4">
        <f>IFERROR(__xludf.DUMMYFUNCTION("""COMPUTED_VALUE"""),46.0)</f>
        <v>46</v>
      </c>
      <c r="N2704" s="2" t="b">
        <f>IFERROR(__xludf.DUMMYFUNCTION("""COMPUTED_VALUE"""),FALSE)</f>
        <v>0</v>
      </c>
    </row>
    <row r="2705">
      <c r="A2705" s="2">
        <f>IFERROR(__xludf.DUMMYFUNCTION("""COMPUTED_VALUE"""),2704.0)</f>
        <v>2704</v>
      </c>
      <c r="B2705" s="2" t="str">
        <f>IFERROR(__xludf.DUMMYFUNCTION("""COMPUTED_VALUE"""),"Mahala McGovern")</f>
        <v>Mahala McGovern</v>
      </c>
      <c r="C2705" s="2"/>
      <c r="D2705" s="4">
        <f>IFERROR(__xludf.DUMMYFUNCTION("""COMPUTED_VALUE"""),56.0)</f>
        <v>56</v>
      </c>
      <c r="E2705" s="4">
        <f>IFERROR(__xludf.DUMMYFUNCTION("""COMPUTED_VALUE"""),103.0)</f>
        <v>103</v>
      </c>
      <c r="F2705" s="4">
        <f>IFERROR(__xludf.DUMMYFUNCTION("""COMPUTED_VALUE"""),13.0)</f>
        <v>13</v>
      </c>
      <c r="G2705" s="4">
        <f>IFERROR(__xludf.DUMMYFUNCTION("""COMPUTED_VALUE"""),428.0)</f>
        <v>428</v>
      </c>
      <c r="H2705" s="5">
        <f>IFERROR(__xludf.DUMMYFUNCTION("""COMPUTED_VALUE"""),5450.49)</f>
        <v>5450.49</v>
      </c>
      <c r="I2705" s="5">
        <f>IFERROR(__xludf.DUMMYFUNCTION("""COMPUTED_VALUE"""),5321.14)</f>
        <v>5321.14</v>
      </c>
      <c r="J2705" s="5">
        <f>IFERROR(__xludf.DUMMYFUNCTION("""COMPUTED_VALUE"""),2111.03)</f>
        <v>2111.03</v>
      </c>
      <c r="K2705" s="5">
        <f>IFERROR(__xludf.DUMMYFUNCTION("""COMPUTED_VALUE"""),2243.73)</f>
        <v>2243.73</v>
      </c>
      <c r="L2705" s="4">
        <f>IFERROR(__xludf.DUMMYFUNCTION("""COMPUTED_VALUE"""),18.0)</f>
        <v>18</v>
      </c>
      <c r="M2705" s="4">
        <f>IFERROR(__xludf.DUMMYFUNCTION("""COMPUTED_VALUE"""),44.0)</f>
        <v>44</v>
      </c>
      <c r="N2705" s="2" t="b">
        <f>IFERROR(__xludf.DUMMYFUNCTION("""COMPUTED_VALUE"""),TRUE)</f>
        <v>1</v>
      </c>
    </row>
    <row r="2706">
      <c r="A2706" s="2">
        <f>IFERROR(__xludf.DUMMYFUNCTION("""COMPUTED_VALUE"""),2705.0)</f>
        <v>2705</v>
      </c>
      <c r="B2706" s="2" t="str">
        <f>IFERROR(__xludf.DUMMYFUNCTION("""COMPUTED_VALUE"""),"Francesco Waby")</f>
        <v>Francesco Waby</v>
      </c>
      <c r="C2706" s="2" t="str">
        <f>IFERROR(__xludf.DUMMYFUNCTION("""COMPUTED_VALUE"""),"fwabyjl@e-recht24.de")</f>
        <v>fwabyjl@e-recht24.de</v>
      </c>
      <c r="D2706" s="4">
        <f>IFERROR(__xludf.DUMMYFUNCTION("""COMPUTED_VALUE"""),71.0)</f>
        <v>71</v>
      </c>
      <c r="E2706" s="4">
        <f>IFERROR(__xludf.DUMMYFUNCTION("""COMPUTED_VALUE"""),107.0)</f>
        <v>107</v>
      </c>
      <c r="F2706" s="4">
        <f>IFERROR(__xludf.DUMMYFUNCTION("""COMPUTED_VALUE"""),12.0)</f>
        <v>12</v>
      </c>
      <c r="G2706" s="4">
        <f>IFERROR(__xludf.DUMMYFUNCTION("""COMPUTED_VALUE"""),201.0)</f>
        <v>201</v>
      </c>
      <c r="H2706" s="5">
        <f>IFERROR(__xludf.DUMMYFUNCTION("""COMPUTED_VALUE"""),9641.37)</f>
        <v>9641.37</v>
      </c>
      <c r="I2706" s="5">
        <f>IFERROR(__xludf.DUMMYFUNCTION("""COMPUTED_VALUE"""),6305.34)</f>
        <v>6305.34</v>
      </c>
      <c r="J2706" s="5">
        <f>IFERROR(__xludf.DUMMYFUNCTION("""COMPUTED_VALUE"""),1950.73)</f>
        <v>1950.73</v>
      </c>
      <c r="K2706" s="5">
        <f>IFERROR(__xludf.DUMMYFUNCTION("""COMPUTED_VALUE"""),1752.84)</f>
        <v>1752.84</v>
      </c>
      <c r="L2706" s="4">
        <f>IFERROR(__xludf.DUMMYFUNCTION("""COMPUTED_VALUE"""),6.0)</f>
        <v>6</v>
      </c>
      <c r="M2706" s="4">
        <f>IFERROR(__xludf.DUMMYFUNCTION("""COMPUTED_VALUE"""),54.0)</f>
        <v>54</v>
      </c>
      <c r="N2706" s="2" t="b">
        <f>IFERROR(__xludf.DUMMYFUNCTION("""COMPUTED_VALUE"""),FALSE)</f>
        <v>0</v>
      </c>
    </row>
    <row r="2707">
      <c r="A2707" s="2">
        <f>IFERROR(__xludf.DUMMYFUNCTION("""COMPUTED_VALUE"""),2706.0)</f>
        <v>2706</v>
      </c>
      <c r="B2707" s="2" t="str">
        <f>IFERROR(__xludf.DUMMYFUNCTION("""COMPUTED_VALUE"""),"Lisle Gotcliff")</f>
        <v>Lisle Gotcliff</v>
      </c>
      <c r="C2707" s="2"/>
      <c r="D2707" s="4">
        <f>IFERROR(__xludf.DUMMYFUNCTION("""COMPUTED_VALUE"""),72.0)</f>
        <v>72</v>
      </c>
      <c r="E2707" s="4">
        <f>IFERROR(__xludf.DUMMYFUNCTION("""COMPUTED_VALUE"""),83.0)</f>
        <v>83</v>
      </c>
      <c r="F2707" s="4">
        <f>IFERROR(__xludf.DUMMYFUNCTION("""COMPUTED_VALUE"""),13.0)</f>
        <v>13</v>
      </c>
      <c r="G2707" s="4">
        <f>IFERROR(__xludf.DUMMYFUNCTION("""COMPUTED_VALUE"""),696.0)</f>
        <v>696</v>
      </c>
      <c r="H2707" s="5">
        <f>IFERROR(__xludf.DUMMYFUNCTION("""COMPUTED_VALUE"""),3283.1)</f>
        <v>3283.1</v>
      </c>
      <c r="I2707" s="5">
        <f>IFERROR(__xludf.DUMMYFUNCTION("""COMPUTED_VALUE"""),5130.31)</f>
        <v>5130.31</v>
      </c>
      <c r="J2707" s="5">
        <f>IFERROR(__xludf.DUMMYFUNCTION("""COMPUTED_VALUE"""),8291.1)</f>
        <v>8291.1</v>
      </c>
      <c r="K2707" s="5">
        <f>IFERROR(__xludf.DUMMYFUNCTION("""COMPUTED_VALUE"""),6871.3)</f>
        <v>6871.3</v>
      </c>
      <c r="L2707" s="4">
        <f>IFERROR(__xludf.DUMMYFUNCTION("""COMPUTED_VALUE"""),16.0)</f>
        <v>16</v>
      </c>
      <c r="M2707" s="4">
        <f>IFERROR(__xludf.DUMMYFUNCTION("""COMPUTED_VALUE"""),32.0)</f>
        <v>32</v>
      </c>
      <c r="N2707" s="2" t="b">
        <f>IFERROR(__xludf.DUMMYFUNCTION("""COMPUTED_VALUE"""),FALSE)</f>
        <v>0</v>
      </c>
    </row>
    <row r="2708">
      <c r="A2708" s="2">
        <f>IFERROR(__xludf.DUMMYFUNCTION("""COMPUTED_VALUE"""),2707.0)</f>
        <v>2707</v>
      </c>
      <c r="B2708" s="2" t="str">
        <f>IFERROR(__xludf.DUMMYFUNCTION("""COMPUTED_VALUE"""),"Lilli Allibon")</f>
        <v>Lilli Allibon</v>
      </c>
      <c r="C2708" s="2" t="str">
        <f>IFERROR(__xludf.DUMMYFUNCTION("""COMPUTED_VALUE"""),"lallibonjn@163.com")</f>
        <v>lallibonjn@163.com</v>
      </c>
      <c r="D2708" s="4">
        <f>IFERROR(__xludf.DUMMYFUNCTION("""COMPUTED_VALUE"""),17.0)</f>
        <v>17</v>
      </c>
      <c r="E2708" s="4">
        <f>IFERROR(__xludf.DUMMYFUNCTION("""COMPUTED_VALUE"""),5.0)</f>
        <v>5</v>
      </c>
      <c r="F2708" s="4">
        <f>IFERROR(__xludf.DUMMYFUNCTION("""COMPUTED_VALUE"""),8.0)</f>
        <v>8</v>
      </c>
      <c r="G2708" s="4">
        <f>IFERROR(__xludf.DUMMYFUNCTION("""COMPUTED_VALUE"""),818.0)</f>
        <v>818</v>
      </c>
      <c r="H2708" s="5">
        <f>IFERROR(__xludf.DUMMYFUNCTION("""COMPUTED_VALUE"""),4932.81)</f>
        <v>4932.81</v>
      </c>
      <c r="I2708" s="5">
        <f>IFERROR(__xludf.DUMMYFUNCTION("""COMPUTED_VALUE"""),5313.86)</f>
        <v>5313.86</v>
      </c>
      <c r="J2708" s="5">
        <f>IFERROR(__xludf.DUMMYFUNCTION("""COMPUTED_VALUE"""),2567.63)</f>
        <v>2567.63</v>
      </c>
      <c r="K2708" s="5">
        <f>IFERROR(__xludf.DUMMYFUNCTION("""COMPUTED_VALUE"""),9473.78)</f>
        <v>9473.78</v>
      </c>
      <c r="L2708" s="4">
        <f>IFERROR(__xludf.DUMMYFUNCTION("""COMPUTED_VALUE"""),8.0)</f>
        <v>8</v>
      </c>
      <c r="M2708" s="4">
        <f>IFERROR(__xludf.DUMMYFUNCTION("""COMPUTED_VALUE"""),10.0)</f>
        <v>10</v>
      </c>
      <c r="N2708" s="2" t="b">
        <f>IFERROR(__xludf.DUMMYFUNCTION("""COMPUTED_VALUE"""),FALSE)</f>
        <v>0</v>
      </c>
    </row>
    <row r="2709">
      <c r="A2709" s="2">
        <f>IFERROR(__xludf.DUMMYFUNCTION("""COMPUTED_VALUE"""),2708.0)</f>
        <v>2708</v>
      </c>
      <c r="B2709" s="2" t="str">
        <f>IFERROR(__xludf.DUMMYFUNCTION("""COMPUTED_VALUE"""),"Stirling Glover")</f>
        <v>Stirling Glover</v>
      </c>
      <c r="C2709" s="2"/>
      <c r="D2709" s="4">
        <f>IFERROR(__xludf.DUMMYFUNCTION("""COMPUTED_VALUE"""),74.0)</f>
        <v>74</v>
      </c>
      <c r="E2709" s="4">
        <f>IFERROR(__xludf.DUMMYFUNCTION("""COMPUTED_VALUE"""),12.0)</f>
        <v>12</v>
      </c>
      <c r="F2709" s="4">
        <f>IFERROR(__xludf.DUMMYFUNCTION("""COMPUTED_VALUE"""),8.0)</f>
        <v>8</v>
      </c>
      <c r="G2709" s="4">
        <f>IFERROR(__xludf.DUMMYFUNCTION("""COMPUTED_VALUE"""),955.0)</f>
        <v>955</v>
      </c>
      <c r="H2709" s="5">
        <f>IFERROR(__xludf.DUMMYFUNCTION("""COMPUTED_VALUE"""),9330.61)</f>
        <v>9330.61</v>
      </c>
      <c r="I2709" s="5">
        <f>IFERROR(__xludf.DUMMYFUNCTION("""COMPUTED_VALUE"""),5408.84)</f>
        <v>5408.84</v>
      </c>
      <c r="J2709" s="5">
        <f>IFERROR(__xludf.DUMMYFUNCTION("""COMPUTED_VALUE"""),1946.22)</f>
        <v>1946.22</v>
      </c>
      <c r="K2709" s="5">
        <f>IFERROR(__xludf.DUMMYFUNCTION("""COMPUTED_VALUE"""),2433.87)</f>
        <v>2433.87</v>
      </c>
      <c r="L2709" s="4">
        <f>IFERROR(__xludf.DUMMYFUNCTION("""COMPUTED_VALUE"""),9.0)</f>
        <v>9</v>
      </c>
      <c r="M2709" s="4">
        <f>IFERROR(__xludf.DUMMYFUNCTION("""COMPUTED_VALUE"""),90.0)</f>
        <v>90</v>
      </c>
      <c r="N2709" s="2" t="b">
        <f>IFERROR(__xludf.DUMMYFUNCTION("""COMPUTED_VALUE"""),FALSE)</f>
        <v>0</v>
      </c>
    </row>
    <row r="2710">
      <c r="A2710" s="2">
        <f>IFERROR(__xludf.DUMMYFUNCTION("""COMPUTED_VALUE"""),2709.0)</f>
        <v>2709</v>
      </c>
      <c r="B2710" s="2" t="str">
        <f>IFERROR(__xludf.DUMMYFUNCTION("""COMPUTED_VALUE"""),"Kristo Dullard")</f>
        <v>Kristo Dullard</v>
      </c>
      <c r="C2710" s="2" t="str">
        <f>IFERROR(__xludf.DUMMYFUNCTION("""COMPUTED_VALUE"""),"kdullardjp@cnbc.com")</f>
        <v>kdullardjp@cnbc.com</v>
      </c>
      <c r="D2710" s="4">
        <f>IFERROR(__xludf.DUMMYFUNCTION("""COMPUTED_VALUE"""),77.0)</f>
        <v>77</v>
      </c>
      <c r="E2710" s="4">
        <f>IFERROR(__xludf.DUMMYFUNCTION("""COMPUTED_VALUE"""),95.0)</f>
        <v>95</v>
      </c>
      <c r="F2710" s="4">
        <f>IFERROR(__xludf.DUMMYFUNCTION("""COMPUTED_VALUE"""),5.0)</f>
        <v>5</v>
      </c>
      <c r="G2710" s="4">
        <f>IFERROR(__xludf.DUMMYFUNCTION("""COMPUTED_VALUE"""),416.0)</f>
        <v>416</v>
      </c>
      <c r="H2710" s="5">
        <f>IFERROR(__xludf.DUMMYFUNCTION("""COMPUTED_VALUE"""),688.38)</f>
        <v>688.38</v>
      </c>
      <c r="I2710" s="5">
        <f>IFERROR(__xludf.DUMMYFUNCTION("""COMPUTED_VALUE"""),410.24)</f>
        <v>410.24</v>
      </c>
      <c r="J2710" s="5">
        <f>IFERROR(__xludf.DUMMYFUNCTION("""COMPUTED_VALUE"""),422.85)</f>
        <v>422.85</v>
      </c>
      <c r="K2710" s="5">
        <f>IFERROR(__xludf.DUMMYFUNCTION("""COMPUTED_VALUE"""),6172.61)</f>
        <v>6172.61</v>
      </c>
      <c r="L2710" s="4">
        <f>IFERROR(__xludf.DUMMYFUNCTION("""COMPUTED_VALUE"""),8.0)</f>
        <v>8</v>
      </c>
      <c r="M2710" s="4">
        <f>IFERROR(__xludf.DUMMYFUNCTION("""COMPUTED_VALUE"""),7.0)</f>
        <v>7</v>
      </c>
      <c r="N2710" s="2" t="b">
        <f>IFERROR(__xludf.DUMMYFUNCTION("""COMPUTED_VALUE"""),TRUE)</f>
        <v>1</v>
      </c>
    </row>
    <row r="2711">
      <c r="A2711" s="2">
        <f>IFERROR(__xludf.DUMMYFUNCTION("""COMPUTED_VALUE"""),2710.0)</f>
        <v>2710</v>
      </c>
      <c r="B2711" s="2" t="str">
        <f>IFERROR(__xludf.DUMMYFUNCTION("""COMPUTED_VALUE"""),"Merwin Drance")</f>
        <v>Merwin Drance</v>
      </c>
      <c r="C2711" s="2" t="str">
        <f>IFERROR(__xludf.DUMMYFUNCTION("""COMPUTED_VALUE"""),"mdrancejq@icio.us")</f>
        <v>mdrancejq@icio.us</v>
      </c>
      <c r="D2711" s="4">
        <f>IFERROR(__xludf.DUMMYFUNCTION("""COMPUTED_VALUE"""),60.0)</f>
        <v>60</v>
      </c>
      <c r="E2711" s="4">
        <f>IFERROR(__xludf.DUMMYFUNCTION("""COMPUTED_VALUE"""),22.0)</f>
        <v>22</v>
      </c>
      <c r="F2711" s="4">
        <f>IFERROR(__xludf.DUMMYFUNCTION("""COMPUTED_VALUE"""),13.0)</f>
        <v>13</v>
      </c>
      <c r="G2711" s="4">
        <f>IFERROR(__xludf.DUMMYFUNCTION("""COMPUTED_VALUE"""),173.0)</f>
        <v>173</v>
      </c>
      <c r="H2711" s="5">
        <f>IFERROR(__xludf.DUMMYFUNCTION("""COMPUTED_VALUE"""),1960.21)</f>
        <v>1960.21</v>
      </c>
      <c r="I2711" s="5">
        <f>IFERROR(__xludf.DUMMYFUNCTION("""COMPUTED_VALUE"""),4112.19)</f>
        <v>4112.19</v>
      </c>
      <c r="J2711" s="5">
        <f>IFERROR(__xludf.DUMMYFUNCTION("""COMPUTED_VALUE"""),7077.43)</f>
        <v>7077.43</v>
      </c>
      <c r="K2711" s="5">
        <f>IFERROR(__xludf.DUMMYFUNCTION("""COMPUTED_VALUE"""),9126.34)</f>
        <v>9126.34</v>
      </c>
      <c r="L2711" s="4">
        <f>IFERROR(__xludf.DUMMYFUNCTION("""COMPUTED_VALUE"""),14.0)</f>
        <v>14</v>
      </c>
      <c r="M2711" s="4">
        <f>IFERROR(__xludf.DUMMYFUNCTION("""COMPUTED_VALUE"""),34.0)</f>
        <v>34</v>
      </c>
      <c r="N2711" s="2" t="b">
        <f>IFERROR(__xludf.DUMMYFUNCTION("""COMPUTED_VALUE"""),FALSE)</f>
        <v>0</v>
      </c>
    </row>
    <row r="2712">
      <c r="A2712" s="2">
        <f>IFERROR(__xludf.DUMMYFUNCTION("""COMPUTED_VALUE"""),2711.0)</f>
        <v>2711</v>
      </c>
      <c r="B2712" s="2" t="str">
        <f>IFERROR(__xludf.DUMMYFUNCTION("""COMPUTED_VALUE"""),"Cathryn Inwood")</f>
        <v>Cathryn Inwood</v>
      </c>
      <c r="C2712" s="2" t="str">
        <f>IFERROR(__xludf.DUMMYFUNCTION("""COMPUTED_VALUE"""),"cinwoodjr@nhs.uk")</f>
        <v>cinwoodjr@nhs.uk</v>
      </c>
      <c r="D2712" s="4">
        <f>IFERROR(__xludf.DUMMYFUNCTION("""COMPUTED_VALUE"""),79.0)</f>
        <v>79</v>
      </c>
      <c r="E2712" s="4">
        <f>IFERROR(__xludf.DUMMYFUNCTION("""COMPUTED_VALUE"""),31.0)</f>
        <v>31</v>
      </c>
      <c r="F2712" s="4">
        <f>IFERROR(__xludf.DUMMYFUNCTION("""COMPUTED_VALUE"""),12.0)</f>
        <v>12</v>
      </c>
      <c r="G2712" s="4">
        <f>IFERROR(__xludf.DUMMYFUNCTION("""COMPUTED_VALUE"""),122.0)</f>
        <v>122</v>
      </c>
      <c r="H2712" s="5">
        <f>IFERROR(__xludf.DUMMYFUNCTION("""COMPUTED_VALUE"""),1201.05)</f>
        <v>1201.05</v>
      </c>
      <c r="I2712" s="5">
        <f>IFERROR(__xludf.DUMMYFUNCTION("""COMPUTED_VALUE"""),2197.2)</f>
        <v>2197.2</v>
      </c>
      <c r="J2712" s="5">
        <f>IFERROR(__xludf.DUMMYFUNCTION("""COMPUTED_VALUE"""),5472.37)</f>
        <v>5472.37</v>
      </c>
      <c r="K2712" s="5">
        <f>IFERROR(__xludf.DUMMYFUNCTION("""COMPUTED_VALUE"""),6135.03)</f>
        <v>6135.03</v>
      </c>
      <c r="L2712" s="4">
        <f>IFERROR(__xludf.DUMMYFUNCTION("""COMPUTED_VALUE"""),18.0)</f>
        <v>18</v>
      </c>
      <c r="M2712" s="4">
        <f>IFERROR(__xludf.DUMMYFUNCTION("""COMPUTED_VALUE"""),28.0)</f>
        <v>28</v>
      </c>
      <c r="N2712" s="2" t="b">
        <f>IFERROR(__xludf.DUMMYFUNCTION("""COMPUTED_VALUE"""),FALSE)</f>
        <v>0</v>
      </c>
    </row>
    <row r="2713">
      <c r="A2713" s="2">
        <f>IFERROR(__xludf.DUMMYFUNCTION("""COMPUTED_VALUE"""),2712.0)</f>
        <v>2712</v>
      </c>
      <c r="B2713" s="2" t="str">
        <f>IFERROR(__xludf.DUMMYFUNCTION("""COMPUTED_VALUE"""),"Bondie Freeborn")</f>
        <v>Bondie Freeborn</v>
      </c>
      <c r="C2713" s="2"/>
      <c r="D2713" s="4">
        <f>IFERROR(__xludf.DUMMYFUNCTION("""COMPUTED_VALUE"""),150.0)</f>
        <v>150</v>
      </c>
      <c r="E2713" s="4">
        <f>IFERROR(__xludf.DUMMYFUNCTION("""COMPUTED_VALUE"""),86.0)</f>
        <v>86</v>
      </c>
      <c r="F2713" s="4">
        <f>IFERROR(__xludf.DUMMYFUNCTION("""COMPUTED_VALUE"""),12.0)</f>
        <v>12</v>
      </c>
      <c r="G2713" s="4">
        <f>IFERROR(__xludf.DUMMYFUNCTION("""COMPUTED_VALUE"""),930.0)</f>
        <v>930</v>
      </c>
      <c r="H2713" s="5">
        <f>IFERROR(__xludf.DUMMYFUNCTION("""COMPUTED_VALUE"""),2920.88)</f>
        <v>2920.88</v>
      </c>
      <c r="I2713" s="5">
        <f>IFERROR(__xludf.DUMMYFUNCTION("""COMPUTED_VALUE"""),301.83)</f>
        <v>301.83</v>
      </c>
      <c r="J2713" s="5">
        <f>IFERROR(__xludf.DUMMYFUNCTION("""COMPUTED_VALUE"""),9257.44)</f>
        <v>9257.44</v>
      </c>
      <c r="K2713" s="5">
        <f>IFERROR(__xludf.DUMMYFUNCTION("""COMPUTED_VALUE"""),9238.14)</f>
        <v>9238.14</v>
      </c>
      <c r="L2713" s="4">
        <f>IFERROR(__xludf.DUMMYFUNCTION("""COMPUTED_VALUE"""),19.0)</f>
        <v>19</v>
      </c>
      <c r="M2713" s="4">
        <f>IFERROR(__xludf.DUMMYFUNCTION("""COMPUTED_VALUE"""),19.0)</f>
        <v>19</v>
      </c>
      <c r="N2713" s="2" t="b">
        <f>IFERROR(__xludf.DUMMYFUNCTION("""COMPUTED_VALUE"""),TRUE)</f>
        <v>1</v>
      </c>
    </row>
    <row r="2714">
      <c r="A2714" s="2">
        <f>IFERROR(__xludf.DUMMYFUNCTION("""COMPUTED_VALUE"""),2713.0)</f>
        <v>2713</v>
      </c>
      <c r="B2714" s="2" t="str">
        <f>IFERROR(__xludf.DUMMYFUNCTION("""COMPUTED_VALUE"""),"Iggie Kidby")</f>
        <v>Iggie Kidby</v>
      </c>
      <c r="C2714" s="2"/>
      <c r="D2714" s="4">
        <f>IFERROR(__xludf.DUMMYFUNCTION("""COMPUTED_VALUE"""),72.0)</f>
        <v>72</v>
      </c>
      <c r="E2714" s="4">
        <f>IFERROR(__xludf.DUMMYFUNCTION("""COMPUTED_VALUE"""),16.0)</f>
        <v>16</v>
      </c>
      <c r="F2714" s="4">
        <f>IFERROR(__xludf.DUMMYFUNCTION("""COMPUTED_VALUE"""),4.0)</f>
        <v>4</v>
      </c>
      <c r="G2714" s="4">
        <f>IFERROR(__xludf.DUMMYFUNCTION("""COMPUTED_VALUE"""),322.0)</f>
        <v>322</v>
      </c>
      <c r="H2714" s="5">
        <f>IFERROR(__xludf.DUMMYFUNCTION("""COMPUTED_VALUE"""),8889.08)</f>
        <v>8889.08</v>
      </c>
      <c r="I2714" s="5">
        <f>IFERROR(__xludf.DUMMYFUNCTION("""COMPUTED_VALUE"""),9351.72)</f>
        <v>9351.72</v>
      </c>
      <c r="J2714" s="5">
        <f>IFERROR(__xludf.DUMMYFUNCTION("""COMPUTED_VALUE"""),4223.58)</f>
        <v>4223.58</v>
      </c>
      <c r="K2714" s="5">
        <f>IFERROR(__xludf.DUMMYFUNCTION("""COMPUTED_VALUE"""),9744.53)</f>
        <v>9744.53</v>
      </c>
      <c r="L2714" s="4">
        <f>IFERROR(__xludf.DUMMYFUNCTION("""COMPUTED_VALUE"""),1.0)</f>
        <v>1</v>
      </c>
      <c r="M2714" s="4">
        <f>IFERROR(__xludf.DUMMYFUNCTION("""COMPUTED_VALUE"""),8.0)</f>
        <v>8</v>
      </c>
      <c r="N2714" s="2" t="b">
        <f>IFERROR(__xludf.DUMMYFUNCTION("""COMPUTED_VALUE"""),FALSE)</f>
        <v>0</v>
      </c>
    </row>
    <row r="2715">
      <c r="A2715" s="2">
        <f>IFERROR(__xludf.DUMMYFUNCTION("""COMPUTED_VALUE"""),2714.0)</f>
        <v>2714</v>
      </c>
      <c r="B2715" s="2" t="str">
        <f>IFERROR(__xludf.DUMMYFUNCTION("""COMPUTED_VALUE"""),"Waldo Yter")</f>
        <v>Waldo Yter</v>
      </c>
      <c r="C2715" s="2" t="str">
        <f>IFERROR(__xludf.DUMMYFUNCTION("""COMPUTED_VALUE"""),"wyterju@furl.net")</f>
        <v>wyterju@furl.net</v>
      </c>
      <c r="D2715" s="4">
        <f>IFERROR(__xludf.DUMMYFUNCTION("""COMPUTED_VALUE"""),18.0)</f>
        <v>18</v>
      </c>
      <c r="E2715" s="4">
        <f>IFERROR(__xludf.DUMMYFUNCTION("""COMPUTED_VALUE"""),33.0)</f>
        <v>33</v>
      </c>
      <c r="F2715" s="4">
        <f>IFERROR(__xludf.DUMMYFUNCTION("""COMPUTED_VALUE"""),12.0)</f>
        <v>12</v>
      </c>
      <c r="G2715" s="4">
        <f>IFERROR(__xludf.DUMMYFUNCTION("""COMPUTED_VALUE"""),1018.0)</f>
        <v>1018</v>
      </c>
      <c r="H2715" s="5">
        <f>IFERROR(__xludf.DUMMYFUNCTION("""COMPUTED_VALUE"""),1583.04)</f>
        <v>1583.04</v>
      </c>
      <c r="I2715" s="5">
        <f>IFERROR(__xludf.DUMMYFUNCTION("""COMPUTED_VALUE"""),1905.3)</f>
        <v>1905.3</v>
      </c>
      <c r="J2715" s="5">
        <f>IFERROR(__xludf.DUMMYFUNCTION("""COMPUTED_VALUE"""),9954.47)</f>
        <v>9954.47</v>
      </c>
      <c r="K2715" s="5">
        <f>IFERROR(__xludf.DUMMYFUNCTION("""COMPUTED_VALUE"""),2693.87)</f>
        <v>2693.87</v>
      </c>
      <c r="L2715" s="4">
        <f>IFERROR(__xludf.DUMMYFUNCTION("""COMPUTED_VALUE"""),3.0)</f>
        <v>3</v>
      </c>
      <c r="M2715" s="4">
        <f>IFERROR(__xludf.DUMMYFUNCTION("""COMPUTED_VALUE"""),25.0)</f>
        <v>25</v>
      </c>
      <c r="N2715" s="2" t="b">
        <f>IFERROR(__xludf.DUMMYFUNCTION("""COMPUTED_VALUE"""),FALSE)</f>
        <v>0</v>
      </c>
    </row>
    <row r="2716">
      <c r="A2716" s="2">
        <f>IFERROR(__xludf.DUMMYFUNCTION("""COMPUTED_VALUE"""),2715.0)</f>
        <v>2715</v>
      </c>
      <c r="B2716" s="2" t="str">
        <f>IFERROR(__xludf.DUMMYFUNCTION("""COMPUTED_VALUE"""),"Minne Cromly")</f>
        <v>Minne Cromly</v>
      </c>
      <c r="C2716" s="2" t="str">
        <f>IFERROR(__xludf.DUMMYFUNCTION("""COMPUTED_VALUE"""),"mcromlyjv@loc.gov")</f>
        <v>mcromlyjv@loc.gov</v>
      </c>
      <c r="D2716" s="4">
        <f>IFERROR(__xludf.DUMMYFUNCTION("""COMPUTED_VALUE"""),130.0)</f>
        <v>130</v>
      </c>
      <c r="E2716" s="4">
        <f>IFERROR(__xludf.DUMMYFUNCTION("""COMPUTED_VALUE"""),115.0)</f>
        <v>115</v>
      </c>
      <c r="F2716" s="4">
        <f>IFERROR(__xludf.DUMMYFUNCTION("""COMPUTED_VALUE"""),8.0)</f>
        <v>8</v>
      </c>
      <c r="G2716" s="4">
        <f>IFERROR(__xludf.DUMMYFUNCTION("""COMPUTED_VALUE"""),710.0)</f>
        <v>710</v>
      </c>
      <c r="H2716" s="5">
        <f>IFERROR(__xludf.DUMMYFUNCTION("""COMPUTED_VALUE"""),7833.6)</f>
        <v>7833.6</v>
      </c>
      <c r="I2716" s="5">
        <f>IFERROR(__xludf.DUMMYFUNCTION("""COMPUTED_VALUE"""),5074.87)</f>
        <v>5074.87</v>
      </c>
      <c r="J2716" s="5">
        <f>IFERROR(__xludf.DUMMYFUNCTION("""COMPUTED_VALUE"""),6193.83)</f>
        <v>6193.83</v>
      </c>
      <c r="K2716" s="5">
        <f>IFERROR(__xludf.DUMMYFUNCTION("""COMPUTED_VALUE"""),6182.6)</f>
        <v>6182.6</v>
      </c>
      <c r="L2716" s="4">
        <f>IFERROR(__xludf.DUMMYFUNCTION("""COMPUTED_VALUE"""),10.0)</f>
        <v>10</v>
      </c>
      <c r="M2716" s="4">
        <f>IFERROR(__xludf.DUMMYFUNCTION("""COMPUTED_VALUE"""),14.0)</f>
        <v>14</v>
      </c>
      <c r="N2716" s="2" t="b">
        <f>IFERROR(__xludf.DUMMYFUNCTION("""COMPUTED_VALUE"""),TRUE)</f>
        <v>1</v>
      </c>
    </row>
    <row r="2717">
      <c r="A2717" s="2">
        <f>IFERROR(__xludf.DUMMYFUNCTION("""COMPUTED_VALUE"""),2716.0)</f>
        <v>2716</v>
      </c>
      <c r="B2717" s="2" t="str">
        <f>IFERROR(__xludf.DUMMYFUNCTION("""COMPUTED_VALUE"""),"Honor Deval")</f>
        <v>Honor Deval</v>
      </c>
      <c r="C2717" s="2" t="str">
        <f>IFERROR(__xludf.DUMMYFUNCTION("""COMPUTED_VALUE"""),"hdevaljw@etsy.com")</f>
        <v>hdevaljw@etsy.com</v>
      </c>
      <c r="D2717" s="4">
        <f>IFERROR(__xludf.DUMMYFUNCTION("""COMPUTED_VALUE"""),132.0)</f>
        <v>132</v>
      </c>
      <c r="E2717" s="4">
        <f>IFERROR(__xludf.DUMMYFUNCTION("""COMPUTED_VALUE"""),35.0)</f>
        <v>35</v>
      </c>
      <c r="F2717" s="4">
        <f>IFERROR(__xludf.DUMMYFUNCTION("""COMPUTED_VALUE"""),1.0)</f>
        <v>1</v>
      </c>
      <c r="G2717" s="4">
        <f>IFERROR(__xludf.DUMMYFUNCTION("""COMPUTED_VALUE"""),862.0)</f>
        <v>862</v>
      </c>
      <c r="H2717" s="5">
        <f>IFERROR(__xludf.DUMMYFUNCTION("""COMPUTED_VALUE"""),7228.83)</f>
        <v>7228.83</v>
      </c>
      <c r="I2717" s="5">
        <f>IFERROR(__xludf.DUMMYFUNCTION("""COMPUTED_VALUE"""),8141.46)</f>
        <v>8141.46</v>
      </c>
      <c r="J2717" s="5">
        <f>IFERROR(__xludf.DUMMYFUNCTION("""COMPUTED_VALUE"""),3044.68)</f>
        <v>3044.68</v>
      </c>
      <c r="K2717" s="5">
        <f>IFERROR(__xludf.DUMMYFUNCTION("""COMPUTED_VALUE"""),2615.84)</f>
        <v>2615.84</v>
      </c>
      <c r="L2717" s="4">
        <f>IFERROR(__xludf.DUMMYFUNCTION("""COMPUTED_VALUE"""),13.0)</f>
        <v>13</v>
      </c>
      <c r="M2717" s="4">
        <f>IFERROR(__xludf.DUMMYFUNCTION("""COMPUTED_VALUE"""),8.0)</f>
        <v>8</v>
      </c>
      <c r="N2717" s="2" t="b">
        <f>IFERROR(__xludf.DUMMYFUNCTION("""COMPUTED_VALUE"""),TRUE)</f>
        <v>1</v>
      </c>
    </row>
    <row r="2718">
      <c r="A2718" s="2">
        <f>IFERROR(__xludf.DUMMYFUNCTION("""COMPUTED_VALUE"""),2717.0)</f>
        <v>2717</v>
      </c>
      <c r="B2718" s="2" t="str">
        <f>IFERROR(__xludf.DUMMYFUNCTION("""COMPUTED_VALUE"""),"Ive Brevetor")</f>
        <v>Ive Brevetor</v>
      </c>
      <c r="C2718" s="2"/>
      <c r="D2718" s="4">
        <f>IFERROR(__xludf.DUMMYFUNCTION("""COMPUTED_VALUE"""),60.0)</f>
        <v>60</v>
      </c>
      <c r="E2718" s="4">
        <f>IFERROR(__xludf.DUMMYFUNCTION("""COMPUTED_VALUE"""),83.0)</f>
        <v>83</v>
      </c>
      <c r="F2718" s="4">
        <f>IFERROR(__xludf.DUMMYFUNCTION("""COMPUTED_VALUE"""),3.0)</f>
        <v>3</v>
      </c>
      <c r="G2718" s="4">
        <f>IFERROR(__xludf.DUMMYFUNCTION("""COMPUTED_VALUE"""),364.0)</f>
        <v>364</v>
      </c>
      <c r="H2718" s="5">
        <f>IFERROR(__xludf.DUMMYFUNCTION("""COMPUTED_VALUE"""),3109.29)</f>
        <v>3109.29</v>
      </c>
      <c r="I2718" s="5">
        <f>IFERROR(__xludf.DUMMYFUNCTION("""COMPUTED_VALUE"""),2379.18)</f>
        <v>2379.18</v>
      </c>
      <c r="J2718" s="5">
        <f>IFERROR(__xludf.DUMMYFUNCTION("""COMPUTED_VALUE"""),2650.34)</f>
        <v>2650.34</v>
      </c>
      <c r="K2718" s="5">
        <f>IFERROR(__xludf.DUMMYFUNCTION("""COMPUTED_VALUE"""),6135.13)</f>
        <v>6135.13</v>
      </c>
      <c r="L2718" s="4">
        <f>IFERROR(__xludf.DUMMYFUNCTION("""COMPUTED_VALUE"""),5.0)</f>
        <v>5</v>
      </c>
      <c r="M2718" s="4">
        <f>IFERROR(__xludf.DUMMYFUNCTION("""COMPUTED_VALUE"""),21.0)</f>
        <v>21</v>
      </c>
      <c r="N2718" s="2" t="b">
        <f>IFERROR(__xludf.DUMMYFUNCTION("""COMPUTED_VALUE"""),TRUE)</f>
        <v>1</v>
      </c>
    </row>
    <row r="2719">
      <c r="A2719" s="2">
        <f>IFERROR(__xludf.DUMMYFUNCTION("""COMPUTED_VALUE"""),2718.0)</f>
        <v>2718</v>
      </c>
      <c r="B2719" s="2" t="str">
        <f>IFERROR(__xludf.DUMMYFUNCTION("""COMPUTED_VALUE"""),"Kristoforo Duckham")</f>
        <v>Kristoforo Duckham</v>
      </c>
      <c r="C2719" s="2"/>
      <c r="D2719" s="4">
        <f>IFERROR(__xludf.DUMMYFUNCTION("""COMPUTED_VALUE"""),2.0)</f>
        <v>2</v>
      </c>
      <c r="E2719" s="4">
        <f>IFERROR(__xludf.DUMMYFUNCTION("""COMPUTED_VALUE"""),75.0)</f>
        <v>75</v>
      </c>
      <c r="F2719" s="4">
        <f>IFERROR(__xludf.DUMMYFUNCTION("""COMPUTED_VALUE"""),1.0)</f>
        <v>1</v>
      </c>
      <c r="G2719" s="4">
        <f>IFERROR(__xludf.DUMMYFUNCTION("""COMPUTED_VALUE"""),1346.0)</f>
        <v>1346</v>
      </c>
      <c r="H2719" s="5">
        <f>IFERROR(__xludf.DUMMYFUNCTION("""COMPUTED_VALUE"""),6219.34)</f>
        <v>6219.34</v>
      </c>
      <c r="I2719" s="5">
        <f>IFERROR(__xludf.DUMMYFUNCTION("""COMPUTED_VALUE"""),7160.73)</f>
        <v>7160.73</v>
      </c>
      <c r="J2719" s="5">
        <f>IFERROR(__xludf.DUMMYFUNCTION("""COMPUTED_VALUE"""),6977.64)</f>
        <v>6977.64</v>
      </c>
      <c r="K2719" s="5">
        <f>IFERROR(__xludf.DUMMYFUNCTION("""COMPUTED_VALUE"""),2114.58)</f>
        <v>2114.58</v>
      </c>
      <c r="L2719" s="4">
        <f>IFERROR(__xludf.DUMMYFUNCTION("""COMPUTED_VALUE"""),20.0)</f>
        <v>20</v>
      </c>
      <c r="M2719" s="4">
        <f>IFERROR(__xludf.DUMMYFUNCTION("""COMPUTED_VALUE"""),54.0)</f>
        <v>54</v>
      </c>
      <c r="N2719" s="2" t="b">
        <f>IFERROR(__xludf.DUMMYFUNCTION("""COMPUTED_VALUE"""),FALSE)</f>
        <v>0</v>
      </c>
    </row>
    <row r="2720">
      <c r="A2720" s="2">
        <f>IFERROR(__xludf.DUMMYFUNCTION("""COMPUTED_VALUE"""),2719.0)</f>
        <v>2719</v>
      </c>
      <c r="B2720" s="2" t="str">
        <f>IFERROR(__xludf.DUMMYFUNCTION("""COMPUTED_VALUE"""),"Kevin Reynish")</f>
        <v>Kevin Reynish</v>
      </c>
      <c r="C2720" s="2"/>
      <c r="D2720" s="4">
        <f>IFERROR(__xludf.DUMMYFUNCTION("""COMPUTED_VALUE"""),93.0)</f>
        <v>93</v>
      </c>
      <c r="E2720" s="4">
        <f>IFERROR(__xludf.DUMMYFUNCTION("""COMPUTED_VALUE"""),114.0)</f>
        <v>114</v>
      </c>
      <c r="F2720" s="4">
        <f>IFERROR(__xludf.DUMMYFUNCTION("""COMPUTED_VALUE"""),4.0)</f>
        <v>4</v>
      </c>
      <c r="G2720" s="4">
        <f>IFERROR(__xludf.DUMMYFUNCTION("""COMPUTED_VALUE"""),62.0)</f>
        <v>62</v>
      </c>
      <c r="H2720" s="5">
        <f>IFERROR(__xludf.DUMMYFUNCTION("""COMPUTED_VALUE"""),2988.76)</f>
        <v>2988.76</v>
      </c>
      <c r="I2720" s="5">
        <f>IFERROR(__xludf.DUMMYFUNCTION("""COMPUTED_VALUE"""),7685.79)</f>
        <v>7685.79</v>
      </c>
      <c r="J2720" s="5">
        <f>IFERROR(__xludf.DUMMYFUNCTION("""COMPUTED_VALUE"""),9158.0)</f>
        <v>9158</v>
      </c>
      <c r="K2720" s="5">
        <f>IFERROR(__xludf.DUMMYFUNCTION("""COMPUTED_VALUE"""),3531.39)</f>
        <v>3531.39</v>
      </c>
      <c r="L2720" s="4">
        <f>IFERROR(__xludf.DUMMYFUNCTION("""COMPUTED_VALUE"""),6.0)</f>
        <v>6</v>
      </c>
      <c r="M2720" s="4">
        <f>IFERROR(__xludf.DUMMYFUNCTION("""COMPUTED_VALUE"""),5.0)</f>
        <v>5</v>
      </c>
      <c r="N2720" s="2" t="b">
        <f>IFERROR(__xludf.DUMMYFUNCTION("""COMPUTED_VALUE"""),TRUE)</f>
        <v>1</v>
      </c>
    </row>
    <row r="2721">
      <c r="A2721" s="2">
        <f>IFERROR(__xludf.DUMMYFUNCTION("""COMPUTED_VALUE"""),2720.0)</f>
        <v>2720</v>
      </c>
      <c r="B2721" s="2" t="str">
        <f>IFERROR(__xludf.DUMMYFUNCTION("""COMPUTED_VALUE"""),"Royce Bottini")</f>
        <v>Royce Bottini</v>
      </c>
      <c r="C2721" s="2" t="str">
        <f>IFERROR(__xludf.DUMMYFUNCTION("""COMPUTED_VALUE"""),"rbottinik0@wordpress.com")</f>
        <v>rbottinik0@wordpress.com</v>
      </c>
      <c r="D2721" s="4">
        <f>IFERROR(__xludf.DUMMYFUNCTION("""COMPUTED_VALUE"""),119.0)</f>
        <v>119</v>
      </c>
      <c r="E2721" s="4">
        <f>IFERROR(__xludf.DUMMYFUNCTION("""COMPUTED_VALUE"""),56.0)</f>
        <v>56</v>
      </c>
      <c r="F2721" s="4">
        <f>IFERROR(__xludf.DUMMYFUNCTION("""COMPUTED_VALUE"""),11.0)</f>
        <v>11</v>
      </c>
      <c r="G2721" s="4">
        <f>IFERROR(__xludf.DUMMYFUNCTION("""COMPUTED_VALUE"""),728.0)</f>
        <v>728</v>
      </c>
      <c r="H2721" s="5">
        <f>IFERROR(__xludf.DUMMYFUNCTION("""COMPUTED_VALUE"""),9067.41)</f>
        <v>9067.41</v>
      </c>
      <c r="I2721" s="5">
        <f>IFERROR(__xludf.DUMMYFUNCTION("""COMPUTED_VALUE"""),7655.06)</f>
        <v>7655.06</v>
      </c>
      <c r="J2721" s="5">
        <f>IFERROR(__xludf.DUMMYFUNCTION("""COMPUTED_VALUE"""),3252.96)</f>
        <v>3252.96</v>
      </c>
      <c r="K2721" s="5">
        <f>IFERROR(__xludf.DUMMYFUNCTION("""COMPUTED_VALUE"""),2783.54)</f>
        <v>2783.54</v>
      </c>
      <c r="L2721" s="4">
        <f>IFERROR(__xludf.DUMMYFUNCTION("""COMPUTED_VALUE"""),10.0)</f>
        <v>10</v>
      </c>
      <c r="M2721" s="4">
        <f>IFERROR(__xludf.DUMMYFUNCTION("""COMPUTED_VALUE"""),6.0)</f>
        <v>6</v>
      </c>
      <c r="N2721" s="2" t="b">
        <f>IFERROR(__xludf.DUMMYFUNCTION("""COMPUTED_VALUE"""),TRUE)</f>
        <v>1</v>
      </c>
    </row>
    <row r="2722">
      <c r="A2722" s="2">
        <f>IFERROR(__xludf.DUMMYFUNCTION("""COMPUTED_VALUE"""),2721.0)</f>
        <v>2721</v>
      </c>
      <c r="B2722" s="2" t="str">
        <f>IFERROR(__xludf.DUMMYFUNCTION("""COMPUTED_VALUE"""),"Barnett Cammoile")</f>
        <v>Barnett Cammoile</v>
      </c>
      <c r="C2722" s="2" t="str">
        <f>IFERROR(__xludf.DUMMYFUNCTION("""COMPUTED_VALUE"""),"bcammoilek1@lycos.com")</f>
        <v>bcammoilek1@lycos.com</v>
      </c>
      <c r="D2722" s="4">
        <f>IFERROR(__xludf.DUMMYFUNCTION("""COMPUTED_VALUE"""),54.0)</f>
        <v>54</v>
      </c>
      <c r="E2722" s="4">
        <f>IFERROR(__xludf.DUMMYFUNCTION("""COMPUTED_VALUE"""),117.0)</f>
        <v>117</v>
      </c>
      <c r="F2722" s="4">
        <f>IFERROR(__xludf.DUMMYFUNCTION("""COMPUTED_VALUE"""),8.0)</f>
        <v>8</v>
      </c>
      <c r="G2722" s="4">
        <f>IFERROR(__xludf.DUMMYFUNCTION("""COMPUTED_VALUE"""),413.0)</f>
        <v>413</v>
      </c>
      <c r="H2722" s="5">
        <f>IFERROR(__xludf.DUMMYFUNCTION("""COMPUTED_VALUE"""),442.1)</f>
        <v>442.1</v>
      </c>
      <c r="I2722" s="5">
        <f>IFERROR(__xludf.DUMMYFUNCTION("""COMPUTED_VALUE"""),152.39)</f>
        <v>152.39</v>
      </c>
      <c r="J2722" s="5">
        <f>IFERROR(__xludf.DUMMYFUNCTION("""COMPUTED_VALUE"""),1557.33)</f>
        <v>1557.33</v>
      </c>
      <c r="K2722" s="5">
        <f>IFERROR(__xludf.DUMMYFUNCTION("""COMPUTED_VALUE"""),3503.19)</f>
        <v>3503.19</v>
      </c>
      <c r="L2722" s="4">
        <f>IFERROR(__xludf.DUMMYFUNCTION("""COMPUTED_VALUE"""),3.0)</f>
        <v>3</v>
      </c>
      <c r="M2722" s="4">
        <f>IFERROR(__xludf.DUMMYFUNCTION("""COMPUTED_VALUE"""),26.0)</f>
        <v>26</v>
      </c>
      <c r="N2722" s="2" t="b">
        <f>IFERROR(__xludf.DUMMYFUNCTION("""COMPUTED_VALUE"""),TRUE)</f>
        <v>1</v>
      </c>
    </row>
    <row r="2723">
      <c r="A2723" s="2">
        <f>IFERROR(__xludf.DUMMYFUNCTION("""COMPUTED_VALUE"""),2722.0)</f>
        <v>2722</v>
      </c>
      <c r="B2723" s="2" t="str">
        <f>IFERROR(__xludf.DUMMYFUNCTION("""COMPUTED_VALUE"""),"Gamaliel Marlen")</f>
        <v>Gamaliel Marlen</v>
      </c>
      <c r="C2723" s="2"/>
      <c r="D2723" s="4">
        <f>IFERROR(__xludf.DUMMYFUNCTION("""COMPUTED_VALUE"""),18.0)</f>
        <v>18</v>
      </c>
      <c r="E2723" s="4">
        <f>IFERROR(__xludf.DUMMYFUNCTION("""COMPUTED_VALUE"""),77.0)</f>
        <v>77</v>
      </c>
      <c r="F2723" s="4">
        <f>IFERROR(__xludf.DUMMYFUNCTION("""COMPUTED_VALUE"""),1.0)</f>
        <v>1</v>
      </c>
      <c r="G2723" s="4">
        <f>IFERROR(__xludf.DUMMYFUNCTION("""COMPUTED_VALUE"""),531.0)</f>
        <v>531</v>
      </c>
      <c r="H2723" s="5">
        <f>IFERROR(__xludf.DUMMYFUNCTION("""COMPUTED_VALUE"""),7406.24)</f>
        <v>7406.24</v>
      </c>
      <c r="I2723" s="5">
        <f>IFERROR(__xludf.DUMMYFUNCTION("""COMPUTED_VALUE"""),8132.1)</f>
        <v>8132.1</v>
      </c>
      <c r="J2723" s="5">
        <f>IFERROR(__xludf.DUMMYFUNCTION("""COMPUTED_VALUE"""),3609.39)</f>
        <v>3609.39</v>
      </c>
      <c r="K2723" s="5">
        <f>IFERROR(__xludf.DUMMYFUNCTION("""COMPUTED_VALUE"""),3558.41)</f>
        <v>3558.41</v>
      </c>
      <c r="L2723" s="4">
        <f>IFERROR(__xludf.DUMMYFUNCTION("""COMPUTED_VALUE"""),10.0)</f>
        <v>10</v>
      </c>
      <c r="M2723" s="4">
        <f>IFERROR(__xludf.DUMMYFUNCTION("""COMPUTED_VALUE"""),80.0)</f>
        <v>80</v>
      </c>
      <c r="N2723" s="2" t="b">
        <f>IFERROR(__xludf.DUMMYFUNCTION("""COMPUTED_VALUE"""),FALSE)</f>
        <v>0</v>
      </c>
    </row>
    <row r="2724">
      <c r="A2724" s="2">
        <f>IFERROR(__xludf.DUMMYFUNCTION("""COMPUTED_VALUE"""),2723.0)</f>
        <v>2723</v>
      </c>
      <c r="B2724" s="2" t="str">
        <f>IFERROR(__xludf.DUMMYFUNCTION("""COMPUTED_VALUE"""),"Jerrilyn Nehls")</f>
        <v>Jerrilyn Nehls</v>
      </c>
      <c r="C2724" s="2" t="str">
        <f>IFERROR(__xludf.DUMMYFUNCTION("""COMPUTED_VALUE"""),"jnehlsk3@hexun.com")</f>
        <v>jnehlsk3@hexun.com</v>
      </c>
      <c r="D2724" s="4">
        <f>IFERROR(__xludf.DUMMYFUNCTION("""COMPUTED_VALUE"""),21.0)</f>
        <v>21</v>
      </c>
      <c r="E2724" s="4">
        <f>IFERROR(__xludf.DUMMYFUNCTION("""COMPUTED_VALUE"""),86.0)</f>
        <v>86</v>
      </c>
      <c r="F2724" s="4">
        <f>IFERROR(__xludf.DUMMYFUNCTION("""COMPUTED_VALUE"""),9.0)</f>
        <v>9</v>
      </c>
      <c r="G2724" s="4">
        <f>IFERROR(__xludf.DUMMYFUNCTION("""COMPUTED_VALUE"""),1191.0)</f>
        <v>1191</v>
      </c>
      <c r="H2724" s="5">
        <f>IFERROR(__xludf.DUMMYFUNCTION("""COMPUTED_VALUE"""),3627.65)</f>
        <v>3627.65</v>
      </c>
      <c r="I2724" s="5">
        <f>IFERROR(__xludf.DUMMYFUNCTION("""COMPUTED_VALUE"""),1870.19)</f>
        <v>1870.19</v>
      </c>
      <c r="J2724" s="5">
        <f>IFERROR(__xludf.DUMMYFUNCTION("""COMPUTED_VALUE"""),9154.27)</f>
        <v>9154.27</v>
      </c>
      <c r="K2724" s="5">
        <f>IFERROR(__xludf.DUMMYFUNCTION("""COMPUTED_VALUE"""),601.17)</f>
        <v>601.17</v>
      </c>
      <c r="L2724" s="4">
        <f>IFERROR(__xludf.DUMMYFUNCTION("""COMPUTED_VALUE"""),11.0)</f>
        <v>11</v>
      </c>
      <c r="M2724" s="4">
        <f>IFERROR(__xludf.DUMMYFUNCTION("""COMPUTED_VALUE"""),46.0)</f>
        <v>46</v>
      </c>
      <c r="N2724" s="2" t="b">
        <f>IFERROR(__xludf.DUMMYFUNCTION("""COMPUTED_VALUE"""),TRUE)</f>
        <v>1</v>
      </c>
    </row>
    <row r="2725">
      <c r="A2725" s="2">
        <f>IFERROR(__xludf.DUMMYFUNCTION("""COMPUTED_VALUE"""),2724.0)</f>
        <v>2724</v>
      </c>
      <c r="B2725" s="2" t="str">
        <f>IFERROR(__xludf.DUMMYFUNCTION("""COMPUTED_VALUE"""),"Kassie Greenlees")</f>
        <v>Kassie Greenlees</v>
      </c>
      <c r="C2725" s="2"/>
      <c r="D2725" s="4">
        <f>IFERROR(__xludf.DUMMYFUNCTION("""COMPUTED_VALUE"""),24.0)</f>
        <v>24</v>
      </c>
      <c r="E2725" s="4">
        <f>IFERROR(__xludf.DUMMYFUNCTION("""COMPUTED_VALUE"""),11.0)</f>
        <v>11</v>
      </c>
      <c r="F2725" s="4">
        <f>IFERROR(__xludf.DUMMYFUNCTION("""COMPUTED_VALUE"""),6.0)</f>
        <v>6</v>
      </c>
      <c r="G2725" s="4">
        <f>IFERROR(__xludf.DUMMYFUNCTION("""COMPUTED_VALUE"""),1150.0)</f>
        <v>1150</v>
      </c>
      <c r="H2725" s="5">
        <f>IFERROR(__xludf.DUMMYFUNCTION("""COMPUTED_VALUE"""),2163.2)</f>
        <v>2163.2</v>
      </c>
      <c r="I2725" s="5">
        <f>IFERROR(__xludf.DUMMYFUNCTION("""COMPUTED_VALUE"""),7355.73)</f>
        <v>7355.73</v>
      </c>
      <c r="J2725" s="5">
        <f>IFERROR(__xludf.DUMMYFUNCTION("""COMPUTED_VALUE"""),7291.36)</f>
        <v>7291.36</v>
      </c>
      <c r="K2725" s="5">
        <f>IFERROR(__xludf.DUMMYFUNCTION("""COMPUTED_VALUE"""),7338.75)</f>
        <v>7338.75</v>
      </c>
      <c r="L2725" s="4">
        <f>IFERROR(__xludf.DUMMYFUNCTION("""COMPUTED_VALUE"""),20.0)</f>
        <v>20</v>
      </c>
      <c r="M2725" s="4">
        <f>IFERROR(__xludf.DUMMYFUNCTION("""COMPUTED_VALUE"""),13.0)</f>
        <v>13</v>
      </c>
      <c r="N2725" s="2" t="b">
        <f>IFERROR(__xludf.DUMMYFUNCTION("""COMPUTED_VALUE"""),FALSE)</f>
        <v>0</v>
      </c>
    </row>
    <row r="2726">
      <c r="A2726" s="2">
        <f>IFERROR(__xludf.DUMMYFUNCTION("""COMPUTED_VALUE"""),2725.0)</f>
        <v>2725</v>
      </c>
      <c r="B2726" s="2" t="str">
        <f>IFERROR(__xludf.DUMMYFUNCTION("""COMPUTED_VALUE"""),"Silva Shelford")</f>
        <v>Silva Shelford</v>
      </c>
      <c r="C2726" s="2"/>
      <c r="D2726" s="4">
        <f>IFERROR(__xludf.DUMMYFUNCTION("""COMPUTED_VALUE"""),132.0)</f>
        <v>132</v>
      </c>
      <c r="E2726" s="4">
        <f>IFERROR(__xludf.DUMMYFUNCTION("""COMPUTED_VALUE"""),74.0)</f>
        <v>74</v>
      </c>
      <c r="F2726" s="4">
        <f>IFERROR(__xludf.DUMMYFUNCTION("""COMPUTED_VALUE"""),10.0)</f>
        <v>10</v>
      </c>
      <c r="G2726" s="4">
        <f>IFERROR(__xludf.DUMMYFUNCTION("""COMPUTED_VALUE"""),1528.0)</f>
        <v>1528</v>
      </c>
      <c r="H2726" s="5">
        <f>IFERROR(__xludf.DUMMYFUNCTION("""COMPUTED_VALUE"""),6558.87)</f>
        <v>6558.87</v>
      </c>
      <c r="I2726" s="5">
        <f>IFERROR(__xludf.DUMMYFUNCTION("""COMPUTED_VALUE"""),4010.4)</f>
        <v>4010.4</v>
      </c>
      <c r="J2726" s="5">
        <f>IFERROR(__xludf.DUMMYFUNCTION("""COMPUTED_VALUE"""),5758.96)</f>
        <v>5758.96</v>
      </c>
      <c r="K2726" s="5">
        <f>IFERROR(__xludf.DUMMYFUNCTION("""COMPUTED_VALUE"""),6098.49)</f>
        <v>6098.49</v>
      </c>
      <c r="L2726" s="4">
        <f>IFERROR(__xludf.DUMMYFUNCTION("""COMPUTED_VALUE"""),9.0)</f>
        <v>9</v>
      </c>
      <c r="M2726" s="4">
        <f>IFERROR(__xludf.DUMMYFUNCTION("""COMPUTED_VALUE"""),7.0)</f>
        <v>7</v>
      </c>
      <c r="N2726" s="2" t="b">
        <f>IFERROR(__xludf.DUMMYFUNCTION("""COMPUTED_VALUE"""),TRUE)</f>
        <v>1</v>
      </c>
    </row>
    <row r="2727">
      <c r="A2727" s="2">
        <f>IFERROR(__xludf.DUMMYFUNCTION("""COMPUTED_VALUE"""),2726.0)</f>
        <v>2726</v>
      </c>
      <c r="B2727" s="2" t="str">
        <f>IFERROR(__xludf.DUMMYFUNCTION("""COMPUTED_VALUE"""),"Olag Islip")</f>
        <v>Olag Islip</v>
      </c>
      <c r="C2727" s="2" t="str">
        <f>IFERROR(__xludf.DUMMYFUNCTION("""COMPUTED_VALUE"""),"oislipk6@imdb.com")</f>
        <v>oislipk6@imdb.com</v>
      </c>
      <c r="D2727" s="4">
        <f>IFERROR(__xludf.DUMMYFUNCTION("""COMPUTED_VALUE"""),61.0)</f>
        <v>61</v>
      </c>
      <c r="E2727" s="4">
        <f>IFERROR(__xludf.DUMMYFUNCTION("""COMPUTED_VALUE"""),20.0)</f>
        <v>20</v>
      </c>
      <c r="F2727" s="4">
        <f>IFERROR(__xludf.DUMMYFUNCTION("""COMPUTED_VALUE"""),10.0)</f>
        <v>10</v>
      </c>
      <c r="G2727" s="4">
        <f>IFERROR(__xludf.DUMMYFUNCTION("""COMPUTED_VALUE"""),1549.0)</f>
        <v>1549</v>
      </c>
      <c r="H2727" s="5">
        <f>IFERROR(__xludf.DUMMYFUNCTION("""COMPUTED_VALUE"""),9858.92)</f>
        <v>9858.92</v>
      </c>
      <c r="I2727" s="5">
        <f>IFERROR(__xludf.DUMMYFUNCTION("""COMPUTED_VALUE"""),4121.97)</f>
        <v>4121.97</v>
      </c>
      <c r="J2727" s="5">
        <f>IFERROR(__xludf.DUMMYFUNCTION("""COMPUTED_VALUE"""),7636.4)</f>
        <v>7636.4</v>
      </c>
      <c r="K2727" s="5">
        <f>IFERROR(__xludf.DUMMYFUNCTION("""COMPUTED_VALUE"""),5319.56)</f>
        <v>5319.56</v>
      </c>
      <c r="L2727" s="4">
        <f>IFERROR(__xludf.DUMMYFUNCTION("""COMPUTED_VALUE"""),16.0)</f>
        <v>16</v>
      </c>
      <c r="M2727" s="4">
        <f>IFERROR(__xludf.DUMMYFUNCTION("""COMPUTED_VALUE"""),63.0)</f>
        <v>63</v>
      </c>
      <c r="N2727" s="2" t="b">
        <f>IFERROR(__xludf.DUMMYFUNCTION("""COMPUTED_VALUE"""),TRUE)</f>
        <v>1</v>
      </c>
    </row>
    <row r="2728">
      <c r="A2728" s="2">
        <f>IFERROR(__xludf.DUMMYFUNCTION("""COMPUTED_VALUE"""),2727.0)</f>
        <v>2727</v>
      </c>
      <c r="B2728" s="2" t="str">
        <f>IFERROR(__xludf.DUMMYFUNCTION("""COMPUTED_VALUE"""),"Nils Arendsen")</f>
        <v>Nils Arendsen</v>
      </c>
      <c r="C2728" s="2"/>
      <c r="D2728" s="4">
        <f>IFERROR(__xludf.DUMMYFUNCTION("""COMPUTED_VALUE"""),81.0)</f>
        <v>81</v>
      </c>
      <c r="E2728" s="4">
        <f>IFERROR(__xludf.DUMMYFUNCTION("""COMPUTED_VALUE"""),49.0)</f>
        <v>49</v>
      </c>
      <c r="F2728" s="4">
        <f>IFERROR(__xludf.DUMMYFUNCTION("""COMPUTED_VALUE"""),12.0)</f>
        <v>12</v>
      </c>
      <c r="G2728" s="4">
        <f>IFERROR(__xludf.DUMMYFUNCTION("""COMPUTED_VALUE"""),852.0)</f>
        <v>852</v>
      </c>
      <c r="H2728" s="5">
        <f>IFERROR(__xludf.DUMMYFUNCTION("""COMPUTED_VALUE"""),865.92)</f>
        <v>865.92</v>
      </c>
      <c r="I2728" s="5">
        <f>IFERROR(__xludf.DUMMYFUNCTION("""COMPUTED_VALUE"""),6261.31)</f>
        <v>6261.31</v>
      </c>
      <c r="J2728" s="5">
        <f>IFERROR(__xludf.DUMMYFUNCTION("""COMPUTED_VALUE"""),6992.89)</f>
        <v>6992.89</v>
      </c>
      <c r="K2728" s="5">
        <f>IFERROR(__xludf.DUMMYFUNCTION("""COMPUTED_VALUE"""),4821.47)</f>
        <v>4821.47</v>
      </c>
      <c r="L2728" s="4">
        <f>IFERROR(__xludf.DUMMYFUNCTION("""COMPUTED_VALUE"""),14.0)</f>
        <v>14</v>
      </c>
      <c r="M2728" s="4">
        <f>IFERROR(__xludf.DUMMYFUNCTION("""COMPUTED_VALUE"""),16.0)</f>
        <v>16</v>
      </c>
      <c r="N2728" s="2" t="b">
        <f>IFERROR(__xludf.DUMMYFUNCTION("""COMPUTED_VALUE"""),FALSE)</f>
        <v>0</v>
      </c>
    </row>
    <row r="2729">
      <c r="A2729" s="2">
        <f>IFERROR(__xludf.DUMMYFUNCTION("""COMPUTED_VALUE"""),2728.0)</f>
        <v>2728</v>
      </c>
      <c r="B2729" s="2" t="str">
        <f>IFERROR(__xludf.DUMMYFUNCTION("""COMPUTED_VALUE"""),"Gerick Cantle")</f>
        <v>Gerick Cantle</v>
      </c>
      <c r="C2729" s="2" t="str">
        <f>IFERROR(__xludf.DUMMYFUNCTION("""COMPUTED_VALUE"""),"gcantlek8@ovh.net")</f>
        <v>gcantlek8@ovh.net</v>
      </c>
      <c r="D2729" s="4">
        <f>IFERROR(__xludf.DUMMYFUNCTION("""COMPUTED_VALUE"""),44.0)</f>
        <v>44</v>
      </c>
      <c r="E2729" s="4">
        <f>IFERROR(__xludf.DUMMYFUNCTION("""COMPUTED_VALUE"""),40.0)</f>
        <v>40</v>
      </c>
      <c r="F2729" s="4">
        <f>IFERROR(__xludf.DUMMYFUNCTION("""COMPUTED_VALUE"""),5.0)</f>
        <v>5</v>
      </c>
      <c r="G2729" s="4">
        <f>IFERROR(__xludf.DUMMYFUNCTION("""COMPUTED_VALUE"""),900.0)</f>
        <v>900</v>
      </c>
      <c r="H2729" s="5">
        <f>IFERROR(__xludf.DUMMYFUNCTION("""COMPUTED_VALUE"""),1272.08)</f>
        <v>1272.08</v>
      </c>
      <c r="I2729" s="5">
        <f>IFERROR(__xludf.DUMMYFUNCTION("""COMPUTED_VALUE"""),4488.34)</f>
        <v>4488.34</v>
      </c>
      <c r="J2729" s="5">
        <f>IFERROR(__xludf.DUMMYFUNCTION("""COMPUTED_VALUE"""),4176.16)</f>
        <v>4176.16</v>
      </c>
      <c r="K2729" s="5">
        <f>IFERROR(__xludf.DUMMYFUNCTION("""COMPUTED_VALUE"""),927.35)</f>
        <v>927.35</v>
      </c>
      <c r="L2729" s="4">
        <f>IFERROR(__xludf.DUMMYFUNCTION("""COMPUTED_VALUE"""),8.0)</f>
        <v>8</v>
      </c>
      <c r="M2729" s="4">
        <f>IFERROR(__xludf.DUMMYFUNCTION("""COMPUTED_VALUE"""),55.0)</f>
        <v>55</v>
      </c>
      <c r="N2729" s="2" t="b">
        <f>IFERROR(__xludf.DUMMYFUNCTION("""COMPUTED_VALUE"""),FALSE)</f>
        <v>0</v>
      </c>
    </row>
    <row r="2730">
      <c r="A2730" s="2">
        <f>IFERROR(__xludf.DUMMYFUNCTION("""COMPUTED_VALUE"""),2729.0)</f>
        <v>2729</v>
      </c>
      <c r="B2730" s="2" t="str">
        <f>IFERROR(__xludf.DUMMYFUNCTION("""COMPUTED_VALUE"""),"Nerissa Burnand")</f>
        <v>Nerissa Burnand</v>
      </c>
      <c r="C2730" s="2" t="str">
        <f>IFERROR(__xludf.DUMMYFUNCTION("""COMPUTED_VALUE"""),"nburnandk9@theguardian.com")</f>
        <v>nburnandk9@theguardian.com</v>
      </c>
      <c r="D2730" s="4">
        <f>IFERROR(__xludf.DUMMYFUNCTION("""COMPUTED_VALUE"""),42.0)</f>
        <v>42</v>
      </c>
      <c r="E2730" s="4">
        <f>IFERROR(__xludf.DUMMYFUNCTION("""COMPUTED_VALUE"""),78.0)</f>
        <v>78</v>
      </c>
      <c r="F2730" s="4">
        <f>IFERROR(__xludf.DUMMYFUNCTION("""COMPUTED_VALUE"""),10.0)</f>
        <v>10</v>
      </c>
      <c r="G2730" s="4">
        <f>IFERROR(__xludf.DUMMYFUNCTION("""COMPUTED_VALUE"""),970.0)</f>
        <v>970</v>
      </c>
      <c r="H2730" s="5">
        <f>IFERROR(__xludf.DUMMYFUNCTION("""COMPUTED_VALUE"""),6654.25)</f>
        <v>6654.25</v>
      </c>
      <c r="I2730" s="5">
        <f>IFERROR(__xludf.DUMMYFUNCTION("""COMPUTED_VALUE"""),1875.18)</f>
        <v>1875.18</v>
      </c>
      <c r="J2730" s="5">
        <f>IFERROR(__xludf.DUMMYFUNCTION("""COMPUTED_VALUE"""),8404.8)</f>
        <v>8404.8</v>
      </c>
      <c r="K2730" s="5">
        <f>IFERROR(__xludf.DUMMYFUNCTION("""COMPUTED_VALUE"""),1246.44)</f>
        <v>1246.44</v>
      </c>
      <c r="L2730" s="4">
        <f>IFERROR(__xludf.DUMMYFUNCTION("""COMPUTED_VALUE"""),9.0)</f>
        <v>9</v>
      </c>
      <c r="M2730" s="4">
        <f>IFERROR(__xludf.DUMMYFUNCTION("""COMPUTED_VALUE"""),13.0)</f>
        <v>13</v>
      </c>
      <c r="N2730" s="2" t="b">
        <f>IFERROR(__xludf.DUMMYFUNCTION("""COMPUTED_VALUE"""),TRUE)</f>
        <v>1</v>
      </c>
    </row>
    <row r="2731">
      <c r="A2731" s="2">
        <f>IFERROR(__xludf.DUMMYFUNCTION("""COMPUTED_VALUE"""),2730.0)</f>
        <v>2730</v>
      </c>
      <c r="B2731" s="2" t="str">
        <f>IFERROR(__xludf.DUMMYFUNCTION("""COMPUTED_VALUE"""),"Hartley Cuseck")</f>
        <v>Hartley Cuseck</v>
      </c>
      <c r="C2731" s="2" t="str">
        <f>IFERROR(__xludf.DUMMYFUNCTION("""COMPUTED_VALUE"""),"hcuseckka@si.edu")</f>
        <v>hcuseckka@si.edu</v>
      </c>
      <c r="D2731" s="4">
        <f>IFERROR(__xludf.DUMMYFUNCTION("""COMPUTED_VALUE"""),6.0)</f>
        <v>6</v>
      </c>
      <c r="E2731" s="4">
        <f>IFERROR(__xludf.DUMMYFUNCTION("""COMPUTED_VALUE"""),105.0)</f>
        <v>105</v>
      </c>
      <c r="F2731" s="4">
        <f>IFERROR(__xludf.DUMMYFUNCTION("""COMPUTED_VALUE"""),12.0)</f>
        <v>12</v>
      </c>
      <c r="G2731" s="4">
        <f>IFERROR(__xludf.DUMMYFUNCTION("""COMPUTED_VALUE"""),766.0)</f>
        <v>766</v>
      </c>
      <c r="H2731" s="5">
        <f>IFERROR(__xludf.DUMMYFUNCTION("""COMPUTED_VALUE"""),3816.44)</f>
        <v>3816.44</v>
      </c>
      <c r="I2731" s="5">
        <f>IFERROR(__xludf.DUMMYFUNCTION("""COMPUTED_VALUE"""),8148.43)</f>
        <v>8148.43</v>
      </c>
      <c r="J2731" s="5">
        <f>IFERROR(__xludf.DUMMYFUNCTION("""COMPUTED_VALUE"""),3330.85)</f>
        <v>3330.85</v>
      </c>
      <c r="K2731" s="5">
        <f>IFERROR(__xludf.DUMMYFUNCTION("""COMPUTED_VALUE"""),3024.59)</f>
        <v>3024.59</v>
      </c>
      <c r="L2731" s="4">
        <f>IFERROR(__xludf.DUMMYFUNCTION("""COMPUTED_VALUE"""),12.0)</f>
        <v>12</v>
      </c>
      <c r="M2731" s="4">
        <f>IFERROR(__xludf.DUMMYFUNCTION("""COMPUTED_VALUE"""),83.0)</f>
        <v>83</v>
      </c>
      <c r="N2731" s="2" t="b">
        <f>IFERROR(__xludf.DUMMYFUNCTION("""COMPUTED_VALUE"""),FALSE)</f>
        <v>0</v>
      </c>
    </row>
    <row r="2732">
      <c r="A2732" s="2">
        <f>IFERROR(__xludf.DUMMYFUNCTION("""COMPUTED_VALUE"""),2731.0)</f>
        <v>2731</v>
      </c>
      <c r="B2732" s="2" t="str">
        <f>IFERROR(__xludf.DUMMYFUNCTION("""COMPUTED_VALUE"""),"Heda Angeau")</f>
        <v>Heda Angeau</v>
      </c>
      <c r="C2732" s="2"/>
      <c r="D2732" s="4">
        <f>IFERROR(__xludf.DUMMYFUNCTION("""COMPUTED_VALUE"""),64.0)</f>
        <v>64</v>
      </c>
      <c r="E2732" s="4">
        <f>IFERROR(__xludf.DUMMYFUNCTION("""COMPUTED_VALUE"""),3.0)</f>
        <v>3</v>
      </c>
      <c r="F2732" s="4">
        <f>IFERROR(__xludf.DUMMYFUNCTION("""COMPUTED_VALUE"""),10.0)</f>
        <v>10</v>
      </c>
      <c r="G2732" s="4">
        <f>IFERROR(__xludf.DUMMYFUNCTION("""COMPUTED_VALUE"""),767.0)</f>
        <v>767</v>
      </c>
      <c r="H2732" s="5">
        <f>IFERROR(__xludf.DUMMYFUNCTION("""COMPUTED_VALUE"""),9710.89)</f>
        <v>9710.89</v>
      </c>
      <c r="I2732" s="5">
        <f>IFERROR(__xludf.DUMMYFUNCTION("""COMPUTED_VALUE"""),4535.62)</f>
        <v>4535.62</v>
      </c>
      <c r="J2732" s="5">
        <f>IFERROR(__xludf.DUMMYFUNCTION("""COMPUTED_VALUE"""),5778.55)</f>
        <v>5778.55</v>
      </c>
      <c r="K2732" s="5">
        <f>IFERROR(__xludf.DUMMYFUNCTION("""COMPUTED_VALUE"""),5832.07)</f>
        <v>5832.07</v>
      </c>
      <c r="L2732" s="4">
        <f>IFERROR(__xludf.DUMMYFUNCTION("""COMPUTED_VALUE"""),18.0)</f>
        <v>18</v>
      </c>
      <c r="M2732" s="4">
        <f>IFERROR(__xludf.DUMMYFUNCTION("""COMPUTED_VALUE"""),23.0)</f>
        <v>23</v>
      </c>
      <c r="N2732" s="2" t="b">
        <f>IFERROR(__xludf.DUMMYFUNCTION("""COMPUTED_VALUE"""),TRUE)</f>
        <v>1</v>
      </c>
    </row>
    <row r="2733">
      <c r="A2733" s="2">
        <f>IFERROR(__xludf.DUMMYFUNCTION("""COMPUTED_VALUE"""),2732.0)</f>
        <v>2732</v>
      </c>
      <c r="B2733" s="2" t="str">
        <f>IFERROR(__xludf.DUMMYFUNCTION("""COMPUTED_VALUE"""),"Everard Swaisland")</f>
        <v>Everard Swaisland</v>
      </c>
      <c r="C2733" s="2"/>
      <c r="D2733" s="4">
        <f>IFERROR(__xludf.DUMMYFUNCTION("""COMPUTED_VALUE"""),136.0)</f>
        <v>136</v>
      </c>
      <c r="E2733" s="4">
        <f>IFERROR(__xludf.DUMMYFUNCTION("""COMPUTED_VALUE"""),13.0)</f>
        <v>13</v>
      </c>
      <c r="F2733" s="4">
        <f>IFERROR(__xludf.DUMMYFUNCTION("""COMPUTED_VALUE"""),2.0)</f>
        <v>2</v>
      </c>
      <c r="G2733" s="4">
        <f>IFERROR(__xludf.DUMMYFUNCTION("""COMPUTED_VALUE"""),1038.0)</f>
        <v>1038</v>
      </c>
      <c r="H2733" s="5">
        <f>IFERROR(__xludf.DUMMYFUNCTION("""COMPUTED_VALUE"""),4540.44)</f>
        <v>4540.44</v>
      </c>
      <c r="I2733" s="5">
        <f>IFERROR(__xludf.DUMMYFUNCTION("""COMPUTED_VALUE"""),7271.26)</f>
        <v>7271.26</v>
      </c>
      <c r="J2733" s="5">
        <f>IFERROR(__xludf.DUMMYFUNCTION("""COMPUTED_VALUE"""),287.81)</f>
        <v>287.81</v>
      </c>
      <c r="K2733" s="5">
        <f>IFERROR(__xludf.DUMMYFUNCTION("""COMPUTED_VALUE"""),542.02)</f>
        <v>542.02</v>
      </c>
      <c r="L2733" s="4">
        <f>IFERROR(__xludf.DUMMYFUNCTION("""COMPUTED_VALUE"""),3.0)</f>
        <v>3</v>
      </c>
      <c r="M2733" s="4">
        <f>IFERROR(__xludf.DUMMYFUNCTION("""COMPUTED_VALUE"""),1.0)</f>
        <v>1</v>
      </c>
      <c r="N2733" s="2" t="b">
        <f>IFERROR(__xludf.DUMMYFUNCTION("""COMPUTED_VALUE"""),TRUE)</f>
        <v>1</v>
      </c>
    </row>
    <row r="2734">
      <c r="A2734" s="2">
        <f>IFERROR(__xludf.DUMMYFUNCTION("""COMPUTED_VALUE"""),2733.0)</f>
        <v>2733</v>
      </c>
      <c r="B2734" s="2" t="str">
        <f>IFERROR(__xludf.DUMMYFUNCTION("""COMPUTED_VALUE"""),"Travers Ilden")</f>
        <v>Travers Ilden</v>
      </c>
      <c r="C2734" s="2" t="str">
        <f>IFERROR(__xludf.DUMMYFUNCTION("""COMPUTED_VALUE"""),"tildenkd@trellian.com")</f>
        <v>tildenkd@trellian.com</v>
      </c>
      <c r="D2734" s="4">
        <f>IFERROR(__xludf.DUMMYFUNCTION("""COMPUTED_VALUE"""),111.0)</f>
        <v>111</v>
      </c>
      <c r="E2734" s="4">
        <f>IFERROR(__xludf.DUMMYFUNCTION("""COMPUTED_VALUE"""),103.0)</f>
        <v>103</v>
      </c>
      <c r="F2734" s="4">
        <f>IFERROR(__xludf.DUMMYFUNCTION("""COMPUTED_VALUE"""),13.0)</f>
        <v>13</v>
      </c>
      <c r="G2734" s="4">
        <f>IFERROR(__xludf.DUMMYFUNCTION("""COMPUTED_VALUE"""),404.0)</f>
        <v>404</v>
      </c>
      <c r="H2734" s="5">
        <f>IFERROR(__xludf.DUMMYFUNCTION("""COMPUTED_VALUE"""),6956.8)</f>
        <v>6956.8</v>
      </c>
      <c r="I2734" s="5">
        <f>IFERROR(__xludf.DUMMYFUNCTION("""COMPUTED_VALUE"""),7051.61)</f>
        <v>7051.61</v>
      </c>
      <c r="J2734" s="5">
        <f>IFERROR(__xludf.DUMMYFUNCTION("""COMPUTED_VALUE"""),6043.99)</f>
        <v>6043.99</v>
      </c>
      <c r="K2734" s="5">
        <f>IFERROR(__xludf.DUMMYFUNCTION("""COMPUTED_VALUE"""),7100.47)</f>
        <v>7100.47</v>
      </c>
      <c r="L2734" s="4">
        <f>IFERROR(__xludf.DUMMYFUNCTION("""COMPUTED_VALUE"""),8.0)</f>
        <v>8</v>
      </c>
      <c r="M2734" s="4">
        <f>IFERROR(__xludf.DUMMYFUNCTION("""COMPUTED_VALUE"""),65.0)</f>
        <v>65</v>
      </c>
      <c r="N2734" s="2" t="b">
        <f>IFERROR(__xludf.DUMMYFUNCTION("""COMPUTED_VALUE"""),FALSE)</f>
        <v>0</v>
      </c>
    </row>
    <row r="2735">
      <c r="A2735" s="2">
        <f>IFERROR(__xludf.DUMMYFUNCTION("""COMPUTED_VALUE"""),2734.0)</f>
        <v>2734</v>
      </c>
      <c r="B2735" s="2" t="str">
        <f>IFERROR(__xludf.DUMMYFUNCTION("""COMPUTED_VALUE"""),"Carmen Jedrzej")</f>
        <v>Carmen Jedrzej</v>
      </c>
      <c r="C2735" s="2"/>
      <c r="D2735" s="4">
        <f>IFERROR(__xludf.DUMMYFUNCTION("""COMPUTED_VALUE"""),6.0)</f>
        <v>6</v>
      </c>
      <c r="E2735" s="4">
        <f>IFERROR(__xludf.DUMMYFUNCTION("""COMPUTED_VALUE"""),4.0)</f>
        <v>4</v>
      </c>
      <c r="F2735" s="4">
        <f>IFERROR(__xludf.DUMMYFUNCTION("""COMPUTED_VALUE"""),8.0)</f>
        <v>8</v>
      </c>
      <c r="G2735" s="4">
        <f>IFERROR(__xludf.DUMMYFUNCTION("""COMPUTED_VALUE"""),306.0)</f>
        <v>306</v>
      </c>
      <c r="H2735" s="5">
        <f>IFERROR(__xludf.DUMMYFUNCTION("""COMPUTED_VALUE"""),1500.0)</f>
        <v>1500</v>
      </c>
      <c r="I2735" s="5">
        <f>IFERROR(__xludf.DUMMYFUNCTION("""COMPUTED_VALUE"""),3264.34)</f>
        <v>3264.34</v>
      </c>
      <c r="J2735" s="5">
        <f>IFERROR(__xludf.DUMMYFUNCTION("""COMPUTED_VALUE"""),453.02)</f>
        <v>453.02</v>
      </c>
      <c r="K2735" s="5">
        <f>IFERROR(__xludf.DUMMYFUNCTION("""COMPUTED_VALUE"""),8670.95)</f>
        <v>8670.95</v>
      </c>
      <c r="L2735" s="4">
        <f>IFERROR(__xludf.DUMMYFUNCTION("""COMPUTED_VALUE"""),4.0)</f>
        <v>4</v>
      </c>
      <c r="M2735" s="4">
        <f>IFERROR(__xludf.DUMMYFUNCTION("""COMPUTED_VALUE"""),82.0)</f>
        <v>82</v>
      </c>
      <c r="N2735" s="2" t="b">
        <f>IFERROR(__xludf.DUMMYFUNCTION("""COMPUTED_VALUE"""),FALSE)</f>
        <v>0</v>
      </c>
    </row>
    <row r="2736">
      <c r="A2736" s="2">
        <f>IFERROR(__xludf.DUMMYFUNCTION("""COMPUTED_VALUE"""),2735.0)</f>
        <v>2735</v>
      </c>
      <c r="B2736" s="2" t="str">
        <f>IFERROR(__xludf.DUMMYFUNCTION("""COMPUTED_VALUE"""),"Terrye Yepiskov")</f>
        <v>Terrye Yepiskov</v>
      </c>
      <c r="C2736" s="2"/>
      <c r="D2736" s="4">
        <f>IFERROR(__xludf.DUMMYFUNCTION("""COMPUTED_VALUE"""),119.0)</f>
        <v>119</v>
      </c>
      <c r="E2736" s="4">
        <f>IFERROR(__xludf.DUMMYFUNCTION("""COMPUTED_VALUE"""),107.0)</f>
        <v>107</v>
      </c>
      <c r="F2736" s="4">
        <f>IFERROR(__xludf.DUMMYFUNCTION("""COMPUTED_VALUE"""),10.0)</f>
        <v>10</v>
      </c>
      <c r="G2736" s="4">
        <f>IFERROR(__xludf.DUMMYFUNCTION("""COMPUTED_VALUE"""),1285.0)</f>
        <v>1285</v>
      </c>
      <c r="H2736" s="5">
        <f>IFERROR(__xludf.DUMMYFUNCTION("""COMPUTED_VALUE"""),9215.38)</f>
        <v>9215.38</v>
      </c>
      <c r="I2736" s="5">
        <f>IFERROR(__xludf.DUMMYFUNCTION("""COMPUTED_VALUE"""),459.77)</f>
        <v>459.77</v>
      </c>
      <c r="J2736" s="5">
        <f>IFERROR(__xludf.DUMMYFUNCTION("""COMPUTED_VALUE"""),4235.3)</f>
        <v>4235.3</v>
      </c>
      <c r="K2736" s="5">
        <f>IFERROR(__xludf.DUMMYFUNCTION("""COMPUTED_VALUE"""),9942.06)</f>
        <v>9942.06</v>
      </c>
      <c r="L2736" s="4">
        <f>IFERROR(__xludf.DUMMYFUNCTION("""COMPUTED_VALUE"""),16.0)</f>
        <v>16</v>
      </c>
      <c r="M2736" s="4">
        <f>IFERROR(__xludf.DUMMYFUNCTION("""COMPUTED_VALUE"""),66.0)</f>
        <v>66</v>
      </c>
      <c r="N2736" s="2" t="b">
        <f>IFERROR(__xludf.DUMMYFUNCTION("""COMPUTED_VALUE"""),FALSE)</f>
        <v>0</v>
      </c>
    </row>
    <row r="2737">
      <c r="A2737" s="2">
        <f>IFERROR(__xludf.DUMMYFUNCTION("""COMPUTED_VALUE"""),2736.0)</f>
        <v>2736</v>
      </c>
      <c r="B2737" s="2" t="str">
        <f>IFERROR(__xludf.DUMMYFUNCTION("""COMPUTED_VALUE"""),"Aubree MacGraith")</f>
        <v>Aubree MacGraith</v>
      </c>
      <c r="C2737" s="2"/>
      <c r="D2737" s="4">
        <f>IFERROR(__xludf.DUMMYFUNCTION("""COMPUTED_VALUE"""),147.0)</f>
        <v>147</v>
      </c>
      <c r="E2737" s="4">
        <f>IFERROR(__xludf.DUMMYFUNCTION("""COMPUTED_VALUE"""),113.0)</f>
        <v>113</v>
      </c>
      <c r="F2737" s="4">
        <f>IFERROR(__xludf.DUMMYFUNCTION("""COMPUTED_VALUE"""),6.0)</f>
        <v>6</v>
      </c>
      <c r="G2737" s="4">
        <f>IFERROR(__xludf.DUMMYFUNCTION("""COMPUTED_VALUE"""),706.0)</f>
        <v>706</v>
      </c>
      <c r="H2737" s="5">
        <f>IFERROR(__xludf.DUMMYFUNCTION("""COMPUTED_VALUE"""),9606.91)</f>
        <v>9606.91</v>
      </c>
      <c r="I2737" s="5">
        <f>IFERROR(__xludf.DUMMYFUNCTION("""COMPUTED_VALUE"""),6604.09)</f>
        <v>6604.09</v>
      </c>
      <c r="J2737" s="5">
        <f>IFERROR(__xludf.DUMMYFUNCTION("""COMPUTED_VALUE"""),7021.23)</f>
        <v>7021.23</v>
      </c>
      <c r="K2737" s="5">
        <f>IFERROR(__xludf.DUMMYFUNCTION("""COMPUTED_VALUE"""),2852.73)</f>
        <v>2852.73</v>
      </c>
      <c r="L2737" s="4">
        <f>IFERROR(__xludf.DUMMYFUNCTION("""COMPUTED_VALUE"""),10.0)</f>
        <v>10</v>
      </c>
      <c r="M2737" s="4">
        <f>IFERROR(__xludf.DUMMYFUNCTION("""COMPUTED_VALUE"""),4.0)</f>
        <v>4</v>
      </c>
      <c r="N2737" s="2" t="b">
        <f>IFERROR(__xludf.DUMMYFUNCTION("""COMPUTED_VALUE"""),FALSE)</f>
        <v>0</v>
      </c>
    </row>
    <row r="2738">
      <c r="A2738" s="2">
        <f>IFERROR(__xludf.DUMMYFUNCTION("""COMPUTED_VALUE"""),2737.0)</f>
        <v>2737</v>
      </c>
      <c r="B2738" s="2" t="str">
        <f>IFERROR(__xludf.DUMMYFUNCTION("""COMPUTED_VALUE"""),"Wally Bann")</f>
        <v>Wally Bann</v>
      </c>
      <c r="C2738" s="2"/>
      <c r="D2738" s="4">
        <f>IFERROR(__xludf.DUMMYFUNCTION("""COMPUTED_VALUE"""),47.0)</f>
        <v>47</v>
      </c>
      <c r="E2738" s="4">
        <f>IFERROR(__xludf.DUMMYFUNCTION("""COMPUTED_VALUE"""),48.0)</f>
        <v>48</v>
      </c>
      <c r="F2738" s="4">
        <f>IFERROR(__xludf.DUMMYFUNCTION("""COMPUTED_VALUE"""),9.0)</f>
        <v>9</v>
      </c>
      <c r="G2738" s="4">
        <f>IFERROR(__xludf.DUMMYFUNCTION("""COMPUTED_VALUE"""),1141.0)</f>
        <v>1141</v>
      </c>
      <c r="H2738" s="5">
        <f>IFERROR(__xludf.DUMMYFUNCTION("""COMPUTED_VALUE"""),2109.11)</f>
        <v>2109.11</v>
      </c>
      <c r="I2738" s="5">
        <f>IFERROR(__xludf.DUMMYFUNCTION("""COMPUTED_VALUE"""),9213.39)</f>
        <v>9213.39</v>
      </c>
      <c r="J2738" s="5">
        <f>IFERROR(__xludf.DUMMYFUNCTION("""COMPUTED_VALUE"""),3293.3)</f>
        <v>3293.3</v>
      </c>
      <c r="K2738" s="5">
        <f>IFERROR(__xludf.DUMMYFUNCTION("""COMPUTED_VALUE"""),7209.61)</f>
        <v>7209.61</v>
      </c>
      <c r="L2738" s="4">
        <f>IFERROR(__xludf.DUMMYFUNCTION("""COMPUTED_VALUE"""),16.0)</f>
        <v>16</v>
      </c>
      <c r="M2738" s="4">
        <f>IFERROR(__xludf.DUMMYFUNCTION("""COMPUTED_VALUE"""),77.0)</f>
        <v>77</v>
      </c>
      <c r="N2738" s="2" t="b">
        <f>IFERROR(__xludf.DUMMYFUNCTION("""COMPUTED_VALUE"""),FALSE)</f>
        <v>0</v>
      </c>
    </row>
    <row r="2739">
      <c r="A2739" s="2">
        <f>IFERROR(__xludf.DUMMYFUNCTION("""COMPUTED_VALUE"""),2738.0)</f>
        <v>2738</v>
      </c>
      <c r="B2739" s="2" t="str">
        <f>IFERROR(__xludf.DUMMYFUNCTION("""COMPUTED_VALUE"""),"Torin Henrot")</f>
        <v>Torin Henrot</v>
      </c>
      <c r="C2739" s="2" t="str">
        <f>IFERROR(__xludf.DUMMYFUNCTION("""COMPUTED_VALUE"""),"thenrotki@weebly.com")</f>
        <v>thenrotki@weebly.com</v>
      </c>
      <c r="D2739" s="4">
        <f>IFERROR(__xludf.DUMMYFUNCTION("""COMPUTED_VALUE"""),104.0)</f>
        <v>104</v>
      </c>
      <c r="E2739" s="4">
        <f>IFERROR(__xludf.DUMMYFUNCTION("""COMPUTED_VALUE"""),10.0)</f>
        <v>10</v>
      </c>
      <c r="F2739" s="4">
        <f>IFERROR(__xludf.DUMMYFUNCTION("""COMPUTED_VALUE"""),7.0)</f>
        <v>7</v>
      </c>
      <c r="G2739" s="4">
        <f>IFERROR(__xludf.DUMMYFUNCTION("""COMPUTED_VALUE"""),1456.0)</f>
        <v>1456</v>
      </c>
      <c r="H2739" s="5">
        <f>IFERROR(__xludf.DUMMYFUNCTION("""COMPUTED_VALUE"""),8408.75)</f>
        <v>8408.75</v>
      </c>
      <c r="I2739" s="5">
        <f>IFERROR(__xludf.DUMMYFUNCTION("""COMPUTED_VALUE"""),8545.55)</f>
        <v>8545.55</v>
      </c>
      <c r="J2739" s="5">
        <f>IFERROR(__xludf.DUMMYFUNCTION("""COMPUTED_VALUE"""),1408.4)</f>
        <v>1408.4</v>
      </c>
      <c r="K2739" s="5">
        <f>IFERROR(__xludf.DUMMYFUNCTION("""COMPUTED_VALUE"""),2481.08)</f>
        <v>2481.08</v>
      </c>
      <c r="L2739" s="4">
        <f>IFERROR(__xludf.DUMMYFUNCTION("""COMPUTED_VALUE"""),14.0)</f>
        <v>14</v>
      </c>
      <c r="M2739" s="4">
        <f>IFERROR(__xludf.DUMMYFUNCTION("""COMPUTED_VALUE"""),31.0)</f>
        <v>31</v>
      </c>
      <c r="N2739" s="2" t="b">
        <f>IFERROR(__xludf.DUMMYFUNCTION("""COMPUTED_VALUE"""),FALSE)</f>
        <v>0</v>
      </c>
    </row>
    <row r="2740">
      <c r="A2740" s="2">
        <f>IFERROR(__xludf.DUMMYFUNCTION("""COMPUTED_VALUE"""),2739.0)</f>
        <v>2739</v>
      </c>
      <c r="B2740" s="2" t="str">
        <f>IFERROR(__xludf.DUMMYFUNCTION("""COMPUTED_VALUE"""),"Pren Farren")</f>
        <v>Pren Farren</v>
      </c>
      <c r="C2740" s="2"/>
      <c r="D2740" s="4">
        <f>IFERROR(__xludf.DUMMYFUNCTION("""COMPUTED_VALUE"""),13.0)</f>
        <v>13</v>
      </c>
      <c r="E2740" s="4">
        <f>IFERROR(__xludf.DUMMYFUNCTION("""COMPUTED_VALUE"""),11.0)</f>
        <v>11</v>
      </c>
      <c r="F2740" s="4">
        <f>IFERROR(__xludf.DUMMYFUNCTION("""COMPUTED_VALUE"""),9.0)</f>
        <v>9</v>
      </c>
      <c r="G2740" s="4">
        <f>IFERROR(__xludf.DUMMYFUNCTION("""COMPUTED_VALUE"""),1012.0)</f>
        <v>1012</v>
      </c>
      <c r="H2740" s="5">
        <f>IFERROR(__xludf.DUMMYFUNCTION("""COMPUTED_VALUE"""),608.76)</f>
        <v>608.76</v>
      </c>
      <c r="I2740" s="5">
        <f>IFERROR(__xludf.DUMMYFUNCTION("""COMPUTED_VALUE"""),7990.13)</f>
        <v>7990.13</v>
      </c>
      <c r="J2740" s="5">
        <f>IFERROR(__xludf.DUMMYFUNCTION("""COMPUTED_VALUE"""),1753.72)</f>
        <v>1753.72</v>
      </c>
      <c r="K2740" s="5">
        <f>IFERROR(__xludf.DUMMYFUNCTION("""COMPUTED_VALUE"""),6985.36)</f>
        <v>6985.36</v>
      </c>
      <c r="L2740" s="4">
        <f>IFERROR(__xludf.DUMMYFUNCTION("""COMPUTED_VALUE"""),6.0)</f>
        <v>6</v>
      </c>
      <c r="M2740" s="4">
        <f>IFERROR(__xludf.DUMMYFUNCTION("""COMPUTED_VALUE"""),64.0)</f>
        <v>64</v>
      </c>
      <c r="N2740" s="2" t="b">
        <f>IFERROR(__xludf.DUMMYFUNCTION("""COMPUTED_VALUE"""),TRUE)</f>
        <v>1</v>
      </c>
    </row>
    <row r="2741">
      <c r="A2741" s="2">
        <f>IFERROR(__xludf.DUMMYFUNCTION("""COMPUTED_VALUE"""),2740.0)</f>
        <v>2740</v>
      </c>
      <c r="B2741" s="2" t="str">
        <f>IFERROR(__xludf.DUMMYFUNCTION("""COMPUTED_VALUE"""),"Corissa Duce")</f>
        <v>Corissa Duce</v>
      </c>
      <c r="C2741" s="2"/>
      <c r="D2741" s="4">
        <f>IFERROR(__xludf.DUMMYFUNCTION("""COMPUTED_VALUE"""),109.0)</f>
        <v>109</v>
      </c>
      <c r="E2741" s="4">
        <f>IFERROR(__xludf.DUMMYFUNCTION("""COMPUTED_VALUE"""),56.0)</f>
        <v>56</v>
      </c>
      <c r="F2741" s="4">
        <f>IFERROR(__xludf.DUMMYFUNCTION("""COMPUTED_VALUE"""),4.0)</f>
        <v>4</v>
      </c>
      <c r="G2741" s="4">
        <f>IFERROR(__xludf.DUMMYFUNCTION("""COMPUTED_VALUE"""),212.0)</f>
        <v>212</v>
      </c>
      <c r="H2741" s="5">
        <f>IFERROR(__xludf.DUMMYFUNCTION("""COMPUTED_VALUE"""),3592.51)</f>
        <v>3592.51</v>
      </c>
      <c r="I2741" s="5">
        <f>IFERROR(__xludf.DUMMYFUNCTION("""COMPUTED_VALUE"""),1855.6)</f>
        <v>1855.6</v>
      </c>
      <c r="J2741" s="5">
        <f>IFERROR(__xludf.DUMMYFUNCTION("""COMPUTED_VALUE"""),7686.32)</f>
        <v>7686.32</v>
      </c>
      <c r="K2741" s="5">
        <f>IFERROR(__xludf.DUMMYFUNCTION("""COMPUTED_VALUE"""),4733.6)</f>
        <v>4733.6</v>
      </c>
      <c r="L2741" s="4">
        <f>IFERROR(__xludf.DUMMYFUNCTION("""COMPUTED_VALUE"""),4.0)</f>
        <v>4</v>
      </c>
      <c r="M2741" s="4">
        <f>IFERROR(__xludf.DUMMYFUNCTION("""COMPUTED_VALUE"""),90.0)</f>
        <v>90</v>
      </c>
      <c r="N2741" s="2" t="b">
        <f>IFERROR(__xludf.DUMMYFUNCTION("""COMPUTED_VALUE"""),TRUE)</f>
        <v>1</v>
      </c>
    </row>
    <row r="2742">
      <c r="A2742" s="2">
        <f>IFERROR(__xludf.DUMMYFUNCTION("""COMPUTED_VALUE"""),2741.0)</f>
        <v>2741</v>
      </c>
      <c r="B2742" s="2" t="str">
        <f>IFERROR(__xludf.DUMMYFUNCTION("""COMPUTED_VALUE"""),"Aleda Bebbington")</f>
        <v>Aleda Bebbington</v>
      </c>
      <c r="C2742" s="2" t="str">
        <f>IFERROR(__xludf.DUMMYFUNCTION("""COMPUTED_VALUE"""),"abebbingtonkl@upenn.edu")</f>
        <v>abebbingtonkl@upenn.edu</v>
      </c>
      <c r="D2742" s="4">
        <f>IFERROR(__xludf.DUMMYFUNCTION("""COMPUTED_VALUE"""),122.0)</f>
        <v>122</v>
      </c>
      <c r="E2742" s="4">
        <f>IFERROR(__xludf.DUMMYFUNCTION("""COMPUTED_VALUE"""),41.0)</f>
        <v>41</v>
      </c>
      <c r="F2742" s="4">
        <f>IFERROR(__xludf.DUMMYFUNCTION("""COMPUTED_VALUE"""),7.0)</f>
        <v>7</v>
      </c>
      <c r="G2742" s="4">
        <f>IFERROR(__xludf.DUMMYFUNCTION("""COMPUTED_VALUE"""),452.0)</f>
        <v>452</v>
      </c>
      <c r="H2742" s="5">
        <f>IFERROR(__xludf.DUMMYFUNCTION("""COMPUTED_VALUE"""),1705.03)</f>
        <v>1705.03</v>
      </c>
      <c r="I2742" s="5">
        <f>IFERROR(__xludf.DUMMYFUNCTION("""COMPUTED_VALUE"""),4673.59)</f>
        <v>4673.59</v>
      </c>
      <c r="J2742" s="5">
        <f>IFERROR(__xludf.DUMMYFUNCTION("""COMPUTED_VALUE"""),4386.62)</f>
        <v>4386.62</v>
      </c>
      <c r="K2742" s="5">
        <f>IFERROR(__xludf.DUMMYFUNCTION("""COMPUTED_VALUE"""),8883.18)</f>
        <v>8883.18</v>
      </c>
      <c r="L2742" s="4">
        <f>IFERROR(__xludf.DUMMYFUNCTION("""COMPUTED_VALUE"""),3.0)</f>
        <v>3</v>
      </c>
      <c r="M2742" s="4">
        <f>IFERROR(__xludf.DUMMYFUNCTION("""COMPUTED_VALUE"""),53.0)</f>
        <v>53</v>
      </c>
      <c r="N2742" s="2" t="b">
        <f>IFERROR(__xludf.DUMMYFUNCTION("""COMPUTED_VALUE"""),TRUE)</f>
        <v>1</v>
      </c>
    </row>
    <row r="2743">
      <c r="A2743" s="2">
        <f>IFERROR(__xludf.DUMMYFUNCTION("""COMPUTED_VALUE"""),2742.0)</f>
        <v>2742</v>
      </c>
      <c r="B2743" s="2" t="str">
        <f>IFERROR(__xludf.DUMMYFUNCTION("""COMPUTED_VALUE"""),"Susie Olive")</f>
        <v>Susie Olive</v>
      </c>
      <c r="C2743" s="2" t="str">
        <f>IFERROR(__xludf.DUMMYFUNCTION("""COMPUTED_VALUE"""),"solivekm@nymag.com")</f>
        <v>solivekm@nymag.com</v>
      </c>
      <c r="D2743" s="4">
        <f>IFERROR(__xludf.DUMMYFUNCTION("""COMPUTED_VALUE"""),98.0)</f>
        <v>98</v>
      </c>
      <c r="E2743" s="4">
        <f>IFERROR(__xludf.DUMMYFUNCTION("""COMPUTED_VALUE"""),98.0)</f>
        <v>98</v>
      </c>
      <c r="F2743" s="4">
        <f>IFERROR(__xludf.DUMMYFUNCTION("""COMPUTED_VALUE"""),6.0)</f>
        <v>6</v>
      </c>
      <c r="G2743" s="4">
        <f>IFERROR(__xludf.DUMMYFUNCTION("""COMPUTED_VALUE"""),984.0)</f>
        <v>984</v>
      </c>
      <c r="H2743" s="5">
        <f>IFERROR(__xludf.DUMMYFUNCTION("""COMPUTED_VALUE"""),8701.53)</f>
        <v>8701.53</v>
      </c>
      <c r="I2743" s="5">
        <f>IFERROR(__xludf.DUMMYFUNCTION("""COMPUTED_VALUE"""),693.17)</f>
        <v>693.17</v>
      </c>
      <c r="J2743" s="5">
        <f>IFERROR(__xludf.DUMMYFUNCTION("""COMPUTED_VALUE"""),7496.97)</f>
        <v>7496.97</v>
      </c>
      <c r="K2743" s="5">
        <f>IFERROR(__xludf.DUMMYFUNCTION("""COMPUTED_VALUE"""),5719.22)</f>
        <v>5719.22</v>
      </c>
      <c r="L2743" s="4">
        <f>IFERROR(__xludf.DUMMYFUNCTION("""COMPUTED_VALUE"""),16.0)</f>
        <v>16</v>
      </c>
      <c r="M2743" s="4">
        <f>IFERROR(__xludf.DUMMYFUNCTION("""COMPUTED_VALUE"""),68.0)</f>
        <v>68</v>
      </c>
      <c r="N2743" s="2" t="b">
        <f>IFERROR(__xludf.DUMMYFUNCTION("""COMPUTED_VALUE"""),TRUE)</f>
        <v>1</v>
      </c>
    </row>
    <row r="2744">
      <c r="A2744" s="2">
        <f>IFERROR(__xludf.DUMMYFUNCTION("""COMPUTED_VALUE"""),2743.0)</f>
        <v>2743</v>
      </c>
      <c r="B2744" s="2" t="str">
        <f>IFERROR(__xludf.DUMMYFUNCTION("""COMPUTED_VALUE"""),"Raphael felip")</f>
        <v>Raphael felip</v>
      </c>
      <c r="C2744" s="2" t="str">
        <f>IFERROR(__xludf.DUMMYFUNCTION("""COMPUTED_VALUE"""),"rfelipkn@rediff.com")</f>
        <v>rfelipkn@rediff.com</v>
      </c>
      <c r="D2744" s="4">
        <f>IFERROR(__xludf.DUMMYFUNCTION("""COMPUTED_VALUE"""),108.0)</f>
        <v>108</v>
      </c>
      <c r="E2744" s="4">
        <f>IFERROR(__xludf.DUMMYFUNCTION("""COMPUTED_VALUE"""),62.0)</f>
        <v>62</v>
      </c>
      <c r="F2744" s="4">
        <f>IFERROR(__xludf.DUMMYFUNCTION("""COMPUTED_VALUE"""),7.0)</f>
        <v>7</v>
      </c>
      <c r="G2744" s="4">
        <f>IFERROR(__xludf.DUMMYFUNCTION("""COMPUTED_VALUE"""),1076.0)</f>
        <v>1076</v>
      </c>
      <c r="H2744" s="5">
        <f>IFERROR(__xludf.DUMMYFUNCTION("""COMPUTED_VALUE"""),6981.81)</f>
        <v>6981.81</v>
      </c>
      <c r="I2744" s="5">
        <f>IFERROR(__xludf.DUMMYFUNCTION("""COMPUTED_VALUE"""),4566.91)</f>
        <v>4566.91</v>
      </c>
      <c r="J2744" s="5">
        <f>IFERROR(__xludf.DUMMYFUNCTION("""COMPUTED_VALUE"""),6479.69)</f>
        <v>6479.69</v>
      </c>
      <c r="K2744" s="5">
        <f>IFERROR(__xludf.DUMMYFUNCTION("""COMPUTED_VALUE"""),2323.47)</f>
        <v>2323.47</v>
      </c>
      <c r="L2744" s="4">
        <f>IFERROR(__xludf.DUMMYFUNCTION("""COMPUTED_VALUE"""),15.0)</f>
        <v>15</v>
      </c>
      <c r="M2744" s="4">
        <f>IFERROR(__xludf.DUMMYFUNCTION("""COMPUTED_VALUE"""),67.0)</f>
        <v>67</v>
      </c>
      <c r="N2744" s="2" t="b">
        <f>IFERROR(__xludf.DUMMYFUNCTION("""COMPUTED_VALUE"""),FALSE)</f>
        <v>0</v>
      </c>
    </row>
    <row r="2745">
      <c r="A2745" s="2">
        <f>IFERROR(__xludf.DUMMYFUNCTION("""COMPUTED_VALUE"""),2744.0)</f>
        <v>2744</v>
      </c>
      <c r="B2745" s="2" t="str">
        <f>IFERROR(__xludf.DUMMYFUNCTION("""COMPUTED_VALUE"""),"Cornelia Fer")</f>
        <v>Cornelia Fer</v>
      </c>
      <c r="C2745" s="2" t="str">
        <f>IFERROR(__xludf.DUMMYFUNCTION("""COMPUTED_VALUE"""),"cferko@alexa.com")</f>
        <v>cferko@alexa.com</v>
      </c>
      <c r="D2745" s="4">
        <f>IFERROR(__xludf.DUMMYFUNCTION("""COMPUTED_VALUE"""),88.0)</f>
        <v>88</v>
      </c>
      <c r="E2745" s="4">
        <f>IFERROR(__xludf.DUMMYFUNCTION("""COMPUTED_VALUE"""),22.0)</f>
        <v>22</v>
      </c>
      <c r="F2745" s="4">
        <f>IFERROR(__xludf.DUMMYFUNCTION("""COMPUTED_VALUE"""),13.0)</f>
        <v>13</v>
      </c>
      <c r="G2745" s="4">
        <f>IFERROR(__xludf.DUMMYFUNCTION("""COMPUTED_VALUE"""),1097.0)</f>
        <v>1097</v>
      </c>
      <c r="H2745" s="5">
        <f>IFERROR(__xludf.DUMMYFUNCTION("""COMPUTED_VALUE"""),705.25)</f>
        <v>705.25</v>
      </c>
      <c r="I2745" s="5">
        <f>IFERROR(__xludf.DUMMYFUNCTION("""COMPUTED_VALUE"""),4594.17)</f>
        <v>4594.17</v>
      </c>
      <c r="J2745" s="5">
        <f>IFERROR(__xludf.DUMMYFUNCTION("""COMPUTED_VALUE"""),4173.22)</f>
        <v>4173.22</v>
      </c>
      <c r="K2745" s="5">
        <f>IFERROR(__xludf.DUMMYFUNCTION("""COMPUTED_VALUE"""),6676.61)</f>
        <v>6676.61</v>
      </c>
      <c r="L2745" s="4">
        <f>IFERROR(__xludf.DUMMYFUNCTION("""COMPUTED_VALUE"""),12.0)</f>
        <v>12</v>
      </c>
      <c r="M2745" s="4">
        <f>IFERROR(__xludf.DUMMYFUNCTION("""COMPUTED_VALUE"""),5.0)</f>
        <v>5</v>
      </c>
      <c r="N2745" s="2" t="b">
        <f>IFERROR(__xludf.DUMMYFUNCTION("""COMPUTED_VALUE"""),TRUE)</f>
        <v>1</v>
      </c>
    </row>
    <row r="2746">
      <c r="A2746" s="2">
        <f>IFERROR(__xludf.DUMMYFUNCTION("""COMPUTED_VALUE"""),2745.0)</f>
        <v>2745</v>
      </c>
      <c r="B2746" s="2" t="str">
        <f>IFERROR(__xludf.DUMMYFUNCTION("""COMPUTED_VALUE"""),"Allissa Thurstan")</f>
        <v>Allissa Thurstan</v>
      </c>
      <c r="C2746" s="2"/>
      <c r="D2746" s="4">
        <f>IFERROR(__xludf.DUMMYFUNCTION("""COMPUTED_VALUE"""),42.0)</f>
        <v>42</v>
      </c>
      <c r="E2746" s="4">
        <f>IFERROR(__xludf.DUMMYFUNCTION("""COMPUTED_VALUE"""),62.0)</f>
        <v>62</v>
      </c>
      <c r="F2746" s="4">
        <f>IFERROR(__xludf.DUMMYFUNCTION("""COMPUTED_VALUE"""),10.0)</f>
        <v>10</v>
      </c>
      <c r="G2746" s="4">
        <f>IFERROR(__xludf.DUMMYFUNCTION("""COMPUTED_VALUE"""),1538.0)</f>
        <v>1538</v>
      </c>
      <c r="H2746" s="5">
        <f>IFERROR(__xludf.DUMMYFUNCTION("""COMPUTED_VALUE"""),2036.05)</f>
        <v>2036.05</v>
      </c>
      <c r="I2746" s="5">
        <f>IFERROR(__xludf.DUMMYFUNCTION("""COMPUTED_VALUE"""),7588.59)</f>
        <v>7588.59</v>
      </c>
      <c r="J2746" s="5">
        <f>IFERROR(__xludf.DUMMYFUNCTION("""COMPUTED_VALUE"""),1611.27)</f>
        <v>1611.27</v>
      </c>
      <c r="K2746" s="5">
        <f>IFERROR(__xludf.DUMMYFUNCTION("""COMPUTED_VALUE"""),1955.66)</f>
        <v>1955.66</v>
      </c>
      <c r="L2746" s="4">
        <f>IFERROR(__xludf.DUMMYFUNCTION("""COMPUTED_VALUE"""),19.0)</f>
        <v>19</v>
      </c>
      <c r="M2746" s="4">
        <f>IFERROR(__xludf.DUMMYFUNCTION("""COMPUTED_VALUE"""),77.0)</f>
        <v>77</v>
      </c>
      <c r="N2746" s="2" t="b">
        <f>IFERROR(__xludf.DUMMYFUNCTION("""COMPUTED_VALUE"""),TRUE)</f>
        <v>1</v>
      </c>
    </row>
    <row r="2747">
      <c r="A2747" s="2">
        <f>IFERROR(__xludf.DUMMYFUNCTION("""COMPUTED_VALUE"""),2746.0)</f>
        <v>2746</v>
      </c>
      <c r="B2747" s="2" t="str">
        <f>IFERROR(__xludf.DUMMYFUNCTION("""COMPUTED_VALUE"""),"Emmit Trustram")</f>
        <v>Emmit Trustram</v>
      </c>
      <c r="C2747" s="2" t="str">
        <f>IFERROR(__xludf.DUMMYFUNCTION("""COMPUTED_VALUE"""),"etrustramkq@cdc.gov")</f>
        <v>etrustramkq@cdc.gov</v>
      </c>
      <c r="D2747" s="4">
        <f>IFERROR(__xludf.DUMMYFUNCTION("""COMPUTED_VALUE"""),46.0)</f>
        <v>46</v>
      </c>
      <c r="E2747" s="4">
        <f>IFERROR(__xludf.DUMMYFUNCTION("""COMPUTED_VALUE"""),75.0)</f>
        <v>75</v>
      </c>
      <c r="F2747" s="4">
        <f>IFERROR(__xludf.DUMMYFUNCTION("""COMPUTED_VALUE"""),12.0)</f>
        <v>12</v>
      </c>
      <c r="G2747" s="4">
        <f>IFERROR(__xludf.DUMMYFUNCTION("""COMPUTED_VALUE"""),1382.0)</f>
        <v>1382</v>
      </c>
      <c r="H2747" s="5">
        <f>IFERROR(__xludf.DUMMYFUNCTION("""COMPUTED_VALUE"""),3976.26)</f>
        <v>3976.26</v>
      </c>
      <c r="I2747" s="5">
        <f>IFERROR(__xludf.DUMMYFUNCTION("""COMPUTED_VALUE"""),6348.06)</f>
        <v>6348.06</v>
      </c>
      <c r="J2747" s="5">
        <f>IFERROR(__xludf.DUMMYFUNCTION("""COMPUTED_VALUE"""),7876.76)</f>
        <v>7876.76</v>
      </c>
      <c r="K2747" s="5">
        <f>IFERROR(__xludf.DUMMYFUNCTION("""COMPUTED_VALUE"""),842.79)</f>
        <v>842.79</v>
      </c>
      <c r="L2747" s="4">
        <f>IFERROR(__xludf.DUMMYFUNCTION("""COMPUTED_VALUE"""),2.0)</f>
        <v>2</v>
      </c>
      <c r="M2747" s="4">
        <f>IFERROR(__xludf.DUMMYFUNCTION("""COMPUTED_VALUE"""),1.0)</f>
        <v>1</v>
      </c>
      <c r="N2747" s="2" t="b">
        <f>IFERROR(__xludf.DUMMYFUNCTION("""COMPUTED_VALUE"""),FALSE)</f>
        <v>0</v>
      </c>
    </row>
    <row r="2748">
      <c r="A2748" s="2">
        <f>IFERROR(__xludf.DUMMYFUNCTION("""COMPUTED_VALUE"""),2747.0)</f>
        <v>2747</v>
      </c>
      <c r="B2748" s="2" t="str">
        <f>IFERROR(__xludf.DUMMYFUNCTION("""COMPUTED_VALUE"""),"Elia Perrygo")</f>
        <v>Elia Perrygo</v>
      </c>
      <c r="C2748" s="2" t="str">
        <f>IFERROR(__xludf.DUMMYFUNCTION("""COMPUTED_VALUE"""),"eperrygokr@arizona.edu")</f>
        <v>eperrygokr@arizona.edu</v>
      </c>
      <c r="D2748" s="4">
        <f>IFERROR(__xludf.DUMMYFUNCTION("""COMPUTED_VALUE"""),70.0)</f>
        <v>70</v>
      </c>
      <c r="E2748" s="4">
        <f>IFERROR(__xludf.DUMMYFUNCTION("""COMPUTED_VALUE"""),75.0)</f>
        <v>75</v>
      </c>
      <c r="F2748" s="4">
        <f>IFERROR(__xludf.DUMMYFUNCTION("""COMPUTED_VALUE"""),3.0)</f>
        <v>3</v>
      </c>
      <c r="G2748" s="4">
        <f>IFERROR(__xludf.DUMMYFUNCTION("""COMPUTED_VALUE"""),1034.0)</f>
        <v>1034</v>
      </c>
      <c r="H2748" s="5">
        <f>IFERROR(__xludf.DUMMYFUNCTION("""COMPUTED_VALUE"""),3554.64)</f>
        <v>3554.64</v>
      </c>
      <c r="I2748" s="5">
        <f>IFERROR(__xludf.DUMMYFUNCTION("""COMPUTED_VALUE"""),2697.18)</f>
        <v>2697.18</v>
      </c>
      <c r="J2748" s="5">
        <f>IFERROR(__xludf.DUMMYFUNCTION("""COMPUTED_VALUE"""),7648.14)</f>
        <v>7648.14</v>
      </c>
      <c r="K2748" s="5">
        <f>IFERROR(__xludf.DUMMYFUNCTION("""COMPUTED_VALUE"""),5855.34)</f>
        <v>5855.34</v>
      </c>
      <c r="L2748" s="4">
        <f>IFERROR(__xludf.DUMMYFUNCTION("""COMPUTED_VALUE"""),6.0)</f>
        <v>6</v>
      </c>
      <c r="M2748" s="4">
        <f>IFERROR(__xludf.DUMMYFUNCTION("""COMPUTED_VALUE"""),52.0)</f>
        <v>52</v>
      </c>
      <c r="N2748" s="2" t="b">
        <f>IFERROR(__xludf.DUMMYFUNCTION("""COMPUTED_VALUE"""),TRUE)</f>
        <v>1</v>
      </c>
    </row>
    <row r="2749">
      <c r="A2749" s="2">
        <f>IFERROR(__xludf.DUMMYFUNCTION("""COMPUTED_VALUE"""),2748.0)</f>
        <v>2748</v>
      </c>
      <c r="B2749" s="2" t="str">
        <f>IFERROR(__xludf.DUMMYFUNCTION("""COMPUTED_VALUE"""),"Staci Westwell")</f>
        <v>Staci Westwell</v>
      </c>
      <c r="C2749" s="2"/>
      <c r="D2749" s="4">
        <f>IFERROR(__xludf.DUMMYFUNCTION("""COMPUTED_VALUE"""),105.0)</f>
        <v>105</v>
      </c>
      <c r="E2749" s="4">
        <f>IFERROR(__xludf.DUMMYFUNCTION("""COMPUTED_VALUE"""),93.0)</f>
        <v>93</v>
      </c>
      <c r="F2749" s="4">
        <f>IFERROR(__xludf.DUMMYFUNCTION("""COMPUTED_VALUE"""),11.0)</f>
        <v>11</v>
      </c>
      <c r="G2749" s="4">
        <f>IFERROR(__xludf.DUMMYFUNCTION("""COMPUTED_VALUE"""),529.0)</f>
        <v>529</v>
      </c>
      <c r="H2749" s="5">
        <f>IFERROR(__xludf.DUMMYFUNCTION("""COMPUTED_VALUE"""),131.27)</f>
        <v>131.27</v>
      </c>
      <c r="I2749" s="5">
        <f>IFERROR(__xludf.DUMMYFUNCTION("""COMPUTED_VALUE"""),5694.71)</f>
        <v>5694.71</v>
      </c>
      <c r="J2749" s="5">
        <f>IFERROR(__xludf.DUMMYFUNCTION("""COMPUTED_VALUE"""),3290.74)</f>
        <v>3290.74</v>
      </c>
      <c r="K2749" s="5">
        <f>IFERROR(__xludf.DUMMYFUNCTION("""COMPUTED_VALUE"""),3565.26)</f>
        <v>3565.26</v>
      </c>
      <c r="L2749" s="4">
        <f>IFERROR(__xludf.DUMMYFUNCTION("""COMPUTED_VALUE"""),19.0)</f>
        <v>19</v>
      </c>
      <c r="M2749" s="4">
        <f>IFERROR(__xludf.DUMMYFUNCTION("""COMPUTED_VALUE"""),25.0)</f>
        <v>25</v>
      </c>
      <c r="N2749" s="2" t="b">
        <f>IFERROR(__xludf.DUMMYFUNCTION("""COMPUTED_VALUE"""),FALSE)</f>
        <v>0</v>
      </c>
    </row>
    <row r="2750">
      <c r="A2750" s="2">
        <f>IFERROR(__xludf.DUMMYFUNCTION("""COMPUTED_VALUE"""),2749.0)</f>
        <v>2749</v>
      </c>
      <c r="B2750" s="2" t="str">
        <f>IFERROR(__xludf.DUMMYFUNCTION("""COMPUTED_VALUE"""),"Gradey Gierhard")</f>
        <v>Gradey Gierhard</v>
      </c>
      <c r="C2750" s="2"/>
      <c r="D2750" s="4">
        <f>IFERROR(__xludf.DUMMYFUNCTION("""COMPUTED_VALUE"""),119.0)</f>
        <v>119</v>
      </c>
      <c r="E2750" s="4">
        <f>IFERROR(__xludf.DUMMYFUNCTION("""COMPUTED_VALUE"""),47.0)</f>
        <v>47</v>
      </c>
      <c r="F2750" s="4">
        <f>IFERROR(__xludf.DUMMYFUNCTION("""COMPUTED_VALUE"""),13.0)</f>
        <v>13</v>
      </c>
      <c r="G2750" s="4">
        <f>IFERROR(__xludf.DUMMYFUNCTION("""COMPUTED_VALUE"""),663.0)</f>
        <v>663</v>
      </c>
      <c r="H2750" s="5">
        <f>IFERROR(__xludf.DUMMYFUNCTION("""COMPUTED_VALUE"""),4660.35)</f>
        <v>4660.35</v>
      </c>
      <c r="I2750" s="5">
        <f>IFERROR(__xludf.DUMMYFUNCTION("""COMPUTED_VALUE"""),8832.93)</f>
        <v>8832.93</v>
      </c>
      <c r="J2750" s="5">
        <f>IFERROR(__xludf.DUMMYFUNCTION("""COMPUTED_VALUE"""),1426.2)</f>
        <v>1426.2</v>
      </c>
      <c r="K2750" s="5">
        <f>IFERROR(__xludf.DUMMYFUNCTION("""COMPUTED_VALUE"""),5852.69)</f>
        <v>5852.69</v>
      </c>
      <c r="L2750" s="4">
        <f>IFERROR(__xludf.DUMMYFUNCTION("""COMPUTED_VALUE"""),12.0)</f>
        <v>12</v>
      </c>
      <c r="M2750" s="4">
        <f>IFERROR(__xludf.DUMMYFUNCTION("""COMPUTED_VALUE"""),18.0)</f>
        <v>18</v>
      </c>
      <c r="N2750" s="2" t="b">
        <f>IFERROR(__xludf.DUMMYFUNCTION("""COMPUTED_VALUE"""),FALSE)</f>
        <v>0</v>
      </c>
    </row>
    <row r="2751">
      <c r="A2751" s="2">
        <f>IFERROR(__xludf.DUMMYFUNCTION("""COMPUTED_VALUE"""),2750.0)</f>
        <v>2750</v>
      </c>
      <c r="B2751" s="2" t="str">
        <f>IFERROR(__xludf.DUMMYFUNCTION("""COMPUTED_VALUE"""),"Kathe Meys")</f>
        <v>Kathe Meys</v>
      </c>
      <c r="C2751" s="2"/>
      <c r="D2751" s="4">
        <f>IFERROR(__xludf.DUMMYFUNCTION("""COMPUTED_VALUE"""),23.0)</f>
        <v>23</v>
      </c>
      <c r="E2751" s="4">
        <f>IFERROR(__xludf.DUMMYFUNCTION("""COMPUTED_VALUE"""),93.0)</f>
        <v>93</v>
      </c>
      <c r="F2751" s="4">
        <f>IFERROR(__xludf.DUMMYFUNCTION("""COMPUTED_VALUE"""),6.0)</f>
        <v>6</v>
      </c>
      <c r="G2751" s="4">
        <f>IFERROR(__xludf.DUMMYFUNCTION("""COMPUTED_VALUE"""),598.0)</f>
        <v>598</v>
      </c>
      <c r="H2751" s="5">
        <f>IFERROR(__xludf.DUMMYFUNCTION("""COMPUTED_VALUE"""),4520.98)</f>
        <v>4520.98</v>
      </c>
      <c r="I2751" s="5">
        <f>IFERROR(__xludf.DUMMYFUNCTION("""COMPUTED_VALUE"""),6195.86)</f>
        <v>6195.86</v>
      </c>
      <c r="J2751" s="5">
        <f>IFERROR(__xludf.DUMMYFUNCTION("""COMPUTED_VALUE"""),8810.43)</f>
        <v>8810.43</v>
      </c>
      <c r="K2751" s="5">
        <f>IFERROR(__xludf.DUMMYFUNCTION("""COMPUTED_VALUE"""),4826.59)</f>
        <v>4826.59</v>
      </c>
      <c r="L2751" s="4">
        <f>IFERROR(__xludf.DUMMYFUNCTION("""COMPUTED_VALUE"""),5.0)</f>
        <v>5</v>
      </c>
      <c r="M2751" s="4">
        <f>IFERROR(__xludf.DUMMYFUNCTION("""COMPUTED_VALUE"""),53.0)</f>
        <v>53</v>
      </c>
      <c r="N2751" s="2" t="b">
        <f>IFERROR(__xludf.DUMMYFUNCTION("""COMPUTED_VALUE"""),TRUE)</f>
        <v>1</v>
      </c>
    </row>
    <row r="2752">
      <c r="A2752" s="2">
        <f>IFERROR(__xludf.DUMMYFUNCTION("""COMPUTED_VALUE"""),2751.0)</f>
        <v>2751</v>
      </c>
      <c r="B2752" s="2" t="str">
        <f>IFERROR(__xludf.DUMMYFUNCTION("""COMPUTED_VALUE"""),"Alvis Torrie")</f>
        <v>Alvis Torrie</v>
      </c>
      <c r="C2752" s="2"/>
      <c r="D2752" s="4">
        <f>IFERROR(__xludf.DUMMYFUNCTION("""COMPUTED_VALUE"""),90.0)</f>
        <v>90</v>
      </c>
      <c r="E2752" s="4">
        <f>IFERROR(__xludf.DUMMYFUNCTION("""COMPUTED_VALUE"""),14.0)</f>
        <v>14</v>
      </c>
      <c r="F2752" s="4">
        <f>IFERROR(__xludf.DUMMYFUNCTION("""COMPUTED_VALUE"""),13.0)</f>
        <v>13</v>
      </c>
      <c r="G2752" s="4">
        <f>IFERROR(__xludf.DUMMYFUNCTION("""COMPUTED_VALUE"""),1024.0)</f>
        <v>1024</v>
      </c>
      <c r="H2752" s="5">
        <f>IFERROR(__xludf.DUMMYFUNCTION("""COMPUTED_VALUE"""),729.88)</f>
        <v>729.88</v>
      </c>
      <c r="I2752" s="5">
        <f>IFERROR(__xludf.DUMMYFUNCTION("""COMPUTED_VALUE"""),4216.75)</f>
        <v>4216.75</v>
      </c>
      <c r="J2752" s="5">
        <f>IFERROR(__xludf.DUMMYFUNCTION("""COMPUTED_VALUE"""),1560.01)</f>
        <v>1560.01</v>
      </c>
      <c r="K2752" s="5">
        <f>IFERROR(__xludf.DUMMYFUNCTION("""COMPUTED_VALUE"""),7133.44)</f>
        <v>7133.44</v>
      </c>
      <c r="L2752" s="4">
        <f>IFERROR(__xludf.DUMMYFUNCTION("""COMPUTED_VALUE"""),7.0)</f>
        <v>7</v>
      </c>
      <c r="M2752" s="4">
        <f>IFERROR(__xludf.DUMMYFUNCTION("""COMPUTED_VALUE"""),30.0)</f>
        <v>30</v>
      </c>
      <c r="N2752" s="2" t="b">
        <f>IFERROR(__xludf.DUMMYFUNCTION("""COMPUTED_VALUE"""),TRUE)</f>
        <v>1</v>
      </c>
    </row>
    <row r="2753">
      <c r="A2753" s="2">
        <f>IFERROR(__xludf.DUMMYFUNCTION("""COMPUTED_VALUE"""),2752.0)</f>
        <v>2752</v>
      </c>
      <c r="B2753" s="2" t="str">
        <f>IFERROR(__xludf.DUMMYFUNCTION("""COMPUTED_VALUE"""),"Sargent Benallack")</f>
        <v>Sargent Benallack</v>
      </c>
      <c r="C2753" s="2"/>
      <c r="D2753" s="4">
        <f>IFERROR(__xludf.DUMMYFUNCTION("""COMPUTED_VALUE"""),10.0)</f>
        <v>10</v>
      </c>
      <c r="E2753" s="4">
        <f>IFERROR(__xludf.DUMMYFUNCTION("""COMPUTED_VALUE"""),108.0)</f>
        <v>108</v>
      </c>
      <c r="F2753" s="4">
        <f>IFERROR(__xludf.DUMMYFUNCTION("""COMPUTED_VALUE"""),6.0)</f>
        <v>6</v>
      </c>
      <c r="G2753" s="4">
        <f>IFERROR(__xludf.DUMMYFUNCTION("""COMPUTED_VALUE"""),1453.0)</f>
        <v>1453</v>
      </c>
      <c r="H2753" s="5">
        <f>IFERROR(__xludf.DUMMYFUNCTION("""COMPUTED_VALUE"""),7161.4)</f>
        <v>7161.4</v>
      </c>
      <c r="I2753" s="5">
        <f>IFERROR(__xludf.DUMMYFUNCTION("""COMPUTED_VALUE"""),8490.03)</f>
        <v>8490.03</v>
      </c>
      <c r="J2753" s="5">
        <f>IFERROR(__xludf.DUMMYFUNCTION("""COMPUTED_VALUE"""),7903.41)</f>
        <v>7903.41</v>
      </c>
      <c r="K2753" s="5">
        <f>IFERROR(__xludf.DUMMYFUNCTION("""COMPUTED_VALUE"""),5407.23)</f>
        <v>5407.23</v>
      </c>
      <c r="L2753" s="4">
        <f>IFERROR(__xludf.DUMMYFUNCTION("""COMPUTED_VALUE"""),14.0)</f>
        <v>14</v>
      </c>
      <c r="M2753" s="4">
        <f>IFERROR(__xludf.DUMMYFUNCTION("""COMPUTED_VALUE"""),56.0)</f>
        <v>56</v>
      </c>
      <c r="N2753" s="2" t="b">
        <f>IFERROR(__xludf.DUMMYFUNCTION("""COMPUTED_VALUE"""),TRUE)</f>
        <v>1</v>
      </c>
    </row>
    <row r="2754">
      <c r="A2754" s="2">
        <f>IFERROR(__xludf.DUMMYFUNCTION("""COMPUTED_VALUE"""),2753.0)</f>
        <v>2753</v>
      </c>
      <c r="B2754" s="2" t="str">
        <f>IFERROR(__xludf.DUMMYFUNCTION("""COMPUTED_VALUE"""),"Lenka Eddleston")</f>
        <v>Lenka Eddleston</v>
      </c>
      <c r="C2754" s="2"/>
      <c r="D2754" s="4">
        <f>IFERROR(__xludf.DUMMYFUNCTION("""COMPUTED_VALUE"""),92.0)</f>
        <v>92</v>
      </c>
      <c r="E2754" s="4">
        <f>IFERROR(__xludf.DUMMYFUNCTION("""COMPUTED_VALUE"""),85.0)</f>
        <v>85</v>
      </c>
      <c r="F2754" s="4">
        <f>IFERROR(__xludf.DUMMYFUNCTION("""COMPUTED_VALUE"""),13.0)</f>
        <v>13</v>
      </c>
      <c r="G2754" s="4">
        <f>IFERROR(__xludf.DUMMYFUNCTION("""COMPUTED_VALUE"""),181.0)</f>
        <v>181</v>
      </c>
      <c r="H2754" s="5">
        <f>IFERROR(__xludf.DUMMYFUNCTION("""COMPUTED_VALUE"""),5039.73)</f>
        <v>5039.73</v>
      </c>
      <c r="I2754" s="5">
        <f>IFERROR(__xludf.DUMMYFUNCTION("""COMPUTED_VALUE"""),873.54)</f>
        <v>873.54</v>
      </c>
      <c r="J2754" s="5">
        <f>IFERROR(__xludf.DUMMYFUNCTION("""COMPUTED_VALUE"""),4852.59)</f>
        <v>4852.59</v>
      </c>
      <c r="K2754" s="5">
        <f>IFERROR(__xludf.DUMMYFUNCTION("""COMPUTED_VALUE"""),4328.92)</f>
        <v>4328.92</v>
      </c>
      <c r="L2754" s="4">
        <f>IFERROR(__xludf.DUMMYFUNCTION("""COMPUTED_VALUE"""),14.0)</f>
        <v>14</v>
      </c>
      <c r="M2754" s="4">
        <f>IFERROR(__xludf.DUMMYFUNCTION("""COMPUTED_VALUE"""),83.0)</f>
        <v>83</v>
      </c>
      <c r="N2754" s="2" t="b">
        <f>IFERROR(__xludf.DUMMYFUNCTION("""COMPUTED_VALUE"""),TRUE)</f>
        <v>1</v>
      </c>
    </row>
    <row r="2755">
      <c r="A2755" s="2">
        <f>IFERROR(__xludf.DUMMYFUNCTION("""COMPUTED_VALUE"""),2754.0)</f>
        <v>2754</v>
      </c>
      <c r="B2755" s="2" t="str">
        <f>IFERROR(__xludf.DUMMYFUNCTION("""COMPUTED_VALUE"""),"Alberik Kennedy")</f>
        <v>Alberik Kennedy</v>
      </c>
      <c r="C2755" s="2" t="str">
        <f>IFERROR(__xludf.DUMMYFUNCTION("""COMPUTED_VALUE"""),"akennedyky@zdnet.com")</f>
        <v>akennedyky@zdnet.com</v>
      </c>
      <c r="D2755" s="4">
        <f>IFERROR(__xludf.DUMMYFUNCTION("""COMPUTED_VALUE"""),135.0)</f>
        <v>135</v>
      </c>
      <c r="E2755" s="4">
        <f>IFERROR(__xludf.DUMMYFUNCTION("""COMPUTED_VALUE"""),40.0)</f>
        <v>40</v>
      </c>
      <c r="F2755" s="4">
        <f>IFERROR(__xludf.DUMMYFUNCTION("""COMPUTED_VALUE"""),9.0)</f>
        <v>9</v>
      </c>
      <c r="G2755" s="4">
        <f>IFERROR(__xludf.DUMMYFUNCTION("""COMPUTED_VALUE"""),91.0)</f>
        <v>91</v>
      </c>
      <c r="H2755" s="5">
        <f>IFERROR(__xludf.DUMMYFUNCTION("""COMPUTED_VALUE"""),7689.75)</f>
        <v>7689.75</v>
      </c>
      <c r="I2755" s="5">
        <f>IFERROR(__xludf.DUMMYFUNCTION("""COMPUTED_VALUE"""),6636.18)</f>
        <v>6636.18</v>
      </c>
      <c r="J2755" s="5">
        <f>IFERROR(__xludf.DUMMYFUNCTION("""COMPUTED_VALUE"""),1571.3)</f>
        <v>1571.3</v>
      </c>
      <c r="K2755" s="5">
        <f>IFERROR(__xludf.DUMMYFUNCTION("""COMPUTED_VALUE"""),7321.59)</f>
        <v>7321.59</v>
      </c>
      <c r="L2755" s="4">
        <f>IFERROR(__xludf.DUMMYFUNCTION("""COMPUTED_VALUE"""),17.0)</f>
        <v>17</v>
      </c>
      <c r="M2755" s="4">
        <f>IFERROR(__xludf.DUMMYFUNCTION("""COMPUTED_VALUE"""),77.0)</f>
        <v>77</v>
      </c>
      <c r="N2755" s="2" t="b">
        <f>IFERROR(__xludf.DUMMYFUNCTION("""COMPUTED_VALUE"""),TRUE)</f>
        <v>1</v>
      </c>
    </row>
    <row r="2756">
      <c r="A2756" s="2">
        <f>IFERROR(__xludf.DUMMYFUNCTION("""COMPUTED_VALUE"""),2755.0)</f>
        <v>2755</v>
      </c>
      <c r="B2756" s="2" t="str">
        <f>IFERROR(__xludf.DUMMYFUNCTION("""COMPUTED_VALUE"""),"Meg Swinbourne")</f>
        <v>Meg Swinbourne</v>
      </c>
      <c r="C2756" s="2"/>
      <c r="D2756" s="4">
        <f>IFERROR(__xludf.DUMMYFUNCTION("""COMPUTED_VALUE"""),26.0)</f>
        <v>26</v>
      </c>
      <c r="E2756" s="4">
        <f>IFERROR(__xludf.DUMMYFUNCTION("""COMPUTED_VALUE"""),28.0)</f>
        <v>28</v>
      </c>
      <c r="F2756" s="4">
        <f>IFERROR(__xludf.DUMMYFUNCTION("""COMPUTED_VALUE"""),3.0)</f>
        <v>3</v>
      </c>
      <c r="G2756" s="4">
        <f>IFERROR(__xludf.DUMMYFUNCTION("""COMPUTED_VALUE"""),1548.0)</f>
        <v>1548</v>
      </c>
      <c r="H2756" s="5">
        <f>IFERROR(__xludf.DUMMYFUNCTION("""COMPUTED_VALUE"""),5575.55)</f>
        <v>5575.55</v>
      </c>
      <c r="I2756" s="5">
        <f>IFERROR(__xludf.DUMMYFUNCTION("""COMPUTED_VALUE"""),9854.72)</f>
        <v>9854.72</v>
      </c>
      <c r="J2756" s="5">
        <f>IFERROR(__xludf.DUMMYFUNCTION("""COMPUTED_VALUE"""),535.4)</f>
        <v>535.4</v>
      </c>
      <c r="K2756" s="5">
        <f>IFERROR(__xludf.DUMMYFUNCTION("""COMPUTED_VALUE"""),3538.23)</f>
        <v>3538.23</v>
      </c>
      <c r="L2756" s="4">
        <f>IFERROR(__xludf.DUMMYFUNCTION("""COMPUTED_VALUE"""),11.0)</f>
        <v>11</v>
      </c>
      <c r="M2756" s="4">
        <f>IFERROR(__xludf.DUMMYFUNCTION("""COMPUTED_VALUE"""),99.0)</f>
        <v>99</v>
      </c>
      <c r="N2756" s="2" t="b">
        <f>IFERROR(__xludf.DUMMYFUNCTION("""COMPUTED_VALUE"""),FALSE)</f>
        <v>0</v>
      </c>
    </row>
    <row r="2757">
      <c r="A2757" s="2">
        <f>IFERROR(__xludf.DUMMYFUNCTION("""COMPUTED_VALUE"""),2756.0)</f>
        <v>2756</v>
      </c>
      <c r="B2757" s="2" t="str">
        <f>IFERROR(__xludf.DUMMYFUNCTION("""COMPUTED_VALUE"""),"Remus Worledge")</f>
        <v>Remus Worledge</v>
      </c>
      <c r="C2757" s="2"/>
      <c r="D2757" s="4">
        <f>IFERROR(__xludf.DUMMYFUNCTION("""COMPUTED_VALUE"""),104.0)</f>
        <v>104</v>
      </c>
      <c r="E2757" s="4">
        <f>IFERROR(__xludf.DUMMYFUNCTION("""COMPUTED_VALUE"""),75.0)</f>
        <v>75</v>
      </c>
      <c r="F2757" s="4">
        <f>IFERROR(__xludf.DUMMYFUNCTION("""COMPUTED_VALUE"""),10.0)</f>
        <v>10</v>
      </c>
      <c r="G2757" s="4">
        <f>IFERROR(__xludf.DUMMYFUNCTION("""COMPUTED_VALUE"""),483.0)</f>
        <v>483</v>
      </c>
      <c r="H2757" s="5">
        <f>IFERROR(__xludf.DUMMYFUNCTION("""COMPUTED_VALUE"""),6070.96)</f>
        <v>6070.96</v>
      </c>
      <c r="I2757" s="5">
        <f>IFERROR(__xludf.DUMMYFUNCTION("""COMPUTED_VALUE"""),4065.05)</f>
        <v>4065.05</v>
      </c>
      <c r="J2757" s="5">
        <f>IFERROR(__xludf.DUMMYFUNCTION("""COMPUTED_VALUE"""),2284.51)</f>
        <v>2284.51</v>
      </c>
      <c r="K2757" s="5">
        <f>IFERROR(__xludf.DUMMYFUNCTION("""COMPUTED_VALUE"""),5394.24)</f>
        <v>5394.24</v>
      </c>
      <c r="L2757" s="4">
        <f>IFERROR(__xludf.DUMMYFUNCTION("""COMPUTED_VALUE"""),13.0)</f>
        <v>13</v>
      </c>
      <c r="M2757" s="4">
        <f>IFERROR(__xludf.DUMMYFUNCTION("""COMPUTED_VALUE"""),100.0)</f>
        <v>100</v>
      </c>
      <c r="N2757" s="2" t="b">
        <f>IFERROR(__xludf.DUMMYFUNCTION("""COMPUTED_VALUE"""),FALSE)</f>
        <v>0</v>
      </c>
    </row>
    <row r="2758">
      <c r="A2758" s="2">
        <f>IFERROR(__xludf.DUMMYFUNCTION("""COMPUTED_VALUE"""),2757.0)</f>
        <v>2757</v>
      </c>
      <c r="B2758" s="2" t="str">
        <f>IFERROR(__xludf.DUMMYFUNCTION("""COMPUTED_VALUE"""),"Gasper Bever")</f>
        <v>Gasper Bever</v>
      </c>
      <c r="C2758" s="2"/>
      <c r="D2758" s="4">
        <f>IFERROR(__xludf.DUMMYFUNCTION("""COMPUTED_VALUE"""),8.0)</f>
        <v>8</v>
      </c>
      <c r="E2758" s="4">
        <f>IFERROR(__xludf.DUMMYFUNCTION("""COMPUTED_VALUE"""),100.0)</f>
        <v>100</v>
      </c>
      <c r="F2758" s="4">
        <f>IFERROR(__xludf.DUMMYFUNCTION("""COMPUTED_VALUE"""),9.0)</f>
        <v>9</v>
      </c>
      <c r="G2758" s="4">
        <f>IFERROR(__xludf.DUMMYFUNCTION("""COMPUTED_VALUE"""),127.0)</f>
        <v>127</v>
      </c>
      <c r="H2758" s="5">
        <f>IFERROR(__xludf.DUMMYFUNCTION("""COMPUTED_VALUE"""),5691.81)</f>
        <v>5691.81</v>
      </c>
      <c r="I2758" s="5">
        <f>IFERROR(__xludf.DUMMYFUNCTION("""COMPUTED_VALUE"""),8634.7)</f>
        <v>8634.7</v>
      </c>
      <c r="J2758" s="5">
        <f>IFERROR(__xludf.DUMMYFUNCTION("""COMPUTED_VALUE"""),5384.7)</f>
        <v>5384.7</v>
      </c>
      <c r="K2758" s="5">
        <f>IFERROR(__xludf.DUMMYFUNCTION("""COMPUTED_VALUE"""),5254.39)</f>
        <v>5254.39</v>
      </c>
      <c r="L2758" s="4">
        <f>IFERROR(__xludf.DUMMYFUNCTION("""COMPUTED_VALUE"""),14.0)</f>
        <v>14</v>
      </c>
      <c r="M2758" s="4">
        <f>IFERROR(__xludf.DUMMYFUNCTION("""COMPUTED_VALUE"""),19.0)</f>
        <v>19</v>
      </c>
      <c r="N2758" s="2" t="b">
        <f>IFERROR(__xludf.DUMMYFUNCTION("""COMPUTED_VALUE"""),TRUE)</f>
        <v>1</v>
      </c>
    </row>
    <row r="2759">
      <c r="A2759" s="2">
        <f>IFERROR(__xludf.DUMMYFUNCTION("""COMPUTED_VALUE"""),2758.0)</f>
        <v>2758</v>
      </c>
      <c r="B2759" s="2" t="str">
        <f>IFERROR(__xludf.DUMMYFUNCTION("""COMPUTED_VALUE"""),"Bronnie Sacaze")</f>
        <v>Bronnie Sacaze</v>
      </c>
      <c r="C2759" s="2"/>
      <c r="D2759" s="4">
        <f>IFERROR(__xludf.DUMMYFUNCTION("""COMPUTED_VALUE"""),155.0)</f>
        <v>155</v>
      </c>
      <c r="E2759" s="4">
        <f>IFERROR(__xludf.DUMMYFUNCTION("""COMPUTED_VALUE"""),35.0)</f>
        <v>35</v>
      </c>
      <c r="F2759" s="4">
        <f>IFERROR(__xludf.DUMMYFUNCTION("""COMPUTED_VALUE"""),12.0)</f>
        <v>12</v>
      </c>
      <c r="G2759" s="4">
        <f>IFERROR(__xludf.DUMMYFUNCTION("""COMPUTED_VALUE"""),1393.0)</f>
        <v>1393</v>
      </c>
      <c r="H2759" s="5">
        <f>IFERROR(__xludf.DUMMYFUNCTION("""COMPUTED_VALUE"""),4954.41)</f>
        <v>4954.41</v>
      </c>
      <c r="I2759" s="5">
        <f>IFERROR(__xludf.DUMMYFUNCTION("""COMPUTED_VALUE"""),4685.77)</f>
        <v>4685.77</v>
      </c>
      <c r="J2759" s="5">
        <f>IFERROR(__xludf.DUMMYFUNCTION("""COMPUTED_VALUE"""),3053.96)</f>
        <v>3053.96</v>
      </c>
      <c r="K2759" s="5">
        <f>IFERROR(__xludf.DUMMYFUNCTION("""COMPUTED_VALUE"""),9134.9)</f>
        <v>9134.9</v>
      </c>
      <c r="L2759" s="4">
        <f>IFERROR(__xludf.DUMMYFUNCTION("""COMPUTED_VALUE"""),6.0)</f>
        <v>6</v>
      </c>
      <c r="M2759" s="4">
        <f>IFERROR(__xludf.DUMMYFUNCTION("""COMPUTED_VALUE"""),65.0)</f>
        <v>65</v>
      </c>
      <c r="N2759" s="2" t="b">
        <f>IFERROR(__xludf.DUMMYFUNCTION("""COMPUTED_VALUE"""),TRUE)</f>
        <v>1</v>
      </c>
    </row>
    <row r="2760">
      <c r="A2760" s="2">
        <f>IFERROR(__xludf.DUMMYFUNCTION("""COMPUTED_VALUE"""),2759.0)</f>
        <v>2759</v>
      </c>
      <c r="B2760" s="2" t="str">
        <f>IFERROR(__xludf.DUMMYFUNCTION("""COMPUTED_VALUE"""),"Chicky Grece")</f>
        <v>Chicky Grece</v>
      </c>
      <c r="C2760" s="2"/>
      <c r="D2760" s="4">
        <f>IFERROR(__xludf.DUMMYFUNCTION("""COMPUTED_VALUE"""),112.0)</f>
        <v>112</v>
      </c>
      <c r="E2760" s="4">
        <f>IFERROR(__xludf.DUMMYFUNCTION("""COMPUTED_VALUE"""),98.0)</f>
        <v>98</v>
      </c>
      <c r="F2760" s="4">
        <f>IFERROR(__xludf.DUMMYFUNCTION("""COMPUTED_VALUE"""),8.0)</f>
        <v>8</v>
      </c>
      <c r="G2760" s="4">
        <f>IFERROR(__xludf.DUMMYFUNCTION("""COMPUTED_VALUE"""),1200.0)</f>
        <v>1200</v>
      </c>
      <c r="H2760" s="5">
        <f>IFERROR(__xludf.DUMMYFUNCTION("""COMPUTED_VALUE"""),2517.12)</f>
        <v>2517.12</v>
      </c>
      <c r="I2760" s="5">
        <f>IFERROR(__xludf.DUMMYFUNCTION("""COMPUTED_VALUE"""),4884.31)</f>
        <v>4884.31</v>
      </c>
      <c r="J2760" s="5">
        <f>IFERROR(__xludf.DUMMYFUNCTION("""COMPUTED_VALUE"""),7426.08)</f>
        <v>7426.08</v>
      </c>
      <c r="K2760" s="5">
        <f>IFERROR(__xludf.DUMMYFUNCTION("""COMPUTED_VALUE"""),409.98)</f>
        <v>409.98</v>
      </c>
      <c r="L2760" s="4">
        <f>IFERROR(__xludf.DUMMYFUNCTION("""COMPUTED_VALUE"""),3.0)</f>
        <v>3</v>
      </c>
      <c r="M2760" s="4">
        <f>IFERROR(__xludf.DUMMYFUNCTION("""COMPUTED_VALUE"""),45.0)</f>
        <v>45</v>
      </c>
      <c r="N2760" s="2" t="b">
        <f>IFERROR(__xludf.DUMMYFUNCTION("""COMPUTED_VALUE"""),FALSE)</f>
        <v>0</v>
      </c>
    </row>
    <row r="2761">
      <c r="A2761" s="2">
        <f>IFERROR(__xludf.DUMMYFUNCTION("""COMPUTED_VALUE"""),2760.0)</f>
        <v>2760</v>
      </c>
      <c r="B2761" s="2" t="str">
        <f>IFERROR(__xludf.DUMMYFUNCTION("""COMPUTED_VALUE"""),"Derrik Simoncini")</f>
        <v>Derrik Simoncini</v>
      </c>
      <c r="C2761" s="2" t="str">
        <f>IFERROR(__xludf.DUMMYFUNCTION("""COMPUTED_VALUE"""),"dsimoncinil4@archive.org")</f>
        <v>dsimoncinil4@archive.org</v>
      </c>
      <c r="D2761" s="4">
        <f>IFERROR(__xludf.DUMMYFUNCTION("""COMPUTED_VALUE"""),27.0)</f>
        <v>27</v>
      </c>
      <c r="E2761" s="4">
        <f>IFERROR(__xludf.DUMMYFUNCTION("""COMPUTED_VALUE"""),105.0)</f>
        <v>105</v>
      </c>
      <c r="F2761" s="4">
        <f>IFERROR(__xludf.DUMMYFUNCTION("""COMPUTED_VALUE"""),7.0)</f>
        <v>7</v>
      </c>
      <c r="G2761" s="4">
        <f>IFERROR(__xludf.DUMMYFUNCTION("""COMPUTED_VALUE"""),895.0)</f>
        <v>895</v>
      </c>
      <c r="H2761" s="5">
        <f>IFERROR(__xludf.DUMMYFUNCTION("""COMPUTED_VALUE"""),5385.19)</f>
        <v>5385.19</v>
      </c>
      <c r="I2761" s="5">
        <f>IFERROR(__xludf.DUMMYFUNCTION("""COMPUTED_VALUE"""),1405.26)</f>
        <v>1405.26</v>
      </c>
      <c r="J2761" s="5">
        <f>IFERROR(__xludf.DUMMYFUNCTION("""COMPUTED_VALUE"""),4224.39)</f>
        <v>4224.39</v>
      </c>
      <c r="K2761" s="5">
        <f>IFERROR(__xludf.DUMMYFUNCTION("""COMPUTED_VALUE"""),9500.86)</f>
        <v>9500.86</v>
      </c>
      <c r="L2761" s="4">
        <f>IFERROR(__xludf.DUMMYFUNCTION("""COMPUTED_VALUE"""),8.0)</f>
        <v>8</v>
      </c>
      <c r="M2761" s="4">
        <f>IFERROR(__xludf.DUMMYFUNCTION("""COMPUTED_VALUE"""),44.0)</f>
        <v>44</v>
      </c>
      <c r="N2761" s="2" t="b">
        <f>IFERROR(__xludf.DUMMYFUNCTION("""COMPUTED_VALUE"""),TRUE)</f>
        <v>1</v>
      </c>
    </row>
    <row r="2762">
      <c r="A2762" s="2">
        <f>IFERROR(__xludf.DUMMYFUNCTION("""COMPUTED_VALUE"""),2761.0)</f>
        <v>2761</v>
      </c>
      <c r="B2762" s="2" t="str">
        <f>IFERROR(__xludf.DUMMYFUNCTION("""COMPUTED_VALUE"""),"Hanan Messum")</f>
        <v>Hanan Messum</v>
      </c>
      <c r="C2762" s="2" t="str">
        <f>IFERROR(__xludf.DUMMYFUNCTION("""COMPUTED_VALUE"""),"hmessuml5@samsung.com")</f>
        <v>hmessuml5@samsung.com</v>
      </c>
      <c r="D2762" s="4">
        <f>IFERROR(__xludf.DUMMYFUNCTION("""COMPUTED_VALUE"""),54.0)</f>
        <v>54</v>
      </c>
      <c r="E2762" s="4">
        <f>IFERROR(__xludf.DUMMYFUNCTION("""COMPUTED_VALUE"""),119.0)</f>
        <v>119</v>
      </c>
      <c r="F2762" s="4">
        <f>IFERROR(__xludf.DUMMYFUNCTION("""COMPUTED_VALUE"""),10.0)</f>
        <v>10</v>
      </c>
      <c r="G2762" s="4">
        <f>IFERROR(__xludf.DUMMYFUNCTION("""COMPUTED_VALUE"""),1506.0)</f>
        <v>1506</v>
      </c>
      <c r="H2762" s="5">
        <f>IFERROR(__xludf.DUMMYFUNCTION("""COMPUTED_VALUE"""),5892.31)</f>
        <v>5892.31</v>
      </c>
      <c r="I2762" s="5">
        <f>IFERROR(__xludf.DUMMYFUNCTION("""COMPUTED_VALUE"""),1101.48)</f>
        <v>1101.48</v>
      </c>
      <c r="J2762" s="5">
        <f>IFERROR(__xludf.DUMMYFUNCTION("""COMPUTED_VALUE"""),5879.33)</f>
        <v>5879.33</v>
      </c>
      <c r="K2762" s="5">
        <f>IFERROR(__xludf.DUMMYFUNCTION("""COMPUTED_VALUE"""),4345.34)</f>
        <v>4345.34</v>
      </c>
      <c r="L2762" s="4">
        <f>IFERROR(__xludf.DUMMYFUNCTION("""COMPUTED_VALUE"""),9.0)</f>
        <v>9</v>
      </c>
      <c r="M2762" s="4">
        <f>IFERROR(__xludf.DUMMYFUNCTION("""COMPUTED_VALUE"""),57.0)</f>
        <v>57</v>
      </c>
      <c r="N2762" s="2" t="b">
        <f>IFERROR(__xludf.DUMMYFUNCTION("""COMPUTED_VALUE"""),FALSE)</f>
        <v>0</v>
      </c>
    </row>
    <row r="2763">
      <c r="A2763" s="2">
        <f>IFERROR(__xludf.DUMMYFUNCTION("""COMPUTED_VALUE"""),2762.0)</f>
        <v>2762</v>
      </c>
      <c r="B2763" s="2" t="str">
        <f>IFERROR(__xludf.DUMMYFUNCTION("""COMPUTED_VALUE"""),"Meggy Pedrol")</f>
        <v>Meggy Pedrol</v>
      </c>
      <c r="C2763" s="2" t="str">
        <f>IFERROR(__xludf.DUMMYFUNCTION("""COMPUTED_VALUE"""),"mpedroll6@ucsd.edu")</f>
        <v>mpedroll6@ucsd.edu</v>
      </c>
      <c r="D2763" s="4">
        <f>IFERROR(__xludf.DUMMYFUNCTION("""COMPUTED_VALUE"""),2.0)</f>
        <v>2</v>
      </c>
      <c r="E2763" s="4">
        <f>IFERROR(__xludf.DUMMYFUNCTION("""COMPUTED_VALUE"""),81.0)</f>
        <v>81</v>
      </c>
      <c r="F2763" s="4">
        <f>IFERROR(__xludf.DUMMYFUNCTION("""COMPUTED_VALUE"""),8.0)</f>
        <v>8</v>
      </c>
      <c r="G2763" s="4">
        <f>IFERROR(__xludf.DUMMYFUNCTION("""COMPUTED_VALUE"""),1090.0)</f>
        <v>1090</v>
      </c>
      <c r="H2763" s="5">
        <f>IFERROR(__xludf.DUMMYFUNCTION("""COMPUTED_VALUE"""),7474.47)</f>
        <v>7474.47</v>
      </c>
      <c r="I2763" s="5">
        <f>IFERROR(__xludf.DUMMYFUNCTION("""COMPUTED_VALUE"""),317.04)</f>
        <v>317.04</v>
      </c>
      <c r="J2763" s="5">
        <f>IFERROR(__xludf.DUMMYFUNCTION("""COMPUTED_VALUE"""),102.7)</f>
        <v>102.7</v>
      </c>
      <c r="K2763" s="5">
        <f>IFERROR(__xludf.DUMMYFUNCTION("""COMPUTED_VALUE"""),575.0)</f>
        <v>575</v>
      </c>
      <c r="L2763" s="4">
        <f>IFERROR(__xludf.DUMMYFUNCTION("""COMPUTED_VALUE"""),20.0)</f>
        <v>20</v>
      </c>
      <c r="M2763" s="4">
        <f>IFERROR(__xludf.DUMMYFUNCTION("""COMPUTED_VALUE"""),43.0)</f>
        <v>43</v>
      </c>
      <c r="N2763" s="2" t="b">
        <f>IFERROR(__xludf.DUMMYFUNCTION("""COMPUTED_VALUE"""),FALSE)</f>
        <v>0</v>
      </c>
    </row>
    <row r="2764">
      <c r="A2764" s="2">
        <f>IFERROR(__xludf.DUMMYFUNCTION("""COMPUTED_VALUE"""),2763.0)</f>
        <v>2763</v>
      </c>
      <c r="B2764" s="2" t="str">
        <f>IFERROR(__xludf.DUMMYFUNCTION("""COMPUTED_VALUE"""),"Hansiain Maddison")</f>
        <v>Hansiain Maddison</v>
      </c>
      <c r="C2764" s="2"/>
      <c r="D2764" s="4">
        <f>IFERROR(__xludf.DUMMYFUNCTION("""COMPUTED_VALUE"""),105.0)</f>
        <v>105</v>
      </c>
      <c r="E2764" s="4">
        <f>IFERROR(__xludf.DUMMYFUNCTION("""COMPUTED_VALUE"""),16.0)</f>
        <v>16</v>
      </c>
      <c r="F2764" s="4">
        <f>IFERROR(__xludf.DUMMYFUNCTION("""COMPUTED_VALUE"""),1.0)</f>
        <v>1</v>
      </c>
      <c r="G2764" s="4">
        <f>IFERROR(__xludf.DUMMYFUNCTION("""COMPUTED_VALUE"""),156.0)</f>
        <v>156</v>
      </c>
      <c r="H2764" s="5">
        <f>IFERROR(__xludf.DUMMYFUNCTION("""COMPUTED_VALUE"""),8576.02)</f>
        <v>8576.02</v>
      </c>
      <c r="I2764" s="5">
        <f>IFERROR(__xludf.DUMMYFUNCTION("""COMPUTED_VALUE"""),5214.84)</f>
        <v>5214.84</v>
      </c>
      <c r="J2764" s="5">
        <f>IFERROR(__xludf.DUMMYFUNCTION("""COMPUTED_VALUE"""),8140.97)</f>
        <v>8140.97</v>
      </c>
      <c r="K2764" s="5">
        <f>IFERROR(__xludf.DUMMYFUNCTION("""COMPUTED_VALUE"""),3795.4)</f>
        <v>3795.4</v>
      </c>
      <c r="L2764" s="4">
        <f>IFERROR(__xludf.DUMMYFUNCTION("""COMPUTED_VALUE"""),4.0)</f>
        <v>4</v>
      </c>
      <c r="M2764" s="4">
        <f>IFERROR(__xludf.DUMMYFUNCTION("""COMPUTED_VALUE"""),94.0)</f>
        <v>94</v>
      </c>
      <c r="N2764" s="2" t="b">
        <f>IFERROR(__xludf.DUMMYFUNCTION("""COMPUTED_VALUE"""),TRUE)</f>
        <v>1</v>
      </c>
    </row>
    <row r="2765">
      <c r="A2765" s="2">
        <f>IFERROR(__xludf.DUMMYFUNCTION("""COMPUTED_VALUE"""),2764.0)</f>
        <v>2764</v>
      </c>
      <c r="B2765" s="2" t="str">
        <f>IFERROR(__xludf.DUMMYFUNCTION("""COMPUTED_VALUE"""),"Sharyl Johnsson")</f>
        <v>Sharyl Johnsson</v>
      </c>
      <c r="C2765" s="2" t="str">
        <f>IFERROR(__xludf.DUMMYFUNCTION("""COMPUTED_VALUE"""),"sjohnssonl8@npr.org")</f>
        <v>sjohnssonl8@npr.org</v>
      </c>
      <c r="D2765" s="4">
        <f>IFERROR(__xludf.DUMMYFUNCTION("""COMPUTED_VALUE"""),19.0)</f>
        <v>19</v>
      </c>
      <c r="E2765" s="4">
        <f>IFERROR(__xludf.DUMMYFUNCTION("""COMPUTED_VALUE"""),115.0)</f>
        <v>115</v>
      </c>
      <c r="F2765" s="4">
        <f>IFERROR(__xludf.DUMMYFUNCTION("""COMPUTED_VALUE"""),11.0)</f>
        <v>11</v>
      </c>
      <c r="G2765" s="4">
        <f>IFERROR(__xludf.DUMMYFUNCTION("""COMPUTED_VALUE"""),443.0)</f>
        <v>443</v>
      </c>
      <c r="H2765" s="5">
        <f>IFERROR(__xludf.DUMMYFUNCTION("""COMPUTED_VALUE"""),9713.75)</f>
        <v>9713.75</v>
      </c>
      <c r="I2765" s="5">
        <f>IFERROR(__xludf.DUMMYFUNCTION("""COMPUTED_VALUE"""),5717.15)</f>
        <v>5717.15</v>
      </c>
      <c r="J2765" s="5">
        <f>IFERROR(__xludf.DUMMYFUNCTION("""COMPUTED_VALUE"""),587.44)</f>
        <v>587.44</v>
      </c>
      <c r="K2765" s="5">
        <f>IFERROR(__xludf.DUMMYFUNCTION("""COMPUTED_VALUE"""),7603.53)</f>
        <v>7603.53</v>
      </c>
      <c r="L2765" s="4">
        <f>IFERROR(__xludf.DUMMYFUNCTION("""COMPUTED_VALUE"""),4.0)</f>
        <v>4</v>
      </c>
      <c r="M2765" s="4">
        <f>IFERROR(__xludf.DUMMYFUNCTION("""COMPUTED_VALUE"""),67.0)</f>
        <v>67</v>
      </c>
      <c r="N2765" s="2" t="b">
        <f>IFERROR(__xludf.DUMMYFUNCTION("""COMPUTED_VALUE"""),TRUE)</f>
        <v>1</v>
      </c>
    </row>
    <row r="2766">
      <c r="A2766" s="2">
        <f>IFERROR(__xludf.DUMMYFUNCTION("""COMPUTED_VALUE"""),2765.0)</f>
        <v>2765</v>
      </c>
      <c r="B2766" s="2" t="str">
        <f>IFERROR(__xludf.DUMMYFUNCTION("""COMPUTED_VALUE"""),"Raquela Ygou")</f>
        <v>Raquela Ygou</v>
      </c>
      <c r="C2766" s="2" t="str">
        <f>IFERROR(__xludf.DUMMYFUNCTION("""COMPUTED_VALUE"""),"rygoul9@histats.com")</f>
        <v>rygoul9@histats.com</v>
      </c>
      <c r="D2766" s="4">
        <f>IFERROR(__xludf.DUMMYFUNCTION("""COMPUTED_VALUE"""),151.0)</f>
        <v>151</v>
      </c>
      <c r="E2766" s="4">
        <f>IFERROR(__xludf.DUMMYFUNCTION("""COMPUTED_VALUE"""),54.0)</f>
        <v>54</v>
      </c>
      <c r="F2766" s="4">
        <f>IFERROR(__xludf.DUMMYFUNCTION("""COMPUTED_VALUE"""),9.0)</f>
        <v>9</v>
      </c>
      <c r="G2766" s="4">
        <f>IFERROR(__xludf.DUMMYFUNCTION("""COMPUTED_VALUE"""),1581.0)</f>
        <v>1581</v>
      </c>
      <c r="H2766" s="5">
        <f>IFERROR(__xludf.DUMMYFUNCTION("""COMPUTED_VALUE"""),2727.99)</f>
        <v>2727.99</v>
      </c>
      <c r="I2766" s="5">
        <f>IFERROR(__xludf.DUMMYFUNCTION("""COMPUTED_VALUE"""),8142.06)</f>
        <v>8142.06</v>
      </c>
      <c r="J2766" s="5">
        <f>IFERROR(__xludf.DUMMYFUNCTION("""COMPUTED_VALUE"""),2179.22)</f>
        <v>2179.22</v>
      </c>
      <c r="K2766" s="5">
        <f>IFERROR(__xludf.DUMMYFUNCTION("""COMPUTED_VALUE"""),8241.52)</f>
        <v>8241.52</v>
      </c>
      <c r="L2766" s="4">
        <f>IFERROR(__xludf.DUMMYFUNCTION("""COMPUTED_VALUE"""),16.0)</f>
        <v>16</v>
      </c>
      <c r="M2766" s="4">
        <f>IFERROR(__xludf.DUMMYFUNCTION("""COMPUTED_VALUE"""),28.0)</f>
        <v>28</v>
      </c>
      <c r="N2766" s="2" t="b">
        <f>IFERROR(__xludf.DUMMYFUNCTION("""COMPUTED_VALUE"""),FALSE)</f>
        <v>0</v>
      </c>
    </row>
    <row r="2767">
      <c r="A2767" s="2">
        <f>IFERROR(__xludf.DUMMYFUNCTION("""COMPUTED_VALUE"""),2766.0)</f>
        <v>2766</v>
      </c>
      <c r="B2767" s="2" t="str">
        <f>IFERROR(__xludf.DUMMYFUNCTION("""COMPUTED_VALUE"""),"Marten Harcombe")</f>
        <v>Marten Harcombe</v>
      </c>
      <c r="C2767" s="2"/>
      <c r="D2767" s="4">
        <f>IFERROR(__xludf.DUMMYFUNCTION("""COMPUTED_VALUE"""),120.0)</f>
        <v>120</v>
      </c>
      <c r="E2767" s="4">
        <f>IFERROR(__xludf.DUMMYFUNCTION("""COMPUTED_VALUE"""),60.0)</f>
        <v>60</v>
      </c>
      <c r="F2767" s="4">
        <f>IFERROR(__xludf.DUMMYFUNCTION("""COMPUTED_VALUE"""),12.0)</f>
        <v>12</v>
      </c>
      <c r="G2767" s="4">
        <f>IFERROR(__xludf.DUMMYFUNCTION("""COMPUTED_VALUE"""),1197.0)</f>
        <v>1197</v>
      </c>
      <c r="H2767" s="5">
        <f>IFERROR(__xludf.DUMMYFUNCTION("""COMPUTED_VALUE"""),202.1)</f>
        <v>202.1</v>
      </c>
      <c r="I2767" s="5">
        <f>IFERROR(__xludf.DUMMYFUNCTION("""COMPUTED_VALUE"""),2586.87)</f>
        <v>2586.87</v>
      </c>
      <c r="J2767" s="5">
        <f>IFERROR(__xludf.DUMMYFUNCTION("""COMPUTED_VALUE"""),5282.1)</f>
        <v>5282.1</v>
      </c>
      <c r="K2767" s="5">
        <f>IFERROR(__xludf.DUMMYFUNCTION("""COMPUTED_VALUE"""),7700.34)</f>
        <v>7700.34</v>
      </c>
      <c r="L2767" s="4">
        <f>IFERROR(__xludf.DUMMYFUNCTION("""COMPUTED_VALUE"""),15.0)</f>
        <v>15</v>
      </c>
      <c r="M2767" s="4">
        <f>IFERROR(__xludf.DUMMYFUNCTION("""COMPUTED_VALUE"""),80.0)</f>
        <v>80</v>
      </c>
      <c r="N2767" s="2" t="b">
        <f>IFERROR(__xludf.DUMMYFUNCTION("""COMPUTED_VALUE"""),TRUE)</f>
        <v>1</v>
      </c>
    </row>
    <row r="2768">
      <c r="A2768" s="2">
        <f>IFERROR(__xludf.DUMMYFUNCTION("""COMPUTED_VALUE"""),2767.0)</f>
        <v>2767</v>
      </c>
      <c r="B2768" s="2" t="str">
        <f>IFERROR(__xludf.DUMMYFUNCTION("""COMPUTED_VALUE"""),"Rhett Ewington")</f>
        <v>Rhett Ewington</v>
      </c>
      <c r="C2768" s="2"/>
      <c r="D2768" s="4">
        <f>IFERROR(__xludf.DUMMYFUNCTION("""COMPUTED_VALUE"""),58.0)</f>
        <v>58</v>
      </c>
      <c r="E2768" s="4">
        <f>IFERROR(__xludf.DUMMYFUNCTION("""COMPUTED_VALUE"""),94.0)</f>
        <v>94</v>
      </c>
      <c r="F2768" s="4">
        <f>IFERROR(__xludf.DUMMYFUNCTION("""COMPUTED_VALUE"""),4.0)</f>
        <v>4</v>
      </c>
      <c r="G2768" s="4">
        <f>IFERROR(__xludf.DUMMYFUNCTION("""COMPUTED_VALUE"""),188.0)</f>
        <v>188</v>
      </c>
      <c r="H2768" s="5">
        <f>IFERROR(__xludf.DUMMYFUNCTION("""COMPUTED_VALUE"""),2959.93)</f>
        <v>2959.93</v>
      </c>
      <c r="I2768" s="5">
        <f>IFERROR(__xludf.DUMMYFUNCTION("""COMPUTED_VALUE"""),6021.87)</f>
        <v>6021.87</v>
      </c>
      <c r="J2768" s="5">
        <f>IFERROR(__xludf.DUMMYFUNCTION("""COMPUTED_VALUE"""),6797.04)</f>
        <v>6797.04</v>
      </c>
      <c r="K2768" s="5">
        <f>IFERROR(__xludf.DUMMYFUNCTION("""COMPUTED_VALUE"""),1760.65)</f>
        <v>1760.65</v>
      </c>
      <c r="L2768" s="4">
        <f>IFERROR(__xludf.DUMMYFUNCTION("""COMPUTED_VALUE"""),13.0)</f>
        <v>13</v>
      </c>
      <c r="M2768" s="4">
        <f>IFERROR(__xludf.DUMMYFUNCTION("""COMPUTED_VALUE"""),98.0)</f>
        <v>98</v>
      </c>
      <c r="N2768" s="2" t="b">
        <f>IFERROR(__xludf.DUMMYFUNCTION("""COMPUTED_VALUE"""),FALSE)</f>
        <v>0</v>
      </c>
    </row>
    <row r="2769">
      <c r="A2769" s="2">
        <f>IFERROR(__xludf.DUMMYFUNCTION("""COMPUTED_VALUE"""),2768.0)</f>
        <v>2768</v>
      </c>
      <c r="B2769" s="2" t="str">
        <f>IFERROR(__xludf.DUMMYFUNCTION("""COMPUTED_VALUE"""),"Constantin Kunat")</f>
        <v>Constantin Kunat</v>
      </c>
      <c r="C2769" s="2" t="str">
        <f>IFERROR(__xludf.DUMMYFUNCTION("""COMPUTED_VALUE"""),"ckunatlc@livejournal.com")</f>
        <v>ckunatlc@livejournal.com</v>
      </c>
      <c r="D2769" s="4">
        <f>IFERROR(__xludf.DUMMYFUNCTION("""COMPUTED_VALUE"""),61.0)</f>
        <v>61</v>
      </c>
      <c r="E2769" s="4">
        <f>IFERROR(__xludf.DUMMYFUNCTION("""COMPUTED_VALUE"""),86.0)</f>
        <v>86</v>
      </c>
      <c r="F2769" s="4">
        <f>IFERROR(__xludf.DUMMYFUNCTION("""COMPUTED_VALUE"""),5.0)</f>
        <v>5</v>
      </c>
      <c r="G2769" s="4">
        <f>IFERROR(__xludf.DUMMYFUNCTION("""COMPUTED_VALUE"""),611.0)</f>
        <v>611</v>
      </c>
      <c r="H2769" s="5">
        <f>IFERROR(__xludf.DUMMYFUNCTION("""COMPUTED_VALUE"""),5896.24)</f>
        <v>5896.24</v>
      </c>
      <c r="I2769" s="5">
        <f>IFERROR(__xludf.DUMMYFUNCTION("""COMPUTED_VALUE"""),3983.35)</f>
        <v>3983.35</v>
      </c>
      <c r="J2769" s="5">
        <f>IFERROR(__xludf.DUMMYFUNCTION("""COMPUTED_VALUE"""),9052.83)</f>
        <v>9052.83</v>
      </c>
      <c r="K2769" s="5">
        <f>IFERROR(__xludf.DUMMYFUNCTION("""COMPUTED_VALUE"""),3529.29)</f>
        <v>3529.29</v>
      </c>
      <c r="L2769" s="4">
        <f>IFERROR(__xludf.DUMMYFUNCTION("""COMPUTED_VALUE"""),3.0)</f>
        <v>3</v>
      </c>
      <c r="M2769" s="4">
        <f>IFERROR(__xludf.DUMMYFUNCTION("""COMPUTED_VALUE"""),9.0)</f>
        <v>9</v>
      </c>
      <c r="N2769" s="2" t="b">
        <f>IFERROR(__xludf.DUMMYFUNCTION("""COMPUTED_VALUE"""),TRUE)</f>
        <v>1</v>
      </c>
    </row>
    <row r="2770">
      <c r="A2770" s="2">
        <f>IFERROR(__xludf.DUMMYFUNCTION("""COMPUTED_VALUE"""),2769.0)</f>
        <v>2769</v>
      </c>
      <c r="B2770" s="2" t="str">
        <f>IFERROR(__xludf.DUMMYFUNCTION("""COMPUTED_VALUE"""),"Rockey Mayes")</f>
        <v>Rockey Mayes</v>
      </c>
      <c r="C2770" s="2" t="str">
        <f>IFERROR(__xludf.DUMMYFUNCTION("""COMPUTED_VALUE"""),"rmayesld@symantec.com")</f>
        <v>rmayesld@symantec.com</v>
      </c>
      <c r="D2770" s="4">
        <f>IFERROR(__xludf.DUMMYFUNCTION("""COMPUTED_VALUE"""),64.0)</f>
        <v>64</v>
      </c>
      <c r="E2770" s="4">
        <f>IFERROR(__xludf.DUMMYFUNCTION("""COMPUTED_VALUE"""),19.0)</f>
        <v>19</v>
      </c>
      <c r="F2770" s="4">
        <f>IFERROR(__xludf.DUMMYFUNCTION("""COMPUTED_VALUE"""),10.0)</f>
        <v>10</v>
      </c>
      <c r="G2770" s="4">
        <f>IFERROR(__xludf.DUMMYFUNCTION("""COMPUTED_VALUE"""),189.0)</f>
        <v>189</v>
      </c>
      <c r="H2770" s="5">
        <f>IFERROR(__xludf.DUMMYFUNCTION("""COMPUTED_VALUE"""),2606.74)</f>
        <v>2606.74</v>
      </c>
      <c r="I2770" s="5">
        <f>IFERROR(__xludf.DUMMYFUNCTION("""COMPUTED_VALUE"""),1534.44)</f>
        <v>1534.44</v>
      </c>
      <c r="J2770" s="5">
        <f>IFERROR(__xludf.DUMMYFUNCTION("""COMPUTED_VALUE"""),1971.02)</f>
        <v>1971.02</v>
      </c>
      <c r="K2770" s="5">
        <f>IFERROR(__xludf.DUMMYFUNCTION("""COMPUTED_VALUE"""),4336.0)</f>
        <v>4336</v>
      </c>
      <c r="L2770" s="4">
        <f>IFERROR(__xludf.DUMMYFUNCTION("""COMPUTED_VALUE"""),10.0)</f>
        <v>10</v>
      </c>
      <c r="M2770" s="4">
        <f>IFERROR(__xludf.DUMMYFUNCTION("""COMPUTED_VALUE"""),14.0)</f>
        <v>14</v>
      </c>
      <c r="N2770" s="2" t="b">
        <f>IFERROR(__xludf.DUMMYFUNCTION("""COMPUTED_VALUE"""),TRUE)</f>
        <v>1</v>
      </c>
    </row>
    <row r="2771">
      <c r="A2771" s="2">
        <f>IFERROR(__xludf.DUMMYFUNCTION("""COMPUTED_VALUE"""),2770.0)</f>
        <v>2770</v>
      </c>
      <c r="B2771" s="2" t="str">
        <f>IFERROR(__xludf.DUMMYFUNCTION("""COMPUTED_VALUE"""),"Debbie Brussels")</f>
        <v>Debbie Brussels</v>
      </c>
      <c r="C2771" s="2"/>
      <c r="D2771" s="4">
        <f>IFERROR(__xludf.DUMMYFUNCTION("""COMPUTED_VALUE"""),148.0)</f>
        <v>148</v>
      </c>
      <c r="E2771" s="4">
        <f>IFERROR(__xludf.DUMMYFUNCTION("""COMPUTED_VALUE"""),103.0)</f>
        <v>103</v>
      </c>
      <c r="F2771" s="4">
        <f>IFERROR(__xludf.DUMMYFUNCTION("""COMPUTED_VALUE"""),1.0)</f>
        <v>1</v>
      </c>
      <c r="G2771" s="4">
        <f>IFERROR(__xludf.DUMMYFUNCTION("""COMPUTED_VALUE"""),635.0)</f>
        <v>635</v>
      </c>
      <c r="H2771" s="5">
        <f>IFERROR(__xludf.DUMMYFUNCTION("""COMPUTED_VALUE"""),8256.78)</f>
        <v>8256.78</v>
      </c>
      <c r="I2771" s="5">
        <f>IFERROR(__xludf.DUMMYFUNCTION("""COMPUTED_VALUE"""),8617.54)</f>
        <v>8617.54</v>
      </c>
      <c r="J2771" s="5">
        <f>IFERROR(__xludf.DUMMYFUNCTION("""COMPUTED_VALUE"""),1458.34)</f>
        <v>1458.34</v>
      </c>
      <c r="K2771" s="5">
        <f>IFERROR(__xludf.DUMMYFUNCTION("""COMPUTED_VALUE"""),9577.26)</f>
        <v>9577.26</v>
      </c>
      <c r="L2771" s="4">
        <f>IFERROR(__xludf.DUMMYFUNCTION("""COMPUTED_VALUE"""),18.0)</f>
        <v>18</v>
      </c>
      <c r="M2771" s="4">
        <f>IFERROR(__xludf.DUMMYFUNCTION("""COMPUTED_VALUE"""),25.0)</f>
        <v>25</v>
      </c>
      <c r="N2771" s="2" t="b">
        <f>IFERROR(__xludf.DUMMYFUNCTION("""COMPUTED_VALUE"""),FALSE)</f>
        <v>0</v>
      </c>
    </row>
    <row r="2772">
      <c r="A2772" s="2">
        <f>IFERROR(__xludf.DUMMYFUNCTION("""COMPUTED_VALUE"""),2771.0)</f>
        <v>2771</v>
      </c>
      <c r="B2772" s="2" t="str">
        <f>IFERROR(__xludf.DUMMYFUNCTION("""COMPUTED_VALUE"""),"Chucho Spendley")</f>
        <v>Chucho Spendley</v>
      </c>
      <c r="C2772" s="2"/>
      <c r="D2772" s="4">
        <f>IFERROR(__xludf.DUMMYFUNCTION("""COMPUTED_VALUE"""),19.0)</f>
        <v>19</v>
      </c>
      <c r="E2772" s="4">
        <f>IFERROR(__xludf.DUMMYFUNCTION("""COMPUTED_VALUE"""),55.0)</f>
        <v>55</v>
      </c>
      <c r="F2772" s="4">
        <f>IFERROR(__xludf.DUMMYFUNCTION("""COMPUTED_VALUE"""),1.0)</f>
        <v>1</v>
      </c>
      <c r="G2772" s="4">
        <f>IFERROR(__xludf.DUMMYFUNCTION("""COMPUTED_VALUE"""),615.0)</f>
        <v>615</v>
      </c>
      <c r="H2772" s="5">
        <f>IFERROR(__xludf.DUMMYFUNCTION("""COMPUTED_VALUE"""),8723.63)</f>
        <v>8723.63</v>
      </c>
      <c r="I2772" s="5">
        <f>IFERROR(__xludf.DUMMYFUNCTION("""COMPUTED_VALUE"""),466.95)</f>
        <v>466.95</v>
      </c>
      <c r="J2772" s="5">
        <f>IFERROR(__xludf.DUMMYFUNCTION("""COMPUTED_VALUE"""),5901.43)</f>
        <v>5901.43</v>
      </c>
      <c r="K2772" s="5">
        <f>IFERROR(__xludf.DUMMYFUNCTION("""COMPUTED_VALUE"""),5324.45)</f>
        <v>5324.45</v>
      </c>
      <c r="L2772" s="4">
        <f>IFERROR(__xludf.DUMMYFUNCTION("""COMPUTED_VALUE"""),9.0)</f>
        <v>9</v>
      </c>
      <c r="M2772" s="4">
        <f>IFERROR(__xludf.DUMMYFUNCTION("""COMPUTED_VALUE"""),44.0)</f>
        <v>44</v>
      </c>
      <c r="N2772" s="2" t="b">
        <f>IFERROR(__xludf.DUMMYFUNCTION("""COMPUTED_VALUE"""),TRUE)</f>
        <v>1</v>
      </c>
    </row>
    <row r="2773">
      <c r="A2773" s="2">
        <f>IFERROR(__xludf.DUMMYFUNCTION("""COMPUTED_VALUE"""),2772.0)</f>
        <v>2772</v>
      </c>
      <c r="B2773" s="2" t="str">
        <f>IFERROR(__xludf.DUMMYFUNCTION("""COMPUTED_VALUE"""),"Rodrique Murison")</f>
        <v>Rodrique Murison</v>
      </c>
      <c r="C2773" s="2"/>
      <c r="D2773" s="4">
        <f>IFERROR(__xludf.DUMMYFUNCTION("""COMPUTED_VALUE"""),42.0)</f>
        <v>42</v>
      </c>
      <c r="E2773" s="4">
        <f>IFERROR(__xludf.DUMMYFUNCTION("""COMPUTED_VALUE"""),106.0)</f>
        <v>106</v>
      </c>
      <c r="F2773" s="4">
        <f>IFERROR(__xludf.DUMMYFUNCTION("""COMPUTED_VALUE"""),11.0)</f>
        <v>11</v>
      </c>
      <c r="G2773" s="4">
        <f>IFERROR(__xludf.DUMMYFUNCTION("""COMPUTED_VALUE"""),1371.0)</f>
        <v>1371</v>
      </c>
      <c r="H2773" s="5">
        <f>IFERROR(__xludf.DUMMYFUNCTION("""COMPUTED_VALUE"""),3471.3)</f>
        <v>3471.3</v>
      </c>
      <c r="I2773" s="5">
        <f>IFERROR(__xludf.DUMMYFUNCTION("""COMPUTED_VALUE"""),8657.16)</f>
        <v>8657.16</v>
      </c>
      <c r="J2773" s="5">
        <f>IFERROR(__xludf.DUMMYFUNCTION("""COMPUTED_VALUE"""),1897.09)</f>
        <v>1897.09</v>
      </c>
      <c r="K2773" s="5">
        <f>IFERROR(__xludf.DUMMYFUNCTION("""COMPUTED_VALUE"""),5798.23)</f>
        <v>5798.23</v>
      </c>
      <c r="L2773" s="4">
        <f>IFERROR(__xludf.DUMMYFUNCTION("""COMPUTED_VALUE"""),16.0)</f>
        <v>16</v>
      </c>
      <c r="M2773" s="4">
        <f>IFERROR(__xludf.DUMMYFUNCTION("""COMPUTED_VALUE"""),57.0)</f>
        <v>57</v>
      </c>
      <c r="N2773" s="2" t="b">
        <f>IFERROR(__xludf.DUMMYFUNCTION("""COMPUTED_VALUE"""),FALSE)</f>
        <v>0</v>
      </c>
    </row>
    <row r="2774">
      <c r="A2774" s="2">
        <f>IFERROR(__xludf.DUMMYFUNCTION("""COMPUTED_VALUE"""),2773.0)</f>
        <v>2773</v>
      </c>
      <c r="B2774" s="2" t="str">
        <f>IFERROR(__xludf.DUMMYFUNCTION("""COMPUTED_VALUE"""),"Marlon Gawkes")</f>
        <v>Marlon Gawkes</v>
      </c>
      <c r="C2774" s="2"/>
      <c r="D2774" s="4">
        <f>IFERROR(__xludf.DUMMYFUNCTION("""COMPUTED_VALUE"""),41.0)</f>
        <v>41</v>
      </c>
      <c r="E2774" s="4">
        <f>IFERROR(__xludf.DUMMYFUNCTION("""COMPUTED_VALUE"""),80.0)</f>
        <v>80</v>
      </c>
      <c r="F2774" s="4">
        <f>IFERROR(__xludf.DUMMYFUNCTION("""COMPUTED_VALUE"""),4.0)</f>
        <v>4</v>
      </c>
      <c r="G2774" s="4">
        <f>IFERROR(__xludf.DUMMYFUNCTION("""COMPUTED_VALUE"""),592.0)</f>
        <v>592</v>
      </c>
      <c r="H2774" s="5">
        <f>IFERROR(__xludf.DUMMYFUNCTION("""COMPUTED_VALUE"""),2778.36)</f>
        <v>2778.36</v>
      </c>
      <c r="I2774" s="5">
        <f>IFERROR(__xludf.DUMMYFUNCTION("""COMPUTED_VALUE"""),4519.99)</f>
        <v>4519.99</v>
      </c>
      <c r="J2774" s="5">
        <f>IFERROR(__xludf.DUMMYFUNCTION("""COMPUTED_VALUE"""),964.45)</f>
        <v>964.45</v>
      </c>
      <c r="K2774" s="5">
        <f>IFERROR(__xludf.DUMMYFUNCTION("""COMPUTED_VALUE"""),2170.73)</f>
        <v>2170.73</v>
      </c>
      <c r="L2774" s="4">
        <f>IFERROR(__xludf.DUMMYFUNCTION("""COMPUTED_VALUE"""),18.0)</f>
        <v>18</v>
      </c>
      <c r="M2774" s="4">
        <f>IFERROR(__xludf.DUMMYFUNCTION("""COMPUTED_VALUE"""),94.0)</f>
        <v>94</v>
      </c>
      <c r="N2774" s="2" t="b">
        <f>IFERROR(__xludf.DUMMYFUNCTION("""COMPUTED_VALUE"""),TRUE)</f>
        <v>1</v>
      </c>
    </row>
    <row r="2775">
      <c r="A2775" s="2">
        <f>IFERROR(__xludf.DUMMYFUNCTION("""COMPUTED_VALUE"""),2774.0)</f>
        <v>2774</v>
      </c>
      <c r="B2775" s="2" t="str">
        <f>IFERROR(__xludf.DUMMYFUNCTION("""COMPUTED_VALUE"""),"Roseanne Bernet")</f>
        <v>Roseanne Bernet</v>
      </c>
      <c r="C2775" s="2"/>
      <c r="D2775" s="4">
        <f>IFERROR(__xludf.DUMMYFUNCTION("""COMPUTED_VALUE"""),75.0)</f>
        <v>75</v>
      </c>
      <c r="E2775" s="4">
        <f>IFERROR(__xludf.DUMMYFUNCTION("""COMPUTED_VALUE"""),87.0)</f>
        <v>87</v>
      </c>
      <c r="F2775" s="4">
        <f>IFERROR(__xludf.DUMMYFUNCTION("""COMPUTED_VALUE"""),5.0)</f>
        <v>5</v>
      </c>
      <c r="G2775" s="4">
        <f>IFERROR(__xludf.DUMMYFUNCTION("""COMPUTED_VALUE"""),326.0)</f>
        <v>326</v>
      </c>
      <c r="H2775" s="5">
        <f>IFERROR(__xludf.DUMMYFUNCTION("""COMPUTED_VALUE"""),3246.22)</f>
        <v>3246.22</v>
      </c>
      <c r="I2775" s="5">
        <f>IFERROR(__xludf.DUMMYFUNCTION("""COMPUTED_VALUE"""),7932.49)</f>
        <v>7932.49</v>
      </c>
      <c r="J2775" s="5">
        <f>IFERROR(__xludf.DUMMYFUNCTION("""COMPUTED_VALUE"""),9742.74)</f>
        <v>9742.74</v>
      </c>
      <c r="K2775" s="5">
        <f>IFERROR(__xludf.DUMMYFUNCTION("""COMPUTED_VALUE"""),9207.46)</f>
        <v>9207.46</v>
      </c>
      <c r="L2775" s="4">
        <f>IFERROR(__xludf.DUMMYFUNCTION("""COMPUTED_VALUE"""),12.0)</f>
        <v>12</v>
      </c>
      <c r="M2775" s="4">
        <f>IFERROR(__xludf.DUMMYFUNCTION("""COMPUTED_VALUE"""),58.0)</f>
        <v>58</v>
      </c>
      <c r="N2775" s="2" t="b">
        <f>IFERROR(__xludf.DUMMYFUNCTION("""COMPUTED_VALUE"""),TRUE)</f>
        <v>1</v>
      </c>
    </row>
    <row r="2776">
      <c r="A2776" s="2">
        <f>IFERROR(__xludf.DUMMYFUNCTION("""COMPUTED_VALUE"""),2775.0)</f>
        <v>2775</v>
      </c>
      <c r="B2776" s="2" t="str">
        <f>IFERROR(__xludf.DUMMYFUNCTION("""COMPUTED_VALUE"""),"Dorita Dufour")</f>
        <v>Dorita Dufour</v>
      </c>
      <c r="C2776" s="2" t="str">
        <f>IFERROR(__xludf.DUMMYFUNCTION("""COMPUTED_VALUE"""),"ddufourlj@bloomberg.com")</f>
        <v>ddufourlj@bloomberg.com</v>
      </c>
      <c r="D2776" s="4">
        <f>IFERROR(__xludf.DUMMYFUNCTION("""COMPUTED_VALUE"""),156.0)</f>
        <v>156</v>
      </c>
      <c r="E2776" s="4">
        <f>IFERROR(__xludf.DUMMYFUNCTION("""COMPUTED_VALUE"""),94.0)</f>
        <v>94</v>
      </c>
      <c r="F2776" s="4">
        <f>IFERROR(__xludf.DUMMYFUNCTION("""COMPUTED_VALUE"""),10.0)</f>
        <v>10</v>
      </c>
      <c r="G2776" s="4">
        <f>IFERROR(__xludf.DUMMYFUNCTION("""COMPUTED_VALUE"""),77.0)</f>
        <v>77</v>
      </c>
      <c r="H2776" s="5">
        <f>IFERROR(__xludf.DUMMYFUNCTION("""COMPUTED_VALUE"""),3774.12)</f>
        <v>3774.12</v>
      </c>
      <c r="I2776" s="5">
        <f>IFERROR(__xludf.DUMMYFUNCTION("""COMPUTED_VALUE"""),8899.05)</f>
        <v>8899.05</v>
      </c>
      <c r="J2776" s="5">
        <f>IFERROR(__xludf.DUMMYFUNCTION("""COMPUTED_VALUE"""),7332.92)</f>
        <v>7332.92</v>
      </c>
      <c r="K2776" s="5">
        <f>IFERROR(__xludf.DUMMYFUNCTION("""COMPUTED_VALUE"""),7335.54)</f>
        <v>7335.54</v>
      </c>
      <c r="L2776" s="4">
        <f>IFERROR(__xludf.DUMMYFUNCTION("""COMPUTED_VALUE"""),16.0)</f>
        <v>16</v>
      </c>
      <c r="M2776" s="4">
        <f>IFERROR(__xludf.DUMMYFUNCTION("""COMPUTED_VALUE"""),78.0)</f>
        <v>78</v>
      </c>
      <c r="N2776" s="2" t="b">
        <f>IFERROR(__xludf.DUMMYFUNCTION("""COMPUTED_VALUE"""),TRUE)</f>
        <v>1</v>
      </c>
    </row>
    <row r="2777">
      <c r="A2777" s="2">
        <f>IFERROR(__xludf.DUMMYFUNCTION("""COMPUTED_VALUE"""),2776.0)</f>
        <v>2776</v>
      </c>
      <c r="B2777" s="2" t="str">
        <f>IFERROR(__xludf.DUMMYFUNCTION("""COMPUTED_VALUE"""),"Ethyl Dick")</f>
        <v>Ethyl Dick</v>
      </c>
      <c r="C2777" s="2"/>
      <c r="D2777" s="4">
        <f>IFERROR(__xludf.DUMMYFUNCTION("""COMPUTED_VALUE"""),89.0)</f>
        <v>89</v>
      </c>
      <c r="E2777" s="4">
        <f>IFERROR(__xludf.DUMMYFUNCTION("""COMPUTED_VALUE"""),24.0)</f>
        <v>24</v>
      </c>
      <c r="F2777" s="4">
        <f>IFERROR(__xludf.DUMMYFUNCTION("""COMPUTED_VALUE"""),4.0)</f>
        <v>4</v>
      </c>
      <c r="G2777" s="4">
        <f>IFERROR(__xludf.DUMMYFUNCTION("""COMPUTED_VALUE"""),20.0)</f>
        <v>20</v>
      </c>
      <c r="H2777" s="5">
        <f>IFERROR(__xludf.DUMMYFUNCTION("""COMPUTED_VALUE"""),2231.82)</f>
        <v>2231.82</v>
      </c>
      <c r="I2777" s="5">
        <f>IFERROR(__xludf.DUMMYFUNCTION("""COMPUTED_VALUE"""),2223.31)</f>
        <v>2223.31</v>
      </c>
      <c r="J2777" s="5">
        <f>IFERROR(__xludf.DUMMYFUNCTION("""COMPUTED_VALUE"""),2282.34)</f>
        <v>2282.34</v>
      </c>
      <c r="K2777" s="5">
        <f>IFERROR(__xludf.DUMMYFUNCTION("""COMPUTED_VALUE"""),6144.99)</f>
        <v>6144.99</v>
      </c>
      <c r="L2777" s="4">
        <f>IFERROR(__xludf.DUMMYFUNCTION("""COMPUTED_VALUE"""),11.0)</f>
        <v>11</v>
      </c>
      <c r="M2777" s="4">
        <f>IFERROR(__xludf.DUMMYFUNCTION("""COMPUTED_VALUE"""),67.0)</f>
        <v>67</v>
      </c>
      <c r="N2777" s="2" t="b">
        <f>IFERROR(__xludf.DUMMYFUNCTION("""COMPUTED_VALUE"""),FALSE)</f>
        <v>0</v>
      </c>
    </row>
    <row r="2778">
      <c r="A2778" s="2">
        <f>IFERROR(__xludf.DUMMYFUNCTION("""COMPUTED_VALUE"""),2777.0)</f>
        <v>2777</v>
      </c>
      <c r="B2778" s="2" t="str">
        <f>IFERROR(__xludf.DUMMYFUNCTION("""COMPUTED_VALUE"""),"Teresina Madle")</f>
        <v>Teresina Madle</v>
      </c>
      <c r="C2778" s="2"/>
      <c r="D2778" s="4">
        <f>IFERROR(__xludf.DUMMYFUNCTION("""COMPUTED_VALUE"""),12.0)</f>
        <v>12</v>
      </c>
      <c r="E2778" s="4">
        <f>IFERROR(__xludf.DUMMYFUNCTION("""COMPUTED_VALUE"""),13.0)</f>
        <v>13</v>
      </c>
      <c r="F2778" s="4">
        <f>IFERROR(__xludf.DUMMYFUNCTION("""COMPUTED_VALUE"""),3.0)</f>
        <v>3</v>
      </c>
      <c r="G2778" s="4">
        <f>IFERROR(__xludf.DUMMYFUNCTION("""COMPUTED_VALUE"""),448.0)</f>
        <v>448</v>
      </c>
      <c r="H2778" s="5">
        <f>IFERROR(__xludf.DUMMYFUNCTION("""COMPUTED_VALUE"""),8893.79)</f>
        <v>8893.79</v>
      </c>
      <c r="I2778" s="5">
        <f>IFERROR(__xludf.DUMMYFUNCTION("""COMPUTED_VALUE"""),3303.43)</f>
        <v>3303.43</v>
      </c>
      <c r="J2778" s="5">
        <f>IFERROR(__xludf.DUMMYFUNCTION("""COMPUTED_VALUE"""),9020.28)</f>
        <v>9020.28</v>
      </c>
      <c r="K2778" s="5">
        <f>IFERROR(__xludf.DUMMYFUNCTION("""COMPUTED_VALUE"""),9577.98)</f>
        <v>9577.98</v>
      </c>
      <c r="L2778" s="4">
        <f>IFERROR(__xludf.DUMMYFUNCTION("""COMPUTED_VALUE"""),14.0)</f>
        <v>14</v>
      </c>
      <c r="M2778" s="4">
        <f>IFERROR(__xludf.DUMMYFUNCTION("""COMPUTED_VALUE"""),66.0)</f>
        <v>66</v>
      </c>
      <c r="N2778" s="2" t="b">
        <f>IFERROR(__xludf.DUMMYFUNCTION("""COMPUTED_VALUE"""),TRUE)</f>
        <v>1</v>
      </c>
    </row>
    <row r="2779">
      <c r="A2779" s="2">
        <f>IFERROR(__xludf.DUMMYFUNCTION("""COMPUTED_VALUE"""),2778.0)</f>
        <v>2778</v>
      </c>
      <c r="B2779" s="2" t="str">
        <f>IFERROR(__xludf.DUMMYFUNCTION("""COMPUTED_VALUE"""),"Trumann Osmond")</f>
        <v>Trumann Osmond</v>
      </c>
      <c r="C2779" s="2"/>
      <c r="D2779" s="4">
        <f>IFERROR(__xludf.DUMMYFUNCTION("""COMPUTED_VALUE"""),117.0)</f>
        <v>117</v>
      </c>
      <c r="E2779" s="4">
        <f>IFERROR(__xludf.DUMMYFUNCTION("""COMPUTED_VALUE"""),39.0)</f>
        <v>39</v>
      </c>
      <c r="F2779" s="4">
        <f>IFERROR(__xludf.DUMMYFUNCTION("""COMPUTED_VALUE"""),8.0)</f>
        <v>8</v>
      </c>
      <c r="G2779" s="4">
        <f>IFERROR(__xludf.DUMMYFUNCTION("""COMPUTED_VALUE"""),1266.0)</f>
        <v>1266</v>
      </c>
      <c r="H2779" s="5">
        <f>IFERROR(__xludf.DUMMYFUNCTION("""COMPUTED_VALUE"""),1929.84)</f>
        <v>1929.84</v>
      </c>
      <c r="I2779" s="5">
        <f>IFERROR(__xludf.DUMMYFUNCTION("""COMPUTED_VALUE"""),56.6)</f>
        <v>56.6</v>
      </c>
      <c r="J2779" s="5">
        <f>IFERROR(__xludf.DUMMYFUNCTION("""COMPUTED_VALUE"""),8203.63)</f>
        <v>8203.63</v>
      </c>
      <c r="K2779" s="5">
        <f>IFERROR(__xludf.DUMMYFUNCTION("""COMPUTED_VALUE"""),1903.8)</f>
        <v>1903.8</v>
      </c>
      <c r="L2779" s="4">
        <f>IFERROR(__xludf.DUMMYFUNCTION("""COMPUTED_VALUE"""),4.0)</f>
        <v>4</v>
      </c>
      <c r="M2779" s="4">
        <f>IFERROR(__xludf.DUMMYFUNCTION("""COMPUTED_VALUE"""),41.0)</f>
        <v>41</v>
      </c>
      <c r="N2779" s="2" t="b">
        <f>IFERROR(__xludf.DUMMYFUNCTION("""COMPUTED_VALUE"""),TRUE)</f>
        <v>1</v>
      </c>
    </row>
    <row r="2780">
      <c r="A2780" s="2">
        <f>IFERROR(__xludf.DUMMYFUNCTION("""COMPUTED_VALUE"""),2779.0)</f>
        <v>2779</v>
      </c>
      <c r="B2780" s="2" t="str">
        <f>IFERROR(__xludf.DUMMYFUNCTION("""COMPUTED_VALUE"""),"Kelley Tremethack")</f>
        <v>Kelley Tremethack</v>
      </c>
      <c r="C2780" s="2" t="str">
        <f>IFERROR(__xludf.DUMMYFUNCTION("""COMPUTED_VALUE"""),"ktremethackln@over-blog.com")</f>
        <v>ktremethackln@over-blog.com</v>
      </c>
      <c r="D2780" s="4">
        <f>IFERROR(__xludf.DUMMYFUNCTION("""COMPUTED_VALUE"""),36.0)</f>
        <v>36</v>
      </c>
      <c r="E2780" s="4">
        <f>IFERROR(__xludf.DUMMYFUNCTION("""COMPUTED_VALUE"""),97.0)</f>
        <v>97</v>
      </c>
      <c r="F2780" s="4">
        <f>IFERROR(__xludf.DUMMYFUNCTION("""COMPUTED_VALUE"""),13.0)</f>
        <v>13</v>
      </c>
      <c r="G2780" s="4">
        <f>IFERROR(__xludf.DUMMYFUNCTION("""COMPUTED_VALUE"""),1053.0)</f>
        <v>1053</v>
      </c>
      <c r="H2780" s="5">
        <f>IFERROR(__xludf.DUMMYFUNCTION("""COMPUTED_VALUE"""),5427.94)</f>
        <v>5427.94</v>
      </c>
      <c r="I2780" s="5">
        <f>IFERROR(__xludf.DUMMYFUNCTION("""COMPUTED_VALUE"""),821.84)</f>
        <v>821.84</v>
      </c>
      <c r="J2780" s="5">
        <f>IFERROR(__xludf.DUMMYFUNCTION("""COMPUTED_VALUE"""),3996.22)</f>
        <v>3996.22</v>
      </c>
      <c r="K2780" s="5">
        <f>IFERROR(__xludf.DUMMYFUNCTION("""COMPUTED_VALUE"""),7039.39)</f>
        <v>7039.39</v>
      </c>
      <c r="L2780" s="4">
        <f>IFERROR(__xludf.DUMMYFUNCTION("""COMPUTED_VALUE"""),8.0)</f>
        <v>8</v>
      </c>
      <c r="M2780" s="4">
        <f>IFERROR(__xludf.DUMMYFUNCTION("""COMPUTED_VALUE"""),6.0)</f>
        <v>6</v>
      </c>
      <c r="N2780" s="2" t="b">
        <f>IFERROR(__xludf.DUMMYFUNCTION("""COMPUTED_VALUE"""),FALSE)</f>
        <v>0</v>
      </c>
    </row>
    <row r="2781">
      <c r="A2781" s="2">
        <f>IFERROR(__xludf.DUMMYFUNCTION("""COMPUTED_VALUE"""),2780.0)</f>
        <v>2780</v>
      </c>
      <c r="B2781" s="2" t="str">
        <f>IFERROR(__xludf.DUMMYFUNCTION("""COMPUTED_VALUE"""),"Vivyan Chyuerton")</f>
        <v>Vivyan Chyuerton</v>
      </c>
      <c r="C2781" s="2"/>
      <c r="D2781" s="4">
        <f>IFERROR(__xludf.DUMMYFUNCTION("""COMPUTED_VALUE"""),3.0)</f>
        <v>3</v>
      </c>
      <c r="E2781" s="4">
        <f>IFERROR(__xludf.DUMMYFUNCTION("""COMPUTED_VALUE"""),55.0)</f>
        <v>55</v>
      </c>
      <c r="F2781" s="4">
        <f>IFERROR(__xludf.DUMMYFUNCTION("""COMPUTED_VALUE"""),1.0)</f>
        <v>1</v>
      </c>
      <c r="G2781" s="4">
        <f>IFERROR(__xludf.DUMMYFUNCTION("""COMPUTED_VALUE"""),457.0)</f>
        <v>457</v>
      </c>
      <c r="H2781" s="5">
        <f>IFERROR(__xludf.DUMMYFUNCTION("""COMPUTED_VALUE"""),5015.49)</f>
        <v>5015.49</v>
      </c>
      <c r="I2781" s="5">
        <f>IFERROR(__xludf.DUMMYFUNCTION("""COMPUTED_VALUE"""),8976.86)</f>
        <v>8976.86</v>
      </c>
      <c r="J2781" s="5">
        <f>IFERROR(__xludf.DUMMYFUNCTION("""COMPUTED_VALUE"""),4090.64)</f>
        <v>4090.64</v>
      </c>
      <c r="K2781" s="5">
        <f>IFERROR(__xludf.DUMMYFUNCTION("""COMPUTED_VALUE"""),3938.25)</f>
        <v>3938.25</v>
      </c>
      <c r="L2781" s="4">
        <f>IFERROR(__xludf.DUMMYFUNCTION("""COMPUTED_VALUE"""),12.0)</f>
        <v>12</v>
      </c>
      <c r="M2781" s="4">
        <f>IFERROR(__xludf.DUMMYFUNCTION("""COMPUTED_VALUE"""),85.0)</f>
        <v>85</v>
      </c>
      <c r="N2781" s="2" t="b">
        <f>IFERROR(__xludf.DUMMYFUNCTION("""COMPUTED_VALUE"""),FALSE)</f>
        <v>0</v>
      </c>
    </row>
    <row r="2782">
      <c r="A2782" s="2">
        <f>IFERROR(__xludf.DUMMYFUNCTION("""COMPUTED_VALUE"""),2781.0)</f>
        <v>2781</v>
      </c>
      <c r="B2782" s="2" t="str">
        <f>IFERROR(__xludf.DUMMYFUNCTION("""COMPUTED_VALUE"""),"Rodrigo Wilcher")</f>
        <v>Rodrigo Wilcher</v>
      </c>
      <c r="C2782" s="2"/>
      <c r="D2782" s="4">
        <f>IFERROR(__xludf.DUMMYFUNCTION("""COMPUTED_VALUE"""),31.0)</f>
        <v>31</v>
      </c>
      <c r="E2782" s="4">
        <f>IFERROR(__xludf.DUMMYFUNCTION("""COMPUTED_VALUE"""),17.0)</f>
        <v>17</v>
      </c>
      <c r="F2782" s="4">
        <f>IFERROR(__xludf.DUMMYFUNCTION("""COMPUTED_VALUE"""),4.0)</f>
        <v>4</v>
      </c>
      <c r="G2782" s="4">
        <f>IFERROR(__xludf.DUMMYFUNCTION("""COMPUTED_VALUE"""),1498.0)</f>
        <v>1498</v>
      </c>
      <c r="H2782" s="5">
        <f>IFERROR(__xludf.DUMMYFUNCTION("""COMPUTED_VALUE"""),8364.9)</f>
        <v>8364.9</v>
      </c>
      <c r="I2782" s="5">
        <f>IFERROR(__xludf.DUMMYFUNCTION("""COMPUTED_VALUE"""),2320.69)</f>
        <v>2320.69</v>
      </c>
      <c r="J2782" s="5">
        <f>IFERROR(__xludf.DUMMYFUNCTION("""COMPUTED_VALUE"""),8000.41)</f>
        <v>8000.41</v>
      </c>
      <c r="K2782" s="5">
        <f>IFERROR(__xludf.DUMMYFUNCTION("""COMPUTED_VALUE"""),7656.37)</f>
        <v>7656.37</v>
      </c>
      <c r="L2782" s="4">
        <f>IFERROR(__xludf.DUMMYFUNCTION("""COMPUTED_VALUE"""),1.0)</f>
        <v>1</v>
      </c>
      <c r="M2782" s="4">
        <f>IFERROR(__xludf.DUMMYFUNCTION("""COMPUTED_VALUE"""),88.0)</f>
        <v>88</v>
      </c>
      <c r="N2782" s="2" t="b">
        <f>IFERROR(__xludf.DUMMYFUNCTION("""COMPUTED_VALUE"""),FALSE)</f>
        <v>0</v>
      </c>
    </row>
    <row r="2783">
      <c r="A2783" s="2">
        <f>IFERROR(__xludf.DUMMYFUNCTION("""COMPUTED_VALUE"""),2782.0)</f>
        <v>2782</v>
      </c>
      <c r="B2783" s="2" t="str">
        <f>IFERROR(__xludf.DUMMYFUNCTION("""COMPUTED_VALUE"""),"Patrice Delagnes")</f>
        <v>Patrice Delagnes</v>
      </c>
      <c r="C2783" s="2"/>
      <c r="D2783" s="4">
        <f>IFERROR(__xludf.DUMMYFUNCTION("""COMPUTED_VALUE"""),148.0)</f>
        <v>148</v>
      </c>
      <c r="E2783" s="4">
        <f>IFERROR(__xludf.DUMMYFUNCTION("""COMPUTED_VALUE"""),38.0)</f>
        <v>38</v>
      </c>
      <c r="F2783" s="4">
        <f>IFERROR(__xludf.DUMMYFUNCTION("""COMPUTED_VALUE"""),9.0)</f>
        <v>9</v>
      </c>
      <c r="G2783" s="4">
        <f>IFERROR(__xludf.DUMMYFUNCTION("""COMPUTED_VALUE"""),439.0)</f>
        <v>439</v>
      </c>
      <c r="H2783" s="5">
        <f>IFERROR(__xludf.DUMMYFUNCTION("""COMPUTED_VALUE"""),1483.52)</f>
        <v>1483.52</v>
      </c>
      <c r="I2783" s="5">
        <f>IFERROR(__xludf.DUMMYFUNCTION("""COMPUTED_VALUE"""),3766.29)</f>
        <v>3766.29</v>
      </c>
      <c r="J2783" s="5">
        <f>IFERROR(__xludf.DUMMYFUNCTION("""COMPUTED_VALUE"""),9257.85)</f>
        <v>9257.85</v>
      </c>
      <c r="K2783" s="5">
        <f>IFERROR(__xludf.DUMMYFUNCTION("""COMPUTED_VALUE"""),9199.54)</f>
        <v>9199.54</v>
      </c>
      <c r="L2783" s="4">
        <f>IFERROR(__xludf.DUMMYFUNCTION("""COMPUTED_VALUE"""),10.0)</f>
        <v>10</v>
      </c>
      <c r="M2783" s="4">
        <f>IFERROR(__xludf.DUMMYFUNCTION("""COMPUTED_VALUE"""),14.0)</f>
        <v>14</v>
      </c>
      <c r="N2783" s="2" t="b">
        <f>IFERROR(__xludf.DUMMYFUNCTION("""COMPUTED_VALUE"""),TRUE)</f>
        <v>1</v>
      </c>
    </row>
    <row r="2784">
      <c r="A2784" s="2">
        <f>IFERROR(__xludf.DUMMYFUNCTION("""COMPUTED_VALUE"""),2783.0)</f>
        <v>2783</v>
      </c>
      <c r="B2784" s="2" t="str">
        <f>IFERROR(__xludf.DUMMYFUNCTION("""COMPUTED_VALUE"""),"Tamra Idle")</f>
        <v>Tamra Idle</v>
      </c>
      <c r="C2784" s="2" t="str">
        <f>IFERROR(__xludf.DUMMYFUNCTION("""COMPUTED_VALUE"""),"tidlelr@nytimes.com")</f>
        <v>tidlelr@nytimes.com</v>
      </c>
      <c r="D2784" s="4">
        <f>IFERROR(__xludf.DUMMYFUNCTION("""COMPUTED_VALUE"""),68.0)</f>
        <v>68</v>
      </c>
      <c r="E2784" s="4">
        <f>IFERROR(__xludf.DUMMYFUNCTION("""COMPUTED_VALUE"""),46.0)</f>
        <v>46</v>
      </c>
      <c r="F2784" s="4">
        <f>IFERROR(__xludf.DUMMYFUNCTION("""COMPUTED_VALUE"""),5.0)</f>
        <v>5</v>
      </c>
      <c r="G2784" s="4">
        <f>IFERROR(__xludf.DUMMYFUNCTION("""COMPUTED_VALUE"""),1242.0)</f>
        <v>1242</v>
      </c>
      <c r="H2784" s="5">
        <f>IFERROR(__xludf.DUMMYFUNCTION("""COMPUTED_VALUE"""),9811.23)</f>
        <v>9811.23</v>
      </c>
      <c r="I2784" s="5">
        <f>IFERROR(__xludf.DUMMYFUNCTION("""COMPUTED_VALUE"""),4501.57)</f>
        <v>4501.57</v>
      </c>
      <c r="J2784" s="5">
        <f>IFERROR(__xludf.DUMMYFUNCTION("""COMPUTED_VALUE"""),1127.79)</f>
        <v>1127.79</v>
      </c>
      <c r="K2784" s="5">
        <f>IFERROR(__xludf.DUMMYFUNCTION("""COMPUTED_VALUE"""),3774.49)</f>
        <v>3774.49</v>
      </c>
      <c r="L2784" s="4">
        <f>IFERROR(__xludf.DUMMYFUNCTION("""COMPUTED_VALUE"""),15.0)</f>
        <v>15</v>
      </c>
      <c r="M2784" s="4">
        <f>IFERROR(__xludf.DUMMYFUNCTION("""COMPUTED_VALUE"""),78.0)</f>
        <v>78</v>
      </c>
      <c r="N2784" s="2" t="b">
        <f>IFERROR(__xludf.DUMMYFUNCTION("""COMPUTED_VALUE"""),FALSE)</f>
        <v>0</v>
      </c>
    </row>
    <row r="2785">
      <c r="A2785" s="2">
        <f>IFERROR(__xludf.DUMMYFUNCTION("""COMPUTED_VALUE"""),2784.0)</f>
        <v>2784</v>
      </c>
      <c r="B2785" s="2" t="str">
        <f>IFERROR(__xludf.DUMMYFUNCTION("""COMPUTED_VALUE"""),"Marijo Opfer")</f>
        <v>Marijo Opfer</v>
      </c>
      <c r="C2785" s="2"/>
      <c r="D2785" s="4">
        <f>IFERROR(__xludf.DUMMYFUNCTION("""COMPUTED_VALUE"""),158.0)</f>
        <v>158</v>
      </c>
      <c r="E2785" s="4">
        <f>IFERROR(__xludf.DUMMYFUNCTION("""COMPUTED_VALUE"""),31.0)</f>
        <v>31</v>
      </c>
      <c r="F2785" s="4">
        <f>IFERROR(__xludf.DUMMYFUNCTION("""COMPUTED_VALUE"""),4.0)</f>
        <v>4</v>
      </c>
      <c r="G2785" s="4">
        <f>IFERROR(__xludf.DUMMYFUNCTION("""COMPUTED_VALUE"""),1584.0)</f>
        <v>1584</v>
      </c>
      <c r="H2785" s="5">
        <f>IFERROR(__xludf.DUMMYFUNCTION("""COMPUTED_VALUE"""),66.31)</f>
        <v>66.31</v>
      </c>
      <c r="I2785" s="5">
        <f>IFERROR(__xludf.DUMMYFUNCTION("""COMPUTED_VALUE"""),511.25)</f>
        <v>511.25</v>
      </c>
      <c r="J2785" s="5">
        <f>IFERROR(__xludf.DUMMYFUNCTION("""COMPUTED_VALUE"""),7269.34)</f>
        <v>7269.34</v>
      </c>
      <c r="K2785" s="5">
        <f>IFERROR(__xludf.DUMMYFUNCTION("""COMPUTED_VALUE"""),7055.24)</f>
        <v>7055.24</v>
      </c>
      <c r="L2785" s="4">
        <f>IFERROR(__xludf.DUMMYFUNCTION("""COMPUTED_VALUE"""),7.0)</f>
        <v>7</v>
      </c>
      <c r="M2785" s="4">
        <f>IFERROR(__xludf.DUMMYFUNCTION("""COMPUTED_VALUE"""),88.0)</f>
        <v>88</v>
      </c>
      <c r="N2785" s="2" t="b">
        <f>IFERROR(__xludf.DUMMYFUNCTION("""COMPUTED_VALUE"""),TRUE)</f>
        <v>1</v>
      </c>
    </row>
    <row r="2786">
      <c r="A2786" s="2">
        <f>IFERROR(__xludf.DUMMYFUNCTION("""COMPUTED_VALUE"""),2785.0)</f>
        <v>2785</v>
      </c>
      <c r="B2786" s="2" t="str">
        <f>IFERROR(__xludf.DUMMYFUNCTION("""COMPUTED_VALUE"""),"Dorothy Trengrouse")</f>
        <v>Dorothy Trengrouse</v>
      </c>
      <c r="C2786" s="2"/>
      <c r="D2786" s="4">
        <f>IFERROR(__xludf.DUMMYFUNCTION("""COMPUTED_VALUE"""),73.0)</f>
        <v>73</v>
      </c>
      <c r="E2786" s="4">
        <f>IFERROR(__xludf.DUMMYFUNCTION("""COMPUTED_VALUE"""),58.0)</f>
        <v>58</v>
      </c>
      <c r="F2786" s="4">
        <f>IFERROR(__xludf.DUMMYFUNCTION("""COMPUTED_VALUE"""),10.0)</f>
        <v>10</v>
      </c>
      <c r="G2786" s="4">
        <f>IFERROR(__xludf.DUMMYFUNCTION("""COMPUTED_VALUE"""),1100.0)</f>
        <v>1100</v>
      </c>
      <c r="H2786" s="5">
        <f>IFERROR(__xludf.DUMMYFUNCTION("""COMPUTED_VALUE"""),896.78)</f>
        <v>896.78</v>
      </c>
      <c r="I2786" s="5">
        <f>IFERROR(__xludf.DUMMYFUNCTION("""COMPUTED_VALUE"""),2291.18)</f>
        <v>2291.18</v>
      </c>
      <c r="J2786" s="5">
        <f>IFERROR(__xludf.DUMMYFUNCTION("""COMPUTED_VALUE"""),1920.61)</f>
        <v>1920.61</v>
      </c>
      <c r="K2786" s="5">
        <f>IFERROR(__xludf.DUMMYFUNCTION("""COMPUTED_VALUE"""),1201.76)</f>
        <v>1201.76</v>
      </c>
      <c r="L2786" s="4">
        <f>IFERROR(__xludf.DUMMYFUNCTION("""COMPUTED_VALUE"""),6.0)</f>
        <v>6</v>
      </c>
      <c r="M2786" s="4">
        <f>IFERROR(__xludf.DUMMYFUNCTION("""COMPUTED_VALUE"""),92.0)</f>
        <v>92</v>
      </c>
      <c r="N2786" s="2" t="b">
        <f>IFERROR(__xludf.DUMMYFUNCTION("""COMPUTED_VALUE"""),FALSE)</f>
        <v>0</v>
      </c>
    </row>
    <row r="2787">
      <c r="A2787" s="2">
        <f>IFERROR(__xludf.DUMMYFUNCTION("""COMPUTED_VALUE"""),2786.0)</f>
        <v>2786</v>
      </c>
      <c r="B2787" s="2" t="str">
        <f>IFERROR(__xludf.DUMMYFUNCTION("""COMPUTED_VALUE"""),"Harwilll Earengey")</f>
        <v>Harwilll Earengey</v>
      </c>
      <c r="C2787" s="2"/>
      <c r="D2787" s="4">
        <f>IFERROR(__xludf.DUMMYFUNCTION("""COMPUTED_VALUE"""),112.0)</f>
        <v>112</v>
      </c>
      <c r="E2787" s="4">
        <f>IFERROR(__xludf.DUMMYFUNCTION("""COMPUTED_VALUE"""),6.0)</f>
        <v>6</v>
      </c>
      <c r="F2787" s="4">
        <f>IFERROR(__xludf.DUMMYFUNCTION("""COMPUTED_VALUE"""),2.0)</f>
        <v>2</v>
      </c>
      <c r="G2787" s="4">
        <f>IFERROR(__xludf.DUMMYFUNCTION("""COMPUTED_VALUE"""),623.0)</f>
        <v>623</v>
      </c>
      <c r="H2787" s="5">
        <f>IFERROR(__xludf.DUMMYFUNCTION("""COMPUTED_VALUE"""),9330.78)</f>
        <v>9330.78</v>
      </c>
      <c r="I2787" s="5">
        <f>IFERROR(__xludf.DUMMYFUNCTION("""COMPUTED_VALUE"""),545.67)</f>
        <v>545.67</v>
      </c>
      <c r="J2787" s="5">
        <f>IFERROR(__xludf.DUMMYFUNCTION("""COMPUTED_VALUE"""),6811.22)</f>
        <v>6811.22</v>
      </c>
      <c r="K2787" s="5">
        <f>IFERROR(__xludf.DUMMYFUNCTION("""COMPUTED_VALUE"""),6001.41)</f>
        <v>6001.41</v>
      </c>
      <c r="L2787" s="4">
        <f>IFERROR(__xludf.DUMMYFUNCTION("""COMPUTED_VALUE"""),2.0)</f>
        <v>2</v>
      </c>
      <c r="M2787" s="4">
        <f>IFERROR(__xludf.DUMMYFUNCTION("""COMPUTED_VALUE"""),10.0)</f>
        <v>10</v>
      </c>
      <c r="N2787" s="2" t="b">
        <f>IFERROR(__xludf.DUMMYFUNCTION("""COMPUTED_VALUE"""),TRUE)</f>
        <v>1</v>
      </c>
    </row>
    <row r="2788">
      <c r="A2788" s="2">
        <f>IFERROR(__xludf.DUMMYFUNCTION("""COMPUTED_VALUE"""),2787.0)</f>
        <v>2787</v>
      </c>
      <c r="B2788" s="2" t="str">
        <f>IFERROR(__xludf.DUMMYFUNCTION("""COMPUTED_VALUE"""),"Ozzy Campana")</f>
        <v>Ozzy Campana</v>
      </c>
      <c r="C2788" s="2"/>
      <c r="D2788" s="4">
        <f>IFERROR(__xludf.DUMMYFUNCTION("""COMPUTED_VALUE"""),24.0)</f>
        <v>24</v>
      </c>
      <c r="E2788" s="4">
        <f>IFERROR(__xludf.DUMMYFUNCTION("""COMPUTED_VALUE"""),55.0)</f>
        <v>55</v>
      </c>
      <c r="F2788" s="4">
        <f>IFERROR(__xludf.DUMMYFUNCTION("""COMPUTED_VALUE"""),7.0)</f>
        <v>7</v>
      </c>
      <c r="G2788" s="4">
        <f>IFERROR(__xludf.DUMMYFUNCTION("""COMPUTED_VALUE"""),478.0)</f>
        <v>478</v>
      </c>
      <c r="H2788" s="5">
        <f>IFERROR(__xludf.DUMMYFUNCTION("""COMPUTED_VALUE"""),1551.17)</f>
        <v>1551.17</v>
      </c>
      <c r="I2788" s="5">
        <f>IFERROR(__xludf.DUMMYFUNCTION("""COMPUTED_VALUE"""),9293.22)</f>
        <v>9293.22</v>
      </c>
      <c r="J2788" s="5">
        <f>IFERROR(__xludf.DUMMYFUNCTION("""COMPUTED_VALUE"""),7834.99)</f>
        <v>7834.99</v>
      </c>
      <c r="K2788" s="5">
        <f>IFERROR(__xludf.DUMMYFUNCTION("""COMPUTED_VALUE"""),4958.04)</f>
        <v>4958.04</v>
      </c>
      <c r="L2788" s="4">
        <f>IFERROR(__xludf.DUMMYFUNCTION("""COMPUTED_VALUE"""),2.0)</f>
        <v>2</v>
      </c>
      <c r="M2788" s="4">
        <f>IFERROR(__xludf.DUMMYFUNCTION("""COMPUTED_VALUE"""),4.0)</f>
        <v>4</v>
      </c>
      <c r="N2788" s="2" t="b">
        <f>IFERROR(__xludf.DUMMYFUNCTION("""COMPUTED_VALUE"""),TRUE)</f>
        <v>1</v>
      </c>
    </row>
    <row r="2789">
      <c r="A2789" s="2">
        <f>IFERROR(__xludf.DUMMYFUNCTION("""COMPUTED_VALUE"""),2788.0)</f>
        <v>2788</v>
      </c>
      <c r="B2789" s="2" t="str">
        <f>IFERROR(__xludf.DUMMYFUNCTION("""COMPUTED_VALUE"""),"Rebe Cescoti")</f>
        <v>Rebe Cescoti</v>
      </c>
      <c r="C2789" s="2" t="str">
        <f>IFERROR(__xludf.DUMMYFUNCTION("""COMPUTED_VALUE"""),"rcescotilw@addthis.com")</f>
        <v>rcescotilw@addthis.com</v>
      </c>
      <c r="D2789" s="4">
        <f>IFERROR(__xludf.DUMMYFUNCTION("""COMPUTED_VALUE"""),157.0)</f>
        <v>157</v>
      </c>
      <c r="E2789" s="4">
        <f>IFERROR(__xludf.DUMMYFUNCTION("""COMPUTED_VALUE"""),46.0)</f>
        <v>46</v>
      </c>
      <c r="F2789" s="4">
        <f>IFERROR(__xludf.DUMMYFUNCTION("""COMPUTED_VALUE"""),3.0)</f>
        <v>3</v>
      </c>
      <c r="G2789" s="4">
        <f>IFERROR(__xludf.DUMMYFUNCTION("""COMPUTED_VALUE"""),805.0)</f>
        <v>805</v>
      </c>
      <c r="H2789" s="5">
        <f>IFERROR(__xludf.DUMMYFUNCTION("""COMPUTED_VALUE"""),9167.27)</f>
        <v>9167.27</v>
      </c>
      <c r="I2789" s="5">
        <f>IFERROR(__xludf.DUMMYFUNCTION("""COMPUTED_VALUE"""),5251.55)</f>
        <v>5251.55</v>
      </c>
      <c r="J2789" s="5">
        <f>IFERROR(__xludf.DUMMYFUNCTION("""COMPUTED_VALUE"""),7976.86)</f>
        <v>7976.86</v>
      </c>
      <c r="K2789" s="5">
        <f>IFERROR(__xludf.DUMMYFUNCTION("""COMPUTED_VALUE"""),2280.48)</f>
        <v>2280.48</v>
      </c>
      <c r="L2789" s="4">
        <f>IFERROR(__xludf.DUMMYFUNCTION("""COMPUTED_VALUE"""),17.0)</f>
        <v>17</v>
      </c>
      <c r="M2789" s="4">
        <f>IFERROR(__xludf.DUMMYFUNCTION("""COMPUTED_VALUE"""),14.0)</f>
        <v>14</v>
      </c>
      <c r="N2789" s="2" t="b">
        <f>IFERROR(__xludf.DUMMYFUNCTION("""COMPUTED_VALUE"""),FALSE)</f>
        <v>0</v>
      </c>
    </row>
    <row r="2790">
      <c r="A2790" s="2">
        <f>IFERROR(__xludf.DUMMYFUNCTION("""COMPUTED_VALUE"""),2789.0)</f>
        <v>2789</v>
      </c>
      <c r="B2790" s="2" t="str">
        <f>IFERROR(__xludf.DUMMYFUNCTION("""COMPUTED_VALUE"""),"Donnie Plane")</f>
        <v>Donnie Plane</v>
      </c>
      <c r="C2790" s="2" t="str">
        <f>IFERROR(__xludf.DUMMYFUNCTION("""COMPUTED_VALUE"""),"dplanelx@statcounter.com")</f>
        <v>dplanelx@statcounter.com</v>
      </c>
      <c r="D2790" s="4">
        <f>IFERROR(__xludf.DUMMYFUNCTION("""COMPUTED_VALUE"""),137.0)</f>
        <v>137</v>
      </c>
      <c r="E2790" s="4">
        <f>IFERROR(__xludf.DUMMYFUNCTION("""COMPUTED_VALUE"""),112.0)</f>
        <v>112</v>
      </c>
      <c r="F2790" s="4">
        <f>IFERROR(__xludf.DUMMYFUNCTION("""COMPUTED_VALUE"""),2.0)</f>
        <v>2</v>
      </c>
      <c r="G2790" s="4">
        <f>IFERROR(__xludf.DUMMYFUNCTION("""COMPUTED_VALUE"""),791.0)</f>
        <v>791</v>
      </c>
      <c r="H2790" s="5">
        <f>IFERROR(__xludf.DUMMYFUNCTION("""COMPUTED_VALUE"""),3674.78)</f>
        <v>3674.78</v>
      </c>
      <c r="I2790" s="5">
        <f>IFERROR(__xludf.DUMMYFUNCTION("""COMPUTED_VALUE"""),9025.9)</f>
        <v>9025.9</v>
      </c>
      <c r="J2790" s="5">
        <f>IFERROR(__xludf.DUMMYFUNCTION("""COMPUTED_VALUE"""),474.01)</f>
        <v>474.01</v>
      </c>
      <c r="K2790" s="5">
        <f>IFERROR(__xludf.DUMMYFUNCTION("""COMPUTED_VALUE"""),7875.69)</f>
        <v>7875.69</v>
      </c>
      <c r="L2790" s="4">
        <f>IFERROR(__xludf.DUMMYFUNCTION("""COMPUTED_VALUE"""),17.0)</f>
        <v>17</v>
      </c>
      <c r="M2790" s="4">
        <f>IFERROR(__xludf.DUMMYFUNCTION("""COMPUTED_VALUE"""),32.0)</f>
        <v>32</v>
      </c>
      <c r="N2790" s="2" t="b">
        <f>IFERROR(__xludf.DUMMYFUNCTION("""COMPUTED_VALUE"""),FALSE)</f>
        <v>0</v>
      </c>
    </row>
    <row r="2791">
      <c r="A2791" s="2">
        <f>IFERROR(__xludf.DUMMYFUNCTION("""COMPUTED_VALUE"""),2790.0)</f>
        <v>2790</v>
      </c>
      <c r="B2791" s="2" t="str">
        <f>IFERROR(__xludf.DUMMYFUNCTION("""COMPUTED_VALUE"""),"Farrell Roseblade")</f>
        <v>Farrell Roseblade</v>
      </c>
      <c r="C2791" s="2" t="str">
        <f>IFERROR(__xludf.DUMMYFUNCTION("""COMPUTED_VALUE"""),"frosebladely@addtoany.com")</f>
        <v>frosebladely@addtoany.com</v>
      </c>
      <c r="D2791" s="4">
        <f>IFERROR(__xludf.DUMMYFUNCTION("""COMPUTED_VALUE"""),120.0)</f>
        <v>120</v>
      </c>
      <c r="E2791" s="4">
        <f>IFERROR(__xludf.DUMMYFUNCTION("""COMPUTED_VALUE"""),58.0)</f>
        <v>58</v>
      </c>
      <c r="F2791" s="4">
        <f>IFERROR(__xludf.DUMMYFUNCTION("""COMPUTED_VALUE"""),7.0)</f>
        <v>7</v>
      </c>
      <c r="G2791" s="4">
        <f>IFERROR(__xludf.DUMMYFUNCTION("""COMPUTED_VALUE"""),472.0)</f>
        <v>472</v>
      </c>
      <c r="H2791" s="5">
        <f>IFERROR(__xludf.DUMMYFUNCTION("""COMPUTED_VALUE"""),5009.61)</f>
        <v>5009.61</v>
      </c>
      <c r="I2791" s="5">
        <f>IFERROR(__xludf.DUMMYFUNCTION("""COMPUTED_VALUE"""),2905.32)</f>
        <v>2905.32</v>
      </c>
      <c r="J2791" s="5">
        <f>IFERROR(__xludf.DUMMYFUNCTION("""COMPUTED_VALUE"""),4654.83)</f>
        <v>4654.83</v>
      </c>
      <c r="K2791" s="5">
        <f>IFERROR(__xludf.DUMMYFUNCTION("""COMPUTED_VALUE"""),3907.49)</f>
        <v>3907.49</v>
      </c>
      <c r="L2791" s="4">
        <f>IFERROR(__xludf.DUMMYFUNCTION("""COMPUTED_VALUE"""),5.0)</f>
        <v>5</v>
      </c>
      <c r="M2791" s="4">
        <f>IFERROR(__xludf.DUMMYFUNCTION("""COMPUTED_VALUE"""),86.0)</f>
        <v>86</v>
      </c>
      <c r="N2791" s="2" t="b">
        <f>IFERROR(__xludf.DUMMYFUNCTION("""COMPUTED_VALUE"""),FALSE)</f>
        <v>0</v>
      </c>
    </row>
    <row r="2792">
      <c r="A2792" s="2">
        <f>IFERROR(__xludf.DUMMYFUNCTION("""COMPUTED_VALUE"""),2791.0)</f>
        <v>2791</v>
      </c>
      <c r="B2792" s="2" t="str">
        <f>IFERROR(__xludf.DUMMYFUNCTION("""COMPUTED_VALUE"""),"Marti Horry")</f>
        <v>Marti Horry</v>
      </c>
      <c r="C2792" s="2"/>
      <c r="D2792" s="4">
        <f>IFERROR(__xludf.DUMMYFUNCTION("""COMPUTED_VALUE"""),95.0)</f>
        <v>95</v>
      </c>
      <c r="E2792" s="4">
        <f>IFERROR(__xludf.DUMMYFUNCTION("""COMPUTED_VALUE"""),13.0)</f>
        <v>13</v>
      </c>
      <c r="F2792" s="4">
        <f>IFERROR(__xludf.DUMMYFUNCTION("""COMPUTED_VALUE"""),8.0)</f>
        <v>8</v>
      </c>
      <c r="G2792" s="4">
        <f>IFERROR(__xludf.DUMMYFUNCTION("""COMPUTED_VALUE"""),287.0)</f>
        <v>287</v>
      </c>
      <c r="H2792" s="5">
        <f>IFERROR(__xludf.DUMMYFUNCTION("""COMPUTED_VALUE"""),8931.08)</f>
        <v>8931.08</v>
      </c>
      <c r="I2792" s="5">
        <f>IFERROR(__xludf.DUMMYFUNCTION("""COMPUTED_VALUE"""),6148.0)</f>
        <v>6148</v>
      </c>
      <c r="J2792" s="5">
        <f>IFERROR(__xludf.DUMMYFUNCTION("""COMPUTED_VALUE"""),908.25)</f>
        <v>908.25</v>
      </c>
      <c r="K2792" s="5">
        <f>IFERROR(__xludf.DUMMYFUNCTION("""COMPUTED_VALUE"""),2390.39)</f>
        <v>2390.39</v>
      </c>
      <c r="L2792" s="4">
        <f>IFERROR(__xludf.DUMMYFUNCTION("""COMPUTED_VALUE"""),16.0)</f>
        <v>16</v>
      </c>
      <c r="M2792" s="4">
        <f>IFERROR(__xludf.DUMMYFUNCTION("""COMPUTED_VALUE"""),89.0)</f>
        <v>89</v>
      </c>
      <c r="N2792" s="2" t="b">
        <f>IFERROR(__xludf.DUMMYFUNCTION("""COMPUTED_VALUE"""),TRUE)</f>
        <v>1</v>
      </c>
    </row>
    <row r="2793">
      <c r="A2793" s="2">
        <f>IFERROR(__xludf.DUMMYFUNCTION("""COMPUTED_VALUE"""),2792.0)</f>
        <v>2792</v>
      </c>
      <c r="B2793" s="2" t="str">
        <f>IFERROR(__xludf.DUMMYFUNCTION("""COMPUTED_VALUE"""),"Kellsie Holdin")</f>
        <v>Kellsie Holdin</v>
      </c>
      <c r="C2793" s="2"/>
      <c r="D2793" s="4">
        <f>IFERROR(__xludf.DUMMYFUNCTION("""COMPUTED_VALUE"""),1.0)</f>
        <v>1</v>
      </c>
      <c r="E2793" s="4">
        <f>IFERROR(__xludf.DUMMYFUNCTION("""COMPUTED_VALUE"""),12.0)</f>
        <v>12</v>
      </c>
      <c r="F2793" s="4">
        <f>IFERROR(__xludf.DUMMYFUNCTION("""COMPUTED_VALUE"""),5.0)</f>
        <v>5</v>
      </c>
      <c r="G2793" s="4">
        <f>IFERROR(__xludf.DUMMYFUNCTION("""COMPUTED_VALUE"""),72.0)</f>
        <v>72</v>
      </c>
      <c r="H2793" s="5">
        <f>IFERROR(__xludf.DUMMYFUNCTION("""COMPUTED_VALUE"""),1467.4)</f>
        <v>1467.4</v>
      </c>
      <c r="I2793" s="5">
        <f>IFERROR(__xludf.DUMMYFUNCTION("""COMPUTED_VALUE"""),2432.5)</f>
        <v>2432.5</v>
      </c>
      <c r="J2793" s="5">
        <f>IFERROR(__xludf.DUMMYFUNCTION("""COMPUTED_VALUE"""),1149.04)</f>
        <v>1149.04</v>
      </c>
      <c r="K2793" s="5">
        <f>IFERROR(__xludf.DUMMYFUNCTION("""COMPUTED_VALUE"""),3812.84)</f>
        <v>3812.84</v>
      </c>
      <c r="L2793" s="4">
        <f>IFERROR(__xludf.DUMMYFUNCTION("""COMPUTED_VALUE"""),14.0)</f>
        <v>14</v>
      </c>
      <c r="M2793" s="4">
        <f>IFERROR(__xludf.DUMMYFUNCTION("""COMPUTED_VALUE"""),90.0)</f>
        <v>90</v>
      </c>
      <c r="N2793" s="2" t="b">
        <f>IFERROR(__xludf.DUMMYFUNCTION("""COMPUTED_VALUE"""),TRUE)</f>
        <v>1</v>
      </c>
    </row>
    <row r="2794">
      <c r="A2794" s="2">
        <f>IFERROR(__xludf.DUMMYFUNCTION("""COMPUTED_VALUE"""),2793.0)</f>
        <v>2793</v>
      </c>
      <c r="B2794" s="2" t="str">
        <f>IFERROR(__xludf.DUMMYFUNCTION("""COMPUTED_VALUE"""),"Dannye Tomadoni")</f>
        <v>Dannye Tomadoni</v>
      </c>
      <c r="C2794" s="2" t="str">
        <f>IFERROR(__xludf.DUMMYFUNCTION("""COMPUTED_VALUE"""),"dtomadonim1@sphinn.com")</f>
        <v>dtomadonim1@sphinn.com</v>
      </c>
      <c r="D2794" s="4">
        <f>IFERROR(__xludf.DUMMYFUNCTION("""COMPUTED_VALUE"""),42.0)</f>
        <v>42</v>
      </c>
      <c r="E2794" s="4">
        <f>IFERROR(__xludf.DUMMYFUNCTION("""COMPUTED_VALUE"""),35.0)</f>
        <v>35</v>
      </c>
      <c r="F2794" s="4">
        <f>IFERROR(__xludf.DUMMYFUNCTION("""COMPUTED_VALUE"""),5.0)</f>
        <v>5</v>
      </c>
      <c r="G2794" s="4">
        <f>IFERROR(__xludf.DUMMYFUNCTION("""COMPUTED_VALUE"""),1192.0)</f>
        <v>1192</v>
      </c>
      <c r="H2794" s="5">
        <f>IFERROR(__xludf.DUMMYFUNCTION("""COMPUTED_VALUE"""),1889.48)</f>
        <v>1889.48</v>
      </c>
      <c r="I2794" s="5">
        <f>IFERROR(__xludf.DUMMYFUNCTION("""COMPUTED_VALUE"""),3679.72)</f>
        <v>3679.72</v>
      </c>
      <c r="J2794" s="5">
        <f>IFERROR(__xludf.DUMMYFUNCTION("""COMPUTED_VALUE"""),2148.31)</f>
        <v>2148.31</v>
      </c>
      <c r="K2794" s="5">
        <f>IFERROR(__xludf.DUMMYFUNCTION("""COMPUTED_VALUE"""),9764.66)</f>
        <v>9764.66</v>
      </c>
      <c r="L2794" s="4">
        <f>IFERROR(__xludf.DUMMYFUNCTION("""COMPUTED_VALUE"""),7.0)</f>
        <v>7</v>
      </c>
      <c r="M2794" s="4">
        <f>IFERROR(__xludf.DUMMYFUNCTION("""COMPUTED_VALUE"""),32.0)</f>
        <v>32</v>
      </c>
      <c r="N2794" s="2" t="b">
        <f>IFERROR(__xludf.DUMMYFUNCTION("""COMPUTED_VALUE"""),FALSE)</f>
        <v>0</v>
      </c>
    </row>
    <row r="2795">
      <c r="A2795" s="2">
        <f>IFERROR(__xludf.DUMMYFUNCTION("""COMPUTED_VALUE"""),2794.0)</f>
        <v>2794</v>
      </c>
      <c r="B2795" s="2" t="str">
        <f>IFERROR(__xludf.DUMMYFUNCTION("""COMPUTED_VALUE"""),"Kanya Byrnes")</f>
        <v>Kanya Byrnes</v>
      </c>
      <c r="C2795" s="2"/>
      <c r="D2795" s="4">
        <f>IFERROR(__xludf.DUMMYFUNCTION("""COMPUTED_VALUE"""),82.0)</f>
        <v>82</v>
      </c>
      <c r="E2795" s="4">
        <f>IFERROR(__xludf.DUMMYFUNCTION("""COMPUTED_VALUE"""),7.0)</f>
        <v>7</v>
      </c>
      <c r="F2795" s="4">
        <f>IFERROR(__xludf.DUMMYFUNCTION("""COMPUTED_VALUE"""),1.0)</f>
        <v>1</v>
      </c>
      <c r="G2795" s="4">
        <f>IFERROR(__xludf.DUMMYFUNCTION("""COMPUTED_VALUE"""),983.0)</f>
        <v>983</v>
      </c>
      <c r="H2795" s="5">
        <f>IFERROR(__xludf.DUMMYFUNCTION("""COMPUTED_VALUE"""),6883.54)</f>
        <v>6883.54</v>
      </c>
      <c r="I2795" s="5">
        <f>IFERROR(__xludf.DUMMYFUNCTION("""COMPUTED_VALUE"""),8787.38)</f>
        <v>8787.38</v>
      </c>
      <c r="J2795" s="5">
        <f>IFERROR(__xludf.DUMMYFUNCTION("""COMPUTED_VALUE"""),3807.99)</f>
        <v>3807.99</v>
      </c>
      <c r="K2795" s="5">
        <f>IFERROR(__xludf.DUMMYFUNCTION("""COMPUTED_VALUE"""),5406.17)</f>
        <v>5406.17</v>
      </c>
      <c r="L2795" s="4">
        <f>IFERROR(__xludf.DUMMYFUNCTION("""COMPUTED_VALUE"""),4.0)</f>
        <v>4</v>
      </c>
      <c r="M2795" s="4">
        <f>IFERROR(__xludf.DUMMYFUNCTION("""COMPUTED_VALUE"""),71.0)</f>
        <v>71</v>
      </c>
      <c r="N2795" s="2" t="b">
        <f>IFERROR(__xludf.DUMMYFUNCTION("""COMPUTED_VALUE"""),FALSE)</f>
        <v>0</v>
      </c>
    </row>
    <row r="2796">
      <c r="A2796" s="2">
        <f>IFERROR(__xludf.DUMMYFUNCTION("""COMPUTED_VALUE"""),2795.0)</f>
        <v>2795</v>
      </c>
      <c r="B2796" s="2" t="str">
        <f>IFERROR(__xludf.DUMMYFUNCTION("""COMPUTED_VALUE"""),"Crissie Guerola")</f>
        <v>Crissie Guerola</v>
      </c>
      <c r="C2796" s="2"/>
      <c r="D2796" s="4">
        <f>IFERROR(__xludf.DUMMYFUNCTION("""COMPUTED_VALUE"""),156.0)</f>
        <v>156</v>
      </c>
      <c r="E2796" s="4">
        <f>IFERROR(__xludf.DUMMYFUNCTION("""COMPUTED_VALUE"""),77.0)</f>
        <v>77</v>
      </c>
      <c r="F2796" s="4">
        <f>IFERROR(__xludf.DUMMYFUNCTION("""COMPUTED_VALUE"""),13.0)</f>
        <v>13</v>
      </c>
      <c r="G2796" s="4">
        <f>IFERROR(__xludf.DUMMYFUNCTION("""COMPUTED_VALUE"""),927.0)</f>
        <v>927</v>
      </c>
      <c r="H2796" s="5">
        <f>IFERROR(__xludf.DUMMYFUNCTION("""COMPUTED_VALUE"""),1511.76)</f>
        <v>1511.76</v>
      </c>
      <c r="I2796" s="5">
        <f>IFERROR(__xludf.DUMMYFUNCTION("""COMPUTED_VALUE"""),902.26)</f>
        <v>902.26</v>
      </c>
      <c r="J2796" s="5">
        <f>IFERROR(__xludf.DUMMYFUNCTION("""COMPUTED_VALUE"""),1764.37)</f>
        <v>1764.37</v>
      </c>
      <c r="K2796" s="5">
        <f>IFERROR(__xludf.DUMMYFUNCTION("""COMPUTED_VALUE"""),7006.21)</f>
        <v>7006.21</v>
      </c>
      <c r="L2796" s="4">
        <f>IFERROR(__xludf.DUMMYFUNCTION("""COMPUTED_VALUE"""),15.0)</f>
        <v>15</v>
      </c>
      <c r="M2796" s="4">
        <f>IFERROR(__xludf.DUMMYFUNCTION("""COMPUTED_VALUE"""),73.0)</f>
        <v>73</v>
      </c>
      <c r="N2796" s="2" t="b">
        <f>IFERROR(__xludf.DUMMYFUNCTION("""COMPUTED_VALUE"""),TRUE)</f>
        <v>1</v>
      </c>
    </row>
    <row r="2797">
      <c r="A2797" s="2">
        <f>IFERROR(__xludf.DUMMYFUNCTION("""COMPUTED_VALUE"""),2796.0)</f>
        <v>2796</v>
      </c>
      <c r="B2797" s="2" t="str">
        <f>IFERROR(__xludf.DUMMYFUNCTION("""COMPUTED_VALUE"""),"Leicester Rubberts")</f>
        <v>Leicester Rubberts</v>
      </c>
      <c r="C2797" s="2"/>
      <c r="D2797" s="4">
        <f>IFERROR(__xludf.DUMMYFUNCTION("""COMPUTED_VALUE"""),32.0)</f>
        <v>32</v>
      </c>
      <c r="E2797" s="4">
        <f>IFERROR(__xludf.DUMMYFUNCTION("""COMPUTED_VALUE"""),54.0)</f>
        <v>54</v>
      </c>
      <c r="F2797" s="4">
        <f>IFERROR(__xludf.DUMMYFUNCTION("""COMPUTED_VALUE"""),1.0)</f>
        <v>1</v>
      </c>
      <c r="G2797" s="4">
        <f>IFERROR(__xludf.DUMMYFUNCTION("""COMPUTED_VALUE"""),1534.0)</f>
        <v>1534</v>
      </c>
      <c r="H2797" s="5">
        <f>IFERROR(__xludf.DUMMYFUNCTION("""COMPUTED_VALUE"""),2927.97)</f>
        <v>2927.97</v>
      </c>
      <c r="I2797" s="5">
        <f>IFERROR(__xludf.DUMMYFUNCTION("""COMPUTED_VALUE"""),8308.68)</f>
        <v>8308.68</v>
      </c>
      <c r="J2797" s="5">
        <f>IFERROR(__xludf.DUMMYFUNCTION("""COMPUTED_VALUE"""),8644.42)</f>
        <v>8644.42</v>
      </c>
      <c r="K2797" s="5">
        <f>IFERROR(__xludf.DUMMYFUNCTION("""COMPUTED_VALUE"""),8941.14)</f>
        <v>8941.14</v>
      </c>
      <c r="L2797" s="4">
        <f>IFERROR(__xludf.DUMMYFUNCTION("""COMPUTED_VALUE"""),10.0)</f>
        <v>10</v>
      </c>
      <c r="M2797" s="4">
        <f>IFERROR(__xludf.DUMMYFUNCTION("""COMPUTED_VALUE"""),86.0)</f>
        <v>86</v>
      </c>
      <c r="N2797" s="2" t="b">
        <f>IFERROR(__xludf.DUMMYFUNCTION("""COMPUTED_VALUE"""),TRUE)</f>
        <v>1</v>
      </c>
    </row>
    <row r="2798">
      <c r="A2798" s="2">
        <f>IFERROR(__xludf.DUMMYFUNCTION("""COMPUTED_VALUE"""),2797.0)</f>
        <v>2797</v>
      </c>
      <c r="B2798" s="2" t="str">
        <f>IFERROR(__xludf.DUMMYFUNCTION("""COMPUTED_VALUE"""),"Cherida Angell")</f>
        <v>Cherida Angell</v>
      </c>
      <c r="C2798" s="2"/>
      <c r="D2798" s="4">
        <f>IFERROR(__xludf.DUMMYFUNCTION("""COMPUTED_VALUE"""),158.0)</f>
        <v>158</v>
      </c>
      <c r="E2798" s="4">
        <f>IFERROR(__xludf.DUMMYFUNCTION("""COMPUTED_VALUE"""),120.0)</f>
        <v>120</v>
      </c>
      <c r="F2798" s="4">
        <f>IFERROR(__xludf.DUMMYFUNCTION("""COMPUTED_VALUE"""),12.0)</f>
        <v>12</v>
      </c>
      <c r="G2798" s="4">
        <f>IFERROR(__xludf.DUMMYFUNCTION("""COMPUTED_VALUE"""),55.0)</f>
        <v>55</v>
      </c>
      <c r="H2798" s="5">
        <f>IFERROR(__xludf.DUMMYFUNCTION("""COMPUTED_VALUE"""),4736.14)</f>
        <v>4736.14</v>
      </c>
      <c r="I2798" s="5">
        <f>IFERROR(__xludf.DUMMYFUNCTION("""COMPUTED_VALUE"""),6994.52)</f>
        <v>6994.52</v>
      </c>
      <c r="J2798" s="5">
        <f>IFERROR(__xludf.DUMMYFUNCTION("""COMPUTED_VALUE"""),5530.93)</f>
        <v>5530.93</v>
      </c>
      <c r="K2798" s="5">
        <f>IFERROR(__xludf.DUMMYFUNCTION("""COMPUTED_VALUE"""),2408.66)</f>
        <v>2408.66</v>
      </c>
      <c r="L2798" s="4">
        <f>IFERROR(__xludf.DUMMYFUNCTION("""COMPUTED_VALUE"""),12.0)</f>
        <v>12</v>
      </c>
      <c r="M2798" s="4">
        <f>IFERROR(__xludf.DUMMYFUNCTION("""COMPUTED_VALUE"""),65.0)</f>
        <v>65</v>
      </c>
      <c r="N2798" s="2" t="b">
        <f>IFERROR(__xludf.DUMMYFUNCTION("""COMPUTED_VALUE"""),FALSE)</f>
        <v>0</v>
      </c>
    </row>
    <row r="2799">
      <c r="A2799" s="2">
        <f>IFERROR(__xludf.DUMMYFUNCTION("""COMPUTED_VALUE"""),2798.0)</f>
        <v>2798</v>
      </c>
      <c r="B2799" s="2" t="str">
        <f>IFERROR(__xludf.DUMMYFUNCTION("""COMPUTED_VALUE"""),"Camala Kornilyev")</f>
        <v>Camala Kornilyev</v>
      </c>
      <c r="C2799" s="2" t="str">
        <f>IFERROR(__xludf.DUMMYFUNCTION("""COMPUTED_VALUE"""),"ckornilyevm6@tripod.com")</f>
        <v>ckornilyevm6@tripod.com</v>
      </c>
      <c r="D2799" s="4">
        <f>IFERROR(__xludf.DUMMYFUNCTION("""COMPUTED_VALUE"""),115.0)</f>
        <v>115</v>
      </c>
      <c r="E2799" s="4">
        <f>IFERROR(__xludf.DUMMYFUNCTION("""COMPUTED_VALUE"""),80.0)</f>
        <v>80</v>
      </c>
      <c r="F2799" s="4">
        <f>IFERROR(__xludf.DUMMYFUNCTION("""COMPUTED_VALUE"""),6.0)</f>
        <v>6</v>
      </c>
      <c r="G2799" s="4">
        <f>IFERROR(__xludf.DUMMYFUNCTION("""COMPUTED_VALUE"""),1286.0)</f>
        <v>1286</v>
      </c>
      <c r="H2799" s="5">
        <f>IFERROR(__xludf.DUMMYFUNCTION("""COMPUTED_VALUE"""),4074.42)</f>
        <v>4074.42</v>
      </c>
      <c r="I2799" s="5">
        <f>IFERROR(__xludf.DUMMYFUNCTION("""COMPUTED_VALUE"""),6868.87)</f>
        <v>6868.87</v>
      </c>
      <c r="J2799" s="5">
        <f>IFERROR(__xludf.DUMMYFUNCTION("""COMPUTED_VALUE"""),2937.32)</f>
        <v>2937.32</v>
      </c>
      <c r="K2799" s="5">
        <f>IFERROR(__xludf.DUMMYFUNCTION("""COMPUTED_VALUE"""),6982.76)</f>
        <v>6982.76</v>
      </c>
      <c r="L2799" s="4">
        <f>IFERROR(__xludf.DUMMYFUNCTION("""COMPUTED_VALUE"""),20.0)</f>
        <v>20</v>
      </c>
      <c r="M2799" s="4">
        <f>IFERROR(__xludf.DUMMYFUNCTION("""COMPUTED_VALUE"""),91.0)</f>
        <v>91</v>
      </c>
      <c r="N2799" s="2" t="b">
        <f>IFERROR(__xludf.DUMMYFUNCTION("""COMPUTED_VALUE"""),FALSE)</f>
        <v>0</v>
      </c>
    </row>
    <row r="2800">
      <c r="A2800" s="2">
        <f>IFERROR(__xludf.DUMMYFUNCTION("""COMPUTED_VALUE"""),2799.0)</f>
        <v>2799</v>
      </c>
      <c r="B2800" s="2" t="str">
        <f>IFERROR(__xludf.DUMMYFUNCTION("""COMPUTED_VALUE"""),"Anitra Snedker")</f>
        <v>Anitra Snedker</v>
      </c>
      <c r="C2800" s="2"/>
      <c r="D2800" s="4">
        <f>IFERROR(__xludf.DUMMYFUNCTION("""COMPUTED_VALUE"""),117.0)</f>
        <v>117</v>
      </c>
      <c r="E2800" s="4">
        <f>IFERROR(__xludf.DUMMYFUNCTION("""COMPUTED_VALUE"""),19.0)</f>
        <v>19</v>
      </c>
      <c r="F2800" s="4">
        <f>IFERROR(__xludf.DUMMYFUNCTION("""COMPUTED_VALUE"""),1.0)</f>
        <v>1</v>
      </c>
      <c r="G2800" s="4">
        <f>IFERROR(__xludf.DUMMYFUNCTION("""COMPUTED_VALUE"""),1478.0)</f>
        <v>1478</v>
      </c>
      <c r="H2800" s="5">
        <f>IFERROR(__xludf.DUMMYFUNCTION("""COMPUTED_VALUE"""),2333.45)</f>
        <v>2333.45</v>
      </c>
      <c r="I2800" s="5">
        <f>IFERROR(__xludf.DUMMYFUNCTION("""COMPUTED_VALUE"""),5303.3)</f>
        <v>5303.3</v>
      </c>
      <c r="J2800" s="5">
        <f>IFERROR(__xludf.DUMMYFUNCTION("""COMPUTED_VALUE"""),8374.48)</f>
        <v>8374.48</v>
      </c>
      <c r="K2800" s="5">
        <f>IFERROR(__xludf.DUMMYFUNCTION("""COMPUTED_VALUE"""),1212.04)</f>
        <v>1212.04</v>
      </c>
      <c r="L2800" s="4">
        <f>IFERROR(__xludf.DUMMYFUNCTION("""COMPUTED_VALUE"""),10.0)</f>
        <v>10</v>
      </c>
      <c r="M2800" s="4">
        <f>IFERROR(__xludf.DUMMYFUNCTION("""COMPUTED_VALUE"""),74.0)</f>
        <v>74</v>
      </c>
      <c r="N2800" s="2" t="b">
        <f>IFERROR(__xludf.DUMMYFUNCTION("""COMPUTED_VALUE"""),FALSE)</f>
        <v>0</v>
      </c>
    </row>
    <row r="2801">
      <c r="A2801" s="2">
        <f>IFERROR(__xludf.DUMMYFUNCTION("""COMPUTED_VALUE"""),2800.0)</f>
        <v>2800</v>
      </c>
      <c r="B2801" s="2" t="str">
        <f>IFERROR(__xludf.DUMMYFUNCTION("""COMPUTED_VALUE"""),"Templeton Basilotta")</f>
        <v>Templeton Basilotta</v>
      </c>
      <c r="C2801" s="2" t="str">
        <f>IFERROR(__xludf.DUMMYFUNCTION("""COMPUTED_VALUE"""),"tbasilottam8@networkadvertising.org")</f>
        <v>tbasilottam8@networkadvertising.org</v>
      </c>
      <c r="D2801" s="4">
        <f>IFERROR(__xludf.DUMMYFUNCTION("""COMPUTED_VALUE"""),25.0)</f>
        <v>25</v>
      </c>
      <c r="E2801" s="4">
        <f>IFERROR(__xludf.DUMMYFUNCTION("""COMPUTED_VALUE"""),71.0)</f>
        <v>71</v>
      </c>
      <c r="F2801" s="4">
        <f>IFERROR(__xludf.DUMMYFUNCTION("""COMPUTED_VALUE"""),8.0)</f>
        <v>8</v>
      </c>
      <c r="G2801" s="4">
        <f>IFERROR(__xludf.DUMMYFUNCTION("""COMPUTED_VALUE"""),136.0)</f>
        <v>136</v>
      </c>
      <c r="H2801" s="5">
        <f>IFERROR(__xludf.DUMMYFUNCTION("""COMPUTED_VALUE"""),8401.06)</f>
        <v>8401.06</v>
      </c>
      <c r="I2801" s="5">
        <f>IFERROR(__xludf.DUMMYFUNCTION("""COMPUTED_VALUE"""),5739.39)</f>
        <v>5739.39</v>
      </c>
      <c r="J2801" s="5">
        <f>IFERROR(__xludf.DUMMYFUNCTION("""COMPUTED_VALUE"""),8424.3)</f>
        <v>8424.3</v>
      </c>
      <c r="K2801" s="5">
        <f>IFERROR(__xludf.DUMMYFUNCTION("""COMPUTED_VALUE"""),7959.14)</f>
        <v>7959.14</v>
      </c>
      <c r="L2801" s="4">
        <f>IFERROR(__xludf.DUMMYFUNCTION("""COMPUTED_VALUE"""),10.0)</f>
        <v>10</v>
      </c>
      <c r="M2801" s="4">
        <f>IFERROR(__xludf.DUMMYFUNCTION("""COMPUTED_VALUE"""),32.0)</f>
        <v>32</v>
      </c>
      <c r="N2801" s="2" t="b">
        <f>IFERROR(__xludf.DUMMYFUNCTION("""COMPUTED_VALUE"""),FALSE)</f>
        <v>0</v>
      </c>
    </row>
    <row r="2802">
      <c r="A2802" s="2">
        <f>IFERROR(__xludf.DUMMYFUNCTION("""COMPUTED_VALUE"""),2801.0)</f>
        <v>2801</v>
      </c>
      <c r="B2802" s="2" t="str">
        <f>IFERROR(__xludf.DUMMYFUNCTION("""COMPUTED_VALUE"""),"Adele Jandak")</f>
        <v>Adele Jandak</v>
      </c>
      <c r="C2802" s="2"/>
      <c r="D2802" s="4">
        <f>IFERROR(__xludf.DUMMYFUNCTION("""COMPUTED_VALUE"""),74.0)</f>
        <v>74</v>
      </c>
      <c r="E2802" s="4">
        <f>IFERROR(__xludf.DUMMYFUNCTION("""COMPUTED_VALUE"""),18.0)</f>
        <v>18</v>
      </c>
      <c r="F2802" s="4">
        <f>IFERROR(__xludf.DUMMYFUNCTION("""COMPUTED_VALUE"""),11.0)</f>
        <v>11</v>
      </c>
      <c r="G2802" s="4">
        <f>IFERROR(__xludf.DUMMYFUNCTION("""COMPUTED_VALUE"""),866.0)</f>
        <v>866</v>
      </c>
      <c r="H2802" s="5">
        <f>IFERROR(__xludf.DUMMYFUNCTION("""COMPUTED_VALUE"""),1240.26)</f>
        <v>1240.26</v>
      </c>
      <c r="I2802" s="5">
        <f>IFERROR(__xludf.DUMMYFUNCTION("""COMPUTED_VALUE"""),5256.97)</f>
        <v>5256.97</v>
      </c>
      <c r="J2802" s="5">
        <f>IFERROR(__xludf.DUMMYFUNCTION("""COMPUTED_VALUE"""),1989.01)</f>
        <v>1989.01</v>
      </c>
      <c r="K2802" s="5">
        <f>IFERROR(__xludf.DUMMYFUNCTION("""COMPUTED_VALUE"""),1768.89)</f>
        <v>1768.89</v>
      </c>
      <c r="L2802" s="4">
        <f>IFERROR(__xludf.DUMMYFUNCTION("""COMPUTED_VALUE"""),9.0)</f>
        <v>9</v>
      </c>
      <c r="M2802" s="4">
        <f>IFERROR(__xludf.DUMMYFUNCTION("""COMPUTED_VALUE"""),38.0)</f>
        <v>38</v>
      </c>
      <c r="N2802" s="2" t="b">
        <f>IFERROR(__xludf.DUMMYFUNCTION("""COMPUTED_VALUE"""),TRUE)</f>
        <v>1</v>
      </c>
    </row>
    <row r="2803">
      <c r="A2803" s="2">
        <f>IFERROR(__xludf.DUMMYFUNCTION("""COMPUTED_VALUE"""),2802.0)</f>
        <v>2802</v>
      </c>
      <c r="B2803" s="2" t="str">
        <f>IFERROR(__xludf.DUMMYFUNCTION("""COMPUTED_VALUE"""),"Evie Yoakley")</f>
        <v>Evie Yoakley</v>
      </c>
      <c r="C2803" s="2"/>
      <c r="D2803" s="4">
        <f>IFERROR(__xludf.DUMMYFUNCTION("""COMPUTED_VALUE"""),112.0)</f>
        <v>112</v>
      </c>
      <c r="E2803" s="4">
        <f>IFERROR(__xludf.DUMMYFUNCTION("""COMPUTED_VALUE"""),112.0)</f>
        <v>112</v>
      </c>
      <c r="F2803" s="4">
        <f>IFERROR(__xludf.DUMMYFUNCTION("""COMPUTED_VALUE"""),11.0)</f>
        <v>11</v>
      </c>
      <c r="G2803" s="4">
        <f>IFERROR(__xludf.DUMMYFUNCTION("""COMPUTED_VALUE"""),572.0)</f>
        <v>572</v>
      </c>
      <c r="H2803" s="5">
        <f>IFERROR(__xludf.DUMMYFUNCTION("""COMPUTED_VALUE"""),995.44)</f>
        <v>995.44</v>
      </c>
      <c r="I2803" s="5">
        <f>IFERROR(__xludf.DUMMYFUNCTION("""COMPUTED_VALUE"""),9989.5)</f>
        <v>9989.5</v>
      </c>
      <c r="J2803" s="5">
        <f>IFERROR(__xludf.DUMMYFUNCTION("""COMPUTED_VALUE"""),6626.08)</f>
        <v>6626.08</v>
      </c>
      <c r="K2803" s="5">
        <f>IFERROR(__xludf.DUMMYFUNCTION("""COMPUTED_VALUE"""),2649.87)</f>
        <v>2649.87</v>
      </c>
      <c r="L2803" s="4">
        <f>IFERROR(__xludf.DUMMYFUNCTION("""COMPUTED_VALUE"""),1.0)</f>
        <v>1</v>
      </c>
      <c r="M2803" s="4">
        <f>IFERROR(__xludf.DUMMYFUNCTION("""COMPUTED_VALUE"""),74.0)</f>
        <v>74</v>
      </c>
      <c r="N2803" s="2" t="b">
        <f>IFERROR(__xludf.DUMMYFUNCTION("""COMPUTED_VALUE"""),FALSE)</f>
        <v>0</v>
      </c>
    </row>
    <row r="2804">
      <c r="A2804" s="2">
        <f>IFERROR(__xludf.DUMMYFUNCTION("""COMPUTED_VALUE"""),2803.0)</f>
        <v>2803</v>
      </c>
      <c r="B2804" s="2" t="str">
        <f>IFERROR(__xludf.DUMMYFUNCTION("""COMPUTED_VALUE"""),"Justin Wadesworth")</f>
        <v>Justin Wadesworth</v>
      </c>
      <c r="C2804" s="2"/>
      <c r="D2804" s="4">
        <f>IFERROR(__xludf.DUMMYFUNCTION("""COMPUTED_VALUE"""),125.0)</f>
        <v>125</v>
      </c>
      <c r="E2804" s="4">
        <f>IFERROR(__xludf.DUMMYFUNCTION("""COMPUTED_VALUE"""),16.0)</f>
        <v>16</v>
      </c>
      <c r="F2804" s="4">
        <f>IFERROR(__xludf.DUMMYFUNCTION("""COMPUTED_VALUE"""),6.0)</f>
        <v>6</v>
      </c>
      <c r="G2804" s="4">
        <f>IFERROR(__xludf.DUMMYFUNCTION("""COMPUTED_VALUE"""),429.0)</f>
        <v>429</v>
      </c>
      <c r="H2804" s="5">
        <f>IFERROR(__xludf.DUMMYFUNCTION("""COMPUTED_VALUE"""),9521.67)</f>
        <v>9521.67</v>
      </c>
      <c r="I2804" s="5">
        <f>IFERROR(__xludf.DUMMYFUNCTION("""COMPUTED_VALUE"""),9080.83)</f>
        <v>9080.83</v>
      </c>
      <c r="J2804" s="5">
        <f>IFERROR(__xludf.DUMMYFUNCTION("""COMPUTED_VALUE"""),7053.06)</f>
        <v>7053.06</v>
      </c>
      <c r="K2804" s="5">
        <f>IFERROR(__xludf.DUMMYFUNCTION("""COMPUTED_VALUE"""),3520.31)</f>
        <v>3520.31</v>
      </c>
      <c r="L2804" s="4">
        <f>IFERROR(__xludf.DUMMYFUNCTION("""COMPUTED_VALUE"""),15.0)</f>
        <v>15</v>
      </c>
      <c r="M2804" s="4">
        <f>IFERROR(__xludf.DUMMYFUNCTION("""COMPUTED_VALUE"""),58.0)</f>
        <v>58</v>
      </c>
      <c r="N2804" s="2" t="b">
        <f>IFERROR(__xludf.DUMMYFUNCTION("""COMPUTED_VALUE"""),TRUE)</f>
        <v>1</v>
      </c>
    </row>
    <row r="2805">
      <c r="A2805" s="2">
        <f>IFERROR(__xludf.DUMMYFUNCTION("""COMPUTED_VALUE"""),2804.0)</f>
        <v>2804</v>
      </c>
      <c r="B2805" s="2" t="str">
        <f>IFERROR(__xludf.DUMMYFUNCTION("""COMPUTED_VALUE"""),"Kimball Burbage")</f>
        <v>Kimball Burbage</v>
      </c>
      <c r="C2805" s="2" t="str">
        <f>IFERROR(__xludf.DUMMYFUNCTION("""COMPUTED_VALUE"""),"kburbagemc@chronoengine.com")</f>
        <v>kburbagemc@chronoengine.com</v>
      </c>
      <c r="D2805" s="4">
        <f>IFERROR(__xludf.DUMMYFUNCTION("""COMPUTED_VALUE"""),144.0)</f>
        <v>144</v>
      </c>
      <c r="E2805" s="4">
        <f>IFERROR(__xludf.DUMMYFUNCTION("""COMPUTED_VALUE"""),18.0)</f>
        <v>18</v>
      </c>
      <c r="F2805" s="4">
        <f>IFERROR(__xludf.DUMMYFUNCTION("""COMPUTED_VALUE"""),13.0)</f>
        <v>13</v>
      </c>
      <c r="G2805" s="4">
        <f>IFERROR(__xludf.DUMMYFUNCTION("""COMPUTED_VALUE"""),887.0)</f>
        <v>887</v>
      </c>
      <c r="H2805" s="5">
        <f>IFERROR(__xludf.DUMMYFUNCTION("""COMPUTED_VALUE"""),2313.44)</f>
        <v>2313.44</v>
      </c>
      <c r="I2805" s="5">
        <f>IFERROR(__xludf.DUMMYFUNCTION("""COMPUTED_VALUE"""),8081.94)</f>
        <v>8081.94</v>
      </c>
      <c r="J2805" s="5">
        <f>IFERROR(__xludf.DUMMYFUNCTION("""COMPUTED_VALUE"""),1822.57)</f>
        <v>1822.57</v>
      </c>
      <c r="K2805" s="5">
        <f>IFERROR(__xludf.DUMMYFUNCTION("""COMPUTED_VALUE"""),1616.76)</f>
        <v>1616.76</v>
      </c>
      <c r="L2805" s="4">
        <f>IFERROR(__xludf.DUMMYFUNCTION("""COMPUTED_VALUE"""),20.0)</f>
        <v>20</v>
      </c>
      <c r="M2805" s="4">
        <f>IFERROR(__xludf.DUMMYFUNCTION("""COMPUTED_VALUE"""),57.0)</f>
        <v>57</v>
      </c>
      <c r="N2805" s="2" t="b">
        <f>IFERROR(__xludf.DUMMYFUNCTION("""COMPUTED_VALUE"""),FALSE)</f>
        <v>0</v>
      </c>
    </row>
    <row r="2806">
      <c r="A2806" s="2">
        <f>IFERROR(__xludf.DUMMYFUNCTION("""COMPUTED_VALUE"""),2805.0)</f>
        <v>2805</v>
      </c>
      <c r="B2806" s="2" t="str">
        <f>IFERROR(__xludf.DUMMYFUNCTION("""COMPUTED_VALUE"""),"Ardis Upex")</f>
        <v>Ardis Upex</v>
      </c>
      <c r="C2806" s="2"/>
      <c r="D2806" s="4">
        <f>IFERROR(__xludf.DUMMYFUNCTION("""COMPUTED_VALUE"""),82.0)</f>
        <v>82</v>
      </c>
      <c r="E2806" s="4">
        <f>IFERROR(__xludf.DUMMYFUNCTION("""COMPUTED_VALUE"""),49.0)</f>
        <v>49</v>
      </c>
      <c r="F2806" s="4">
        <f>IFERROR(__xludf.DUMMYFUNCTION("""COMPUTED_VALUE"""),7.0)</f>
        <v>7</v>
      </c>
      <c r="G2806" s="4">
        <f>IFERROR(__xludf.DUMMYFUNCTION("""COMPUTED_VALUE"""),659.0)</f>
        <v>659</v>
      </c>
      <c r="H2806" s="5">
        <f>IFERROR(__xludf.DUMMYFUNCTION("""COMPUTED_VALUE"""),8575.93)</f>
        <v>8575.93</v>
      </c>
      <c r="I2806" s="5">
        <f>IFERROR(__xludf.DUMMYFUNCTION("""COMPUTED_VALUE"""),7636.44)</f>
        <v>7636.44</v>
      </c>
      <c r="J2806" s="5">
        <f>IFERROR(__xludf.DUMMYFUNCTION("""COMPUTED_VALUE"""),3248.17)</f>
        <v>3248.17</v>
      </c>
      <c r="K2806" s="5">
        <f>IFERROR(__xludf.DUMMYFUNCTION("""COMPUTED_VALUE"""),5911.38)</f>
        <v>5911.38</v>
      </c>
      <c r="L2806" s="4">
        <f>IFERROR(__xludf.DUMMYFUNCTION("""COMPUTED_VALUE"""),17.0)</f>
        <v>17</v>
      </c>
      <c r="M2806" s="4">
        <f>IFERROR(__xludf.DUMMYFUNCTION("""COMPUTED_VALUE"""),44.0)</f>
        <v>44</v>
      </c>
      <c r="N2806" s="2" t="b">
        <f>IFERROR(__xludf.DUMMYFUNCTION("""COMPUTED_VALUE"""),TRUE)</f>
        <v>1</v>
      </c>
    </row>
    <row r="2807">
      <c r="A2807" s="2">
        <f>IFERROR(__xludf.DUMMYFUNCTION("""COMPUTED_VALUE"""),2806.0)</f>
        <v>2806</v>
      </c>
      <c r="B2807" s="2" t="str">
        <f>IFERROR(__xludf.DUMMYFUNCTION("""COMPUTED_VALUE"""),"Lucian Spears")</f>
        <v>Lucian Spears</v>
      </c>
      <c r="C2807" s="2"/>
      <c r="D2807" s="4">
        <f>IFERROR(__xludf.DUMMYFUNCTION("""COMPUTED_VALUE"""),144.0)</f>
        <v>144</v>
      </c>
      <c r="E2807" s="4">
        <f>IFERROR(__xludf.DUMMYFUNCTION("""COMPUTED_VALUE"""),30.0)</f>
        <v>30</v>
      </c>
      <c r="F2807" s="4">
        <f>IFERROR(__xludf.DUMMYFUNCTION("""COMPUTED_VALUE"""),2.0)</f>
        <v>2</v>
      </c>
      <c r="G2807" s="4">
        <f>IFERROR(__xludf.DUMMYFUNCTION("""COMPUTED_VALUE"""),1017.0)</f>
        <v>1017</v>
      </c>
      <c r="H2807" s="5">
        <f>IFERROR(__xludf.DUMMYFUNCTION("""COMPUTED_VALUE"""),834.85)</f>
        <v>834.85</v>
      </c>
      <c r="I2807" s="5">
        <f>IFERROR(__xludf.DUMMYFUNCTION("""COMPUTED_VALUE"""),6380.18)</f>
        <v>6380.18</v>
      </c>
      <c r="J2807" s="5">
        <f>IFERROR(__xludf.DUMMYFUNCTION("""COMPUTED_VALUE"""),4355.25)</f>
        <v>4355.25</v>
      </c>
      <c r="K2807" s="5">
        <f>IFERROR(__xludf.DUMMYFUNCTION("""COMPUTED_VALUE"""),4355.84)</f>
        <v>4355.84</v>
      </c>
      <c r="L2807" s="4">
        <f>IFERROR(__xludf.DUMMYFUNCTION("""COMPUTED_VALUE"""),11.0)</f>
        <v>11</v>
      </c>
      <c r="M2807" s="4">
        <f>IFERROR(__xludf.DUMMYFUNCTION("""COMPUTED_VALUE"""),90.0)</f>
        <v>90</v>
      </c>
      <c r="N2807" s="2" t="b">
        <f>IFERROR(__xludf.DUMMYFUNCTION("""COMPUTED_VALUE"""),TRUE)</f>
        <v>1</v>
      </c>
    </row>
    <row r="2808">
      <c r="A2808" s="2">
        <f>IFERROR(__xludf.DUMMYFUNCTION("""COMPUTED_VALUE"""),2807.0)</f>
        <v>2807</v>
      </c>
      <c r="B2808" s="2" t="str">
        <f>IFERROR(__xludf.DUMMYFUNCTION("""COMPUTED_VALUE"""),"Jimmie Tomaello")</f>
        <v>Jimmie Tomaello</v>
      </c>
      <c r="C2808" s="2" t="str">
        <f>IFERROR(__xludf.DUMMYFUNCTION("""COMPUTED_VALUE"""),"jtomaellomf@newsvine.com")</f>
        <v>jtomaellomf@newsvine.com</v>
      </c>
      <c r="D2808" s="4">
        <f>IFERROR(__xludf.DUMMYFUNCTION("""COMPUTED_VALUE"""),97.0)</f>
        <v>97</v>
      </c>
      <c r="E2808" s="4">
        <f>IFERROR(__xludf.DUMMYFUNCTION("""COMPUTED_VALUE"""),39.0)</f>
        <v>39</v>
      </c>
      <c r="F2808" s="4">
        <f>IFERROR(__xludf.DUMMYFUNCTION("""COMPUTED_VALUE"""),13.0)</f>
        <v>13</v>
      </c>
      <c r="G2808" s="4">
        <f>IFERROR(__xludf.DUMMYFUNCTION("""COMPUTED_VALUE"""),415.0)</f>
        <v>415</v>
      </c>
      <c r="H2808" s="5">
        <f>IFERROR(__xludf.DUMMYFUNCTION("""COMPUTED_VALUE"""),2068.83)</f>
        <v>2068.83</v>
      </c>
      <c r="I2808" s="5">
        <f>IFERROR(__xludf.DUMMYFUNCTION("""COMPUTED_VALUE"""),2476.62)</f>
        <v>2476.62</v>
      </c>
      <c r="J2808" s="5">
        <f>IFERROR(__xludf.DUMMYFUNCTION("""COMPUTED_VALUE"""),4499.2)</f>
        <v>4499.2</v>
      </c>
      <c r="K2808" s="5">
        <f>IFERROR(__xludf.DUMMYFUNCTION("""COMPUTED_VALUE"""),9138.35)</f>
        <v>9138.35</v>
      </c>
      <c r="L2808" s="4">
        <f>IFERROR(__xludf.DUMMYFUNCTION("""COMPUTED_VALUE"""),3.0)</f>
        <v>3</v>
      </c>
      <c r="M2808" s="4">
        <f>IFERROR(__xludf.DUMMYFUNCTION("""COMPUTED_VALUE"""),42.0)</f>
        <v>42</v>
      </c>
      <c r="N2808" s="2" t="b">
        <f>IFERROR(__xludf.DUMMYFUNCTION("""COMPUTED_VALUE"""),FALSE)</f>
        <v>0</v>
      </c>
    </row>
    <row r="2809">
      <c r="A2809" s="2">
        <f>IFERROR(__xludf.DUMMYFUNCTION("""COMPUTED_VALUE"""),2808.0)</f>
        <v>2808</v>
      </c>
      <c r="B2809" s="2" t="str">
        <f>IFERROR(__xludf.DUMMYFUNCTION("""COMPUTED_VALUE"""),"Donny Wombwell")</f>
        <v>Donny Wombwell</v>
      </c>
      <c r="C2809" s="2"/>
      <c r="D2809" s="4">
        <f>IFERROR(__xludf.DUMMYFUNCTION("""COMPUTED_VALUE"""),81.0)</f>
        <v>81</v>
      </c>
      <c r="E2809" s="4">
        <f>IFERROR(__xludf.DUMMYFUNCTION("""COMPUTED_VALUE"""),22.0)</f>
        <v>22</v>
      </c>
      <c r="F2809" s="4">
        <f>IFERROR(__xludf.DUMMYFUNCTION("""COMPUTED_VALUE"""),6.0)</f>
        <v>6</v>
      </c>
      <c r="G2809" s="4">
        <f>IFERROR(__xludf.DUMMYFUNCTION("""COMPUTED_VALUE"""),146.0)</f>
        <v>146</v>
      </c>
      <c r="H2809" s="5">
        <f>IFERROR(__xludf.DUMMYFUNCTION("""COMPUTED_VALUE"""),2954.95)</f>
        <v>2954.95</v>
      </c>
      <c r="I2809" s="5">
        <f>IFERROR(__xludf.DUMMYFUNCTION("""COMPUTED_VALUE"""),8509.7)</f>
        <v>8509.7</v>
      </c>
      <c r="J2809" s="5">
        <f>IFERROR(__xludf.DUMMYFUNCTION("""COMPUTED_VALUE"""),1439.18)</f>
        <v>1439.18</v>
      </c>
      <c r="K2809" s="5">
        <f>IFERROR(__xludf.DUMMYFUNCTION("""COMPUTED_VALUE"""),9524.5)</f>
        <v>9524.5</v>
      </c>
      <c r="L2809" s="4">
        <f>IFERROR(__xludf.DUMMYFUNCTION("""COMPUTED_VALUE"""),3.0)</f>
        <v>3</v>
      </c>
      <c r="M2809" s="4">
        <f>IFERROR(__xludf.DUMMYFUNCTION("""COMPUTED_VALUE"""),21.0)</f>
        <v>21</v>
      </c>
      <c r="N2809" s="2" t="b">
        <f>IFERROR(__xludf.DUMMYFUNCTION("""COMPUTED_VALUE"""),FALSE)</f>
        <v>0</v>
      </c>
    </row>
    <row r="2810">
      <c r="A2810" s="2">
        <f>IFERROR(__xludf.DUMMYFUNCTION("""COMPUTED_VALUE"""),2809.0)</f>
        <v>2809</v>
      </c>
      <c r="B2810" s="2" t="str">
        <f>IFERROR(__xludf.DUMMYFUNCTION("""COMPUTED_VALUE"""),"Imelda Rameau")</f>
        <v>Imelda Rameau</v>
      </c>
      <c r="C2810" s="2" t="str">
        <f>IFERROR(__xludf.DUMMYFUNCTION("""COMPUTED_VALUE"""),"irameaumh@eepurl.com")</f>
        <v>irameaumh@eepurl.com</v>
      </c>
      <c r="D2810" s="4">
        <f>IFERROR(__xludf.DUMMYFUNCTION("""COMPUTED_VALUE"""),120.0)</f>
        <v>120</v>
      </c>
      <c r="E2810" s="4">
        <f>IFERROR(__xludf.DUMMYFUNCTION("""COMPUTED_VALUE"""),120.0)</f>
        <v>120</v>
      </c>
      <c r="F2810" s="4">
        <f>IFERROR(__xludf.DUMMYFUNCTION("""COMPUTED_VALUE"""),4.0)</f>
        <v>4</v>
      </c>
      <c r="G2810" s="4">
        <f>IFERROR(__xludf.DUMMYFUNCTION("""COMPUTED_VALUE"""),1597.0)</f>
        <v>1597</v>
      </c>
      <c r="H2810" s="5">
        <f>IFERROR(__xludf.DUMMYFUNCTION("""COMPUTED_VALUE"""),7209.79)</f>
        <v>7209.79</v>
      </c>
      <c r="I2810" s="5">
        <f>IFERROR(__xludf.DUMMYFUNCTION("""COMPUTED_VALUE"""),9329.36)</f>
        <v>9329.36</v>
      </c>
      <c r="J2810" s="5">
        <f>IFERROR(__xludf.DUMMYFUNCTION("""COMPUTED_VALUE"""),9538.52)</f>
        <v>9538.52</v>
      </c>
      <c r="K2810" s="5">
        <f>IFERROR(__xludf.DUMMYFUNCTION("""COMPUTED_VALUE"""),3889.63)</f>
        <v>3889.63</v>
      </c>
      <c r="L2810" s="4">
        <f>IFERROR(__xludf.DUMMYFUNCTION("""COMPUTED_VALUE"""),4.0)</f>
        <v>4</v>
      </c>
      <c r="M2810" s="4">
        <f>IFERROR(__xludf.DUMMYFUNCTION("""COMPUTED_VALUE"""),88.0)</f>
        <v>88</v>
      </c>
      <c r="N2810" s="2" t="b">
        <f>IFERROR(__xludf.DUMMYFUNCTION("""COMPUTED_VALUE"""),FALSE)</f>
        <v>0</v>
      </c>
    </row>
    <row r="2811">
      <c r="A2811" s="2">
        <f>IFERROR(__xludf.DUMMYFUNCTION("""COMPUTED_VALUE"""),2810.0)</f>
        <v>2810</v>
      </c>
      <c r="B2811" s="2" t="str">
        <f>IFERROR(__xludf.DUMMYFUNCTION("""COMPUTED_VALUE"""),"Janice Courtier")</f>
        <v>Janice Courtier</v>
      </c>
      <c r="C2811" s="2"/>
      <c r="D2811" s="4">
        <f>IFERROR(__xludf.DUMMYFUNCTION("""COMPUTED_VALUE"""),100.0)</f>
        <v>100</v>
      </c>
      <c r="E2811" s="4">
        <f>IFERROR(__xludf.DUMMYFUNCTION("""COMPUTED_VALUE"""),118.0)</f>
        <v>118</v>
      </c>
      <c r="F2811" s="4">
        <f>IFERROR(__xludf.DUMMYFUNCTION("""COMPUTED_VALUE"""),6.0)</f>
        <v>6</v>
      </c>
      <c r="G2811" s="4">
        <f>IFERROR(__xludf.DUMMYFUNCTION("""COMPUTED_VALUE"""),1464.0)</f>
        <v>1464</v>
      </c>
      <c r="H2811" s="5">
        <f>IFERROR(__xludf.DUMMYFUNCTION("""COMPUTED_VALUE"""),776.66)</f>
        <v>776.66</v>
      </c>
      <c r="I2811" s="5">
        <f>IFERROR(__xludf.DUMMYFUNCTION("""COMPUTED_VALUE"""),8752.66)</f>
        <v>8752.66</v>
      </c>
      <c r="J2811" s="5">
        <f>IFERROR(__xludf.DUMMYFUNCTION("""COMPUTED_VALUE"""),2912.64)</f>
        <v>2912.64</v>
      </c>
      <c r="K2811" s="5">
        <f>IFERROR(__xludf.DUMMYFUNCTION("""COMPUTED_VALUE"""),1665.94)</f>
        <v>1665.94</v>
      </c>
      <c r="L2811" s="4">
        <f>IFERROR(__xludf.DUMMYFUNCTION("""COMPUTED_VALUE"""),13.0)</f>
        <v>13</v>
      </c>
      <c r="M2811" s="4">
        <f>IFERROR(__xludf.DUMMYFUNCTION("""COMPUTED_VALUE"""),59.0)</f>
        <v>59</v>
      </c>
      <c r="N2811" s="2" t="b">
        <f>IFERROR(__xludf.DUMMYFUNCTION("""COMPUTED_VALUE"""),FALSE)</f>
        <v>0</v>
      </c>
    </row>
    <row r="2812">
      <c r="A2812" s="2">
        <f>IFERROR(__xludf.DUMMYFUNCTION("""COMPUTED_VALUE"""),2811.0)</f>
        <v>2811</v>
      </c>
      <c r="B2812" s="2" t="str">
        <f>IFERROR(__xludf.DUMMYFUNCTION("""COMPUTED_VALUE"""),"Corrina Crone")</f>
        <v>Corrina Crone</v>
      </c>
      <c r="C2812" s="2"/>
      <c r="D2812" s="4">
        <f>IFERROR(__xludf.DUMMYFUNCTION("""COMPUTED_VALUE"""),7.0)</f>
        <v>7</v>
      </c>
      <c r="E2812" s="4">
        <f>IFERROR(__xludf.DUMMYFUNCTION("""COMPUTED_VALUE"""),41.0)</f>
        <v>41</v>
      </c>
      <c r="F2812" s="4">
        <f>IFERROR(__xludf.DUMMYFUNCTION("""COMPUTED_VALUE"""),6.0)</f>
        <v>6</v>
      </c>
      <c r="G2812" s="4">
        <f>IFERROR(__xludf.DUMMYFUNCTION("""COMPUTED_VALUE"""),1240.0)</f>
        <v>1240</v>
      </c>
      <c r="H2812" s="5">
        <f>IFERROR(__xludf.DUMMYFUNCTION("""COMPUTED_VALUE"""),188.8)</f>
        <v>188.8</v>
      </c>
      <c r="I2812" s="5">
        <f>IFERROR(__xludf.DUMMYFUNCTION("""COMPUTED_VALUE"""),8550.79)</f>
        <v>8550.79</v>
      </c>
      <c r="J2812" s="5">
        <f>IFERROR(__xludf.DUMMYFUNCTION("""COMPUTED_VALUE"""),4573.71)</f>
        <v>4573.71</v>
      </c>
      <c r="K2812" s="5">
        <f>IFERROR(__xludf.DUMMYFUNCTION("""COMPUTED_VALUE"""),1099.82)</f>
        <v>1099.82</v>
      </c>
      <c r="L2812" s="4">
        <f>IFERROR(__xludf.DUMMYFUNCTION("""COMPUTED_VALUE"""),16.0)</f>
        <v>16</v>
      </c>
      <c r="M2812" s="4">
        <f>IFERROR(__xludf.DUMMYFUNCTION("""COMPUTED_VALUE"""),64.0)</f>
        <v>64</v>
      </c>
      <c r="N2812" s="2" t="b">
        <f>IFERROR(__xludf.DUMMYFUNCTION("""COMPUTED_VALUE"""),TRUE)</f>
        <v>1</v>
      </c>
    </row>
    <row r="2813">
      <c r="A2813" s="2">
        <f>IFERROR(__xludf.DUMMYFUNCTION("""COMPUTED_VALUE"""),2812.0)</f>
        <v>2812</v>
      </c>
      <c r="B2813" s="2" t="str">
        <f>IFERROR(__xludf.DUMMYFUNCTION("""COMPUTED_VALUE"""),"Editha Snassell")</f>
        <v>Editha Snassell</v>
      </c>
      <c r="C2813" s="2" t="str">
        <f>IFERROR(__xludf.DUMMYFUNCTION("""COMPUTED_VALUE"""),"esnassellmk@zdnet.com")</f>
        <v>esnassellmk@zdnet.com</v>
      </c>
      <c r="D2813" s="4">
        <f>IFERROR(__xludf.DUMMYFUNCTION("""COMPUTED_VALUE"""),59.0)</f>
        <v>59</v>
      </c>
      <c r="E2813" s="4">
        <f>IFERROR(__xludf.DUMMYFUNCTION("""COMPUTED_VALUE"""),62.0)</f>
        <v>62</v>
      </c>
      <c r="F2813" s="4">
        <f>IFERROR(__xludf.DUMMYFUNCTION("""COMPUTED_VALUE"""),8.0)</f>
        <v>8</v>
      </c>
      <c r="G2813" s="4">
        <f>IFERROR(__xludf.DUMMYFUNCTION("""COMPUTED_VALUE"""),950.0)</f>
        <v>950</v>
      </c>
      <c r="H2813" s="5">
        <f>IFERROR(__xludf.DUMMYFUNCTION("""COMPUTED_VALUE"""),6024.26)</f>
        <v>6024.26</v>
      </c>
      <c r="I2813" s="5">
        <f>IFERROR(__xludf.DUMMYFUNCTION("""COMPUTED_VALUE"""),6567.95)</f>
        <v>6567.95</v>
      </c>
      <c r="J2813" s="5">
        <f>IFERROR(__xludf.DUMMYFUNCTION("""COMPUTED_VALUE"""),8434.15)</f>
        <v>8434.15</v>
      </c>
      <c r="K2813" s="5">
        <f>IFERROR(__xludf.DUMMYFUNCTION("""COMPUTED_VALUE"""),9074.83)</f>
        <v>9074.83</v>
      </c>
      <c r="L2813" s="4">
        <f>IFERROR(__xludf.DUMMYFUNCTION("""COMPUTED_VALUE"""),14.0)</f>
        <v>14</v>
      </c>
      <c r="M2813" s="4">
        <f>IFERROR(__xludf.DUMMYFUNCTION("""COMPUTED_VALUE"""),12.0)</f>
        <v>12</v>
      </c>
      <c r="N2813" s="2" t="b">
        <f>IFERROR(__xludf.DUMMYFUNCTION("""COMPUTED_VALUE"""),TRUE)</f>
        <v>1</v>
      </c>
    </row>
    <row r="2814">
      <c r="A2814" s="2">
        <f>IFERROR(__xludf.DUMMYFUNCTION("""COMPUTED_VALUE"""),2813.0)</f>
        <v>2813</v>
      </c>
      <c r="B2814" s="2" t="str">
        <f>IFERROR(__xludf.DUMMYFUNCTION("""COMPUTED_VALUE"""),"Fawnia Donativo")</f>
        <v>Fawnia Donativo</v>
      </c>
      <c r="C2814" s="2"/>
      <c r="D2814" s="4">
        <f>IFERROR(__xludf.DUMMYFUNCTION("""COMPUTED_VALUE"""),142.0)</f>
        <v>142</v>
      </c>
      <c r="E2814" s="4">
        <f>IFERROR(__xludf.DUMMYFUNCTION("""COMPUTED_VALUE"""),75.0)</f>
        <v>75</v>
      </c>
      <c r="F2814" s="4">
        <f>IFERROR(__xludf.DUMMYFUNCTION("""COMPUTED_VALUE"""),7.0)</f>
        <v>7</v>
      </c>
      <c r="G2814" s="4">
        <f>IFERROR(__xludf.DUMMYFUNCTION("""COMPUTED_VALUE"""),1442.0)</f>
        <v>1442</v>
      </c>
      <c r="H2814" s="5">
        <f>IFERROR(__xludf.DUMMYFUNCTION("""COMPUTED_VALUE"""),7688.73)</f>
        <v>7688.73</v>
      </c>
      <c r="I2814" s="5">
        <f>IFERROR(__xludf.DUMMYFUNCTION("""COMPUTED_VALUE"""),9929.99)</f>
        <v>9929.99</v>
      </c>
      <c r="J2814" s="5">
        <f>IFERROR(__xludf.DUMMYFUNCTION("""COMPUTED_VALUE"""),7504.24)</f>
        <v>7504.24</v>
      </c>
      <c r="K2814" s="5">
        <f>IFERROR(__xludf.DUMMYFUNCTION("""COMPUTED_VALUE"""),4801.14)</f>
        <v>4801.14</v>
      </c>
      <c r="L2814" s="4">
        <f>IFERROR(__xludf.DUMMYFUNCTION("""COMPUTED_VALUE"""),5.0)</f>
        <v>5</v>
      </c>
      <c r="M2814" s="4">
        <f>IFERROR(__xludf.DUMMYFUNCTION("""COMPUTED_VALUE"""),73.0)</f>
        <v>73</v>
      </c>
      <c r="N2814" s="2" t="b">
        <f>IFERROR(__xludf.DUMMYFUNCTION("""COMPUTED_VALUE"""),TRUE)</f>
        <v>1</v>
      </c>
    </row>
    <row r="2815">
      <c r="A2815" s="2">
        <f>IFERROR(__xludf.DUMMYFUNCTION("""COMPUTED_VALUE"""),2814.0)</f>
        <v>2814</v>
      </c>
      <c r="B2815" s="2" t="str">
        <f>IFERROR(__xludf.DUMMYFUNCTION("""COMPUTED_VALUE"""),"Tobi Blissitt")</f>
        <v>Tobi Blissitt</v>
      </c>
      <c r="C2815" s="2"/>
      <c r="D2815" s="4">
        <f>IFERROR(__xludf.DUMMYFUNCTION("""COMPUTED_VALUE"""),116.0)</f>
        <v>116</v>
      </c>
      <c r="E2815" s="4">
        <f>IFERROR(__xludf.DUMMYFUNCTION("""COMPUTED_VALUE"""),41.0)</f>
        <v>41</v>
      </c>
      <c r="F2815" s="4">
        <f>IFERROR(__xludf.DUMMYFUNCTION("""COMPUTED_VALUE"""),9.0)</f>
        <v>9</v>
      </c>
      <c r="G2815" s="4">
        <f>IFERROR(__xludf.DUMMYFUNCTION("""COMPUTED_VALUE"""),639.0)</f>
        <v>639</v>
      </c>
      <c r="H2815" s="5">
        <f>IFERROR(__xludf.DUMMYFUNCTION("""COMPUTED_VALUE"""),537.31)</f>
        <v>537.31</v>
      </c>
      <c r="I2815" s="5">
        <f>IFERROR(__xludf.DUMMYFUNCTION("""COMPUTED_VALUE"""),8992.12)</f>
        <v>8992.12</v>
      </c>
      <c r="J2815" s="5">
        <f>IFERROR(__xludf.DUMMYFUNCTION("""COMPUTED_VALUE"""),1110.27)</f>
        <v>1110.27</v>
      </c>
      <c r="K2815" s="5">
        <f>IFERROR(__xludf.DUMMYFUNCTION("""COMPUTED_VALUE"""),7330.09)</f>
        <v>7330.09</v>
      </c>
      <c r="L2815" s="4">
        <f>IFERROR(__xludf.DUMMYFUNCTION("""COMPUTED_VALUE"""),13.0)</f>
        <v>13</v>
      </c>
      <c r="M2815" s="4">
        <f>IFERROR(__xludf.DUMMYFUNCTION("""COMPUTED_VALUE"""),45.0)</f>
        <v>45</v>
      </c>
      <c r="N2815" s="2" t="b">
        <f>IFERROR(__xludf.DUMMYFUNCTION("""COMPUTED_VALUE"""),FALSE)</f>
        <v>0</v>
      </c>
    </row>
    <row r="2816">
      <c r="A2816" s="2">
        <f>IFERROR(__xludf.DUMMYFUNCTION("""COMPUTED_VALUE"""),2815.0)</f>
        <v>2815</v>
      </c>
      <c r="B2816" s="2" t="str">
        <f>IFERROR(__xludf.DUMMYFUNCTION("""COMPUTED_VALUE"""),"Gray Hanham")</f>
        <v>Gray Hanham</v>
      </c>
      <c r="C2816" s="2" t="str">
        <f>IFERROR(__xludf.DUMMYFUNCTION("""COMPUTED_VALUE"""),"ghanhammn@godaddy.com")</f>
        <v>ghanhammn@godaddy.com</v>
      </c>
      <c r="D2816" s="4">
        <f>IFERROR(__xludf.DUMMYFUNCTION("""COMPUTED_VALUE"""),104.0)</f>
        <v>104</v>
      </c>
      <c r="E2816" s="4">
        <f>IFERROR(__xludf.DUMMYFUNCTION("""COMPUTED_VALUE"""),68.0)</f>
        <v>68</v>
      </c>
      <c r="F2816" s="4">
        <f>IFERROR(__xludf.DUMMYFUNCTION("""COMPUTED_VALUE"""),12.0)</f>
        <v>12</v>
      </c>
      <c r="G2816" s="4">
        <f>IFERROR(__xludf.DUMMYFUNCTION("""COMPUTED_VALUE"""),6.0)</f>
        <v>6</v>
      </c>
      <c r="H2816" s="5">
        <f>IFERROR(__xludf.DUMMYFUNCTION("""COMPUTED_VALUE"""),7748.89)</f>
        <v>7748.89</v>
      </c>
      <c r="I2816" s="5">
        <f>IFERROR(__xludf.DUMMYFUNCTION("""COMPUTED_VALUE"""),5825.81)</f>
        <v>5825.81</v>
      </c>
      <c r="J2816" s="5">
        <f>IFERROR(__xludf.DUMMYFUNCTION("""COMPUTED_VALUE"""),1517.81)</f>
        <v>1517.81</v>
      </c>
      <c r="K2816" s="5">
        <f>IFERROR(__xludf.DUMMYFUNCTION("""COMPUTED_VALUE"""),6026.16)</f>
        <v>6026.16</v>
      </c>
      <c r="L2816" s="4">
        <f>IFERROR(__xludf.DUMMYFUNCTION("""COMPUTED_VALUE"""),3.0)</f>
        <v>3</v>
      </c>
      <c r="M2816" s="4">
        <f>IFERROR(__xludf.DUMMYFUNCTION("""COMPUTED_VALUE"""),91.0)</f>
        <v>91</v>
      </c>
      <c r="N2816" s="2" t="b">
        <f>IFERROR(__xludf.DUMMYFUNCTION("""COMPUTED_VALUE"""),TRUE)</f>
        <v>1</v>
      </c>
    </row>
    <row r="2817">
      <c r="A2817" s="2">
        <f>IFERROR(__xludf.DUMMYFUNCTION("""COMPUTED_VALUE"""),2816.0)</f>
        <v>2816</v>
      </c>
      <c r="B2817" s="2" t="str">
        <f>IFERROR(__xludf.DUMMYFUNCTION("""COMPUTED_VALUE"""),"Cissy Papierz")</f>
        <v>Cissy Papierz</v>
      </c>
      <c r="C2817" s="2"/>
      <c r="D2817" s="4">
        <f>IFERROR(__xludf.DUMMYFUNCTION("""COMPUTED_VALUE"""),81.0)</f>
        <v>81</v>
      </c>
      <c r="E2817" s="4">
        <f>IFERROR(__xludf.DUMMYFUNCTION("""COMPUTED_VALUE"""),79.0)</f>
        <v>79</v>
      </c>
      <c r="F2817" s="4">
        <f>IFERROR(__xludf.DUMMYFUNCTION("""COMPUTED_VALUE"""),6.0)</f>
        <v>6</v>
      </c>
      <c r="G2817" s="4">
        <f>IFERROR(__xludf.DUMMYFUNCTION("""COMPUTED_VALUE"""),986.0)</f>
        <v>986</v>
      </c>
      <c r="H2817" s="5">
        <f>IFERROR(__xludf.DUMMYFUNCTION("""COMPUTED_VALUE"""),8536.62)</f>
        <v>8536.62</v>
      </c>
      <c r="I2817" s="5">
        <f>IFERROR(__xludf.DUMMYFUNCTION("""COMPUTED_VALUE"""),5699.1)</f>
        <v>5699.1</v>
      </c>
      <c r="J2817" s="5">
        <f>IFERROR(__xludf.DUMMYFUNCTION("""COMPUTED_VALUE"""),624.45)</f>
        <v>624.45</v>
      </c>
      <c r="K2817" s="5">
        <f>IFERROR(__xludf.DUMMYFUNCTION("""COMPUTED_VALUE"""),8962.78)</f>
        <v>8962.78</v>
      </c>
      <c r="L2817" s="4">
        <f>IFERROR(__xludf.DUMMYFUNCTION("""COMPUTED_VALUE"""),7.0)</f>
        <v>7</v>
      </c>
      <c r="M2817" s="4">
        <f>IFERROR(__xludf.DUMMYFUNCTION("""COMPUTED_VALUE"""),13.0)</f>
        <v>13</v>
      </c>
      <c r="N2817" s="2" t="b">
        <f>IFERROR(__xludf.DUMMYFUNCTION("""COMPUTED_VALUE"""),FALSE)</f>
        <v>0</v>
      </c>
    </row>
    <row r="2818">
      <c r="A2818" s="2">
        <f>IFERROR(__xludf.DUMMYFUNCTION("""COMPUTED_VALUE"""),2817.0)</f>
        <v>2817</v>
      </c>
      <c r="B2818" s="2" t="str">
        <f>IFERROR(__xludf.DUMMYFUNCTION("""COMPUTED_VALUE"""),"Alastair Crocken")</f>
        <v>Alastair Crocken</v>
      </c>
      <c r="C2818" s="2" t="str">
        <f>IFERROR(__xludf.DUMMYFUNCTION("""COMPUTED_VALUE"""),"acrockenmp@phoca.cz")</f>
        <v>acrockenmp@phoca.cz</v>
      </c>
      <c r="D2818" s="4">
        <f>IFERROR(__xludf.DUMMYFUNCTION("""COMPUTED_VALUE"""),45.0)</f>
        <v>45</v>
      </c>
      <c r="E2818" s="4">
        <f>IFERROR(__xludf.DUMMYFUNCTION("""COMPUTED_VALUE"""),100.0)</f>
        <v>100</v>
      </c>
      <c r="F2818" s="4">
        <f>IFERROR(__xludf.DUMMYFUNCTION("""COMPUTED_VALUE"""),5.0)</f>
        <v>5</v>
      </c>
      <c r="G2818" s="4">
        <f>IFERROR(__xludf.DUMMYFUNCTION("""COMPUTED_VALUE"""),570.0)</f>
        <v>570</v>
      </c>
      <c r="H2818" s="5">
        <f>IFERROR(__xludf.DUMMYFUNCTION("""COMPUTED_VALUE"""),7687.59)</f>
        <v>7687.59</v>
      </c>
      <c r="I2818" s="5">
        <f>IFERROR(__xludf.DUMMYFUNCTION("""COMPUTED_VALUE"""),8461.32)</f>
        <v>8461.32</v>
      </c>
      <c r="J2818" s="5">
        <f>IFERROR(__xludf.DUMMYFUNCTION("""COMPUTED_VALUE"""),2128.88)</f>
        <v>2128.88</v>
      </c>
      <c r="K2818" s="5">
        <f>IFERROR(__xludf.DUMMYFUNCTION("""COMPUTED_VALUE"""),7153.29)</f>
        <v>7153.29</v>
      </c>
      <c r="L2818" s="4">
        <f>IFERROR(__xludf.DUMMYFUNCTION("""COMPUTED_VALUE"""),17.0)</f>
        <v>17</v>
      </c>
      <c r="M2818" s="4">
        <f>IFERROR(__xludf.DUMMYFUNCTION("""COMPUTED_VALUE"""),84.0)</f>
        <v>84</v>
      </c>
      <c r="N2818" s="2" t="b">
        <f>IFERROR(__xludf.DUMMYFUNCTION("""COMPUTED_VALUE"""),FALSE)</f>
        <v>0</v>
      </c>
    </row>
    <row r="2819">
      <c r="A2819" s="2">
        <f>IFERROR(__xludf.DUMMYFUNCTION("""COMPUTED_VALUE"""),2818.0)</f>
        <v>2818</v>
      </c>
      <c r="B2819" s="2" t="str">
        <f>IFERROR(__xludf.DUMMYFUNCTION("""COMPUTED_VALUE"""),"Zackariah Kienzle")</f>
        <v>Zackariah Kienzle</v>
      </c>
      <c r="C2819" s="2"/>
      <c r="D2819" s="4">
        <f>IFERROR(__xludf.DUMMYFUNCTION("""COMPUTED_VALUE"""),126.0)</f>
        <v>126</v>
      </c>
      <c r="E2819" s="4">
        <f>IFERROR(__xludf.DUMMYFUNCTION("""COMPUTED_VALUE"""),101.0)</f>
        <v>101</v>
      </c>
      <c r="F2819" s="4">
        <f>IFERROR(__xludf.DUMMYFUNCTION("""COMPUTED_VALUE"""),6.0)</f>
        <v>6</v>
      </c>
      <c r="G2819" s="4">
        <f>IFERROR(__xludf.DUMMYFUNCTION("""COMPUTED_VALUE"""),455.0)</f>
        <v>455</v>
      </c>
      <c r="H2819" s="5">
        <f>IFERROR(__xludf.DUMMYFUNCTION("""COMPUTED_VALUE"""),4659.25)</f>
        <v>4659.25</v>
      </c>
      <c r="I2819" s="5">
        <f>IFERROR(__xludf.DUMMYFUNCTION("""COMPUTED_VALUE"""),757.52)</f>
        <v>757.52</v>
      </c>
      <c r="J2819" s="5">
        <f>IFERROR(__xludf.DUMMYFUNCTION("""COMPUTED_VALUE"""),879.51)</f>
        <v>879.51</v>
      </c>
      <c r="K2819" s="5">
        <f>IFERROR(__xludf.DUMMYFUNCTION("""COMPUTED_VALUE"""),702.62)</f>
        <v>702.62</v>
      </c>
      <c r="L2819" s="4">
        <f>IFERROR(__xludf.DUMMYFUNCTION("""COMPUTED_VALUE"""),3.0)</f>
        <v>3</v>
      </c>
      <c r="M2819" s="4">
        <f>IFERROR(__xludf.DUMMYFUNCTION("""COMPUTED_VALUE"""),68.0)</f>
        <v>68</v>
      </c>
      <c r="N2819" s="2" t="b">
        <f>IFERROR(__xludf.DUMMYFUNCTION("""COMPUTED_VALUE"""),FALSE)</f>
        <v>0</v>
      </c>
    </row>
    <row r="2820">
      <c r="A2820" s="2">
        <f>IFERROR(__xludf.DUMMYFUNCTION("""COMPUTED_VALUE"""),2819.0)</f>
        <v>2819</v>
      </c>
      <c r="B2820" s="2" t="str">
        <f>IFERROR(__xludf.DUMMYFUNCTION("""COMPUTED_VALUE"""),"Krysta Middlemass")</f>
        <v>Krysta Middlemass</v>
      </c>
      <c r="C2820" s="2" t="str">
        <f>IFERROR(__xludf.DUMMYFUNCTION("""COMPUTED_VALUE"""),"kmiddlemassmr@thetimes.co.uk")</f>
        <v>kmiddlemassmr@thetimes.co.uk</v>
      </c>
      <c r="D2820" s="4">
        <f>IFERROR(__xludf.DUMMYFUNCTION("""COMPUTED_VALUE"""),122.0)</f>
        <v>122</v>
      </c>
      <c r="E2820" s="4">
        <f>IFERROR(__xludf.DUMMYFUNCTION("""COMPUTED_VALUE"""),39.0)</f>
        <v>39</v>
      </c>
      <c r="F2820" s="4">
        <f>IFERROR(__xludf.DUMMYFUNCTION("""COMPUTED_VALUE"""),8.0)</f>
        <v>8</v>
      </c>
      <c r="G2820" s="4">
        <f>IFERROR(__xludf.DUMMYFUNCTION("""COMPUTED_VALUE"""),1574.0)</f>
        <v>1574</v>
      </c>
      <c r="H2820" s="5">
        <f>IFERROR(__xludf.DUMMYFUNCTION("""COMPUTED_VALUE"""),9403.18)</f>
        <v>9403.18</v>
      </c>
      <c r="I2820" s="5">
        <f>IFERROR(__xludf.DUMMYFUNCTION("""COMPUTED_VALUE"""),8620.18)</f>
        <v>8620.18</v>
      </c>
      <c r="J2820" s="5">
        <f>IFERROR(__xludf.DUMMYFUNCTION("""COMPUTED_VALUE"""),8708.23)</f>
        <v>8708.23</v>
      </c>
      <c r="K2820" s="5">
        <f>IFERROR(__xludf.DUMMYFUNCTION("""COMPUTED_VALUE"""),5015.61)</f>
        <v>5015.61</v>
      </c>
      <c r="L2820" s="4">
        <f>IFERROR(__xludf.DUMMYFUNCTION("""COMPUTED_VALUE"""),10.0)</f>
        <v>10</v>
      </c>
      <c r="M2820" s="4">
        <f>IFERROR(__xludf.DUMMYFUNCTION("""COMPUTED_VALUE"""),45.0)</f>
        <v>45</v>
      </c>
      <c r="N2820" s="2" t="b">
        <f>IFERROR(__xludf.DUMMYFUNCTION("""COMPUTED_VALUE"""),FALSE)</f>
        <v>0</v>
      </c>
    </row>
    <row r="2821">
      <c r="A2821" s="2">
        <f>IFERROR(__xludf.DUMMYFUNCTION("""COMPUTED_VALUE"""),2820.0)</f>
        <v>2820</v>
      </c>
      <c r="B2821" s="2" t="str">
        <f>IFERROR(__xludf.DUMMYFUNCTION("""COMPUTED_VALUE"""),"Harriet Pymm")</f>
        <v>Harriet Pymm</v>
      </c>
      <c r="C2821" s="2" t="str">
        <f>IFERROR(__xludf.DUMMYFUNCTION("""COMPUTED_VALUE"""),"hpymmms@nymag.com")</f>
        <v>hpymmms@nymag.com</v>
      </c>
      <c r="D2821" s="4">
        <f>IFERROR(__xludf.DUMMYFUNCTION("""COMPUTED_VALUE"""),56.0)</f>
        <v>56</v>
      </c>
      <c r="E2821" s="4">
        <f>IFERROR(__xludf.DUMMYFUNCTION("""COMPUTED_VALUE"""),60.0)</f>
        <v>60</v>
      </c>
      <c r="F2821" s="4">
        <f>IFERROR(__xludf.DUMMYFUNCTION("""COMPUTED_VALUE"""),4.0)</f>
        <v>4</v>
      </c>
      <c r="G2821" s="4">
        <f>IFERROR(__xludf.DUMMYFUNCTION("""COMPUTED_VALUE"""),576.0)</f>
        <v>576</v>
      </c>
      <c r="H2821" s="5">
        <f>IFERROR(__xludf.DUMMYFUNCTION("""COMPUTED_VALUE"""),6055.36)</f>
        <v>6055.36</v>
      </c>
      <c r="I2821" s="5">
        <f>IFERROR(__xludf.DUMMYFUNCTION("""COMPUTED_VALUE"""),2799.8)</f>
        <v>2799.8</v>
      </c>
      <c r="J2821" s="5">
        <f>IFERROR(__xludf.DUMMYFUNCTION("""COMPUTED_VALUE"""),9425.25)</f>
        <v>9425.25</v>
      </c>
      <c r="K2821" s="5">
        <f>IFERROR(__xludf.DUMMYFUNCTION("""COMPUTED_VALUE"""),4031.63)</f>
        <v>4031.63</v>
      </c>
      <c r="L2821" s="4">
        <f>IFERROR(__xludf.DUMMYFUNCTION("""COMPUTED_VALUE"""),18.0)</f>
        <v>18</v>
      </c>
      <c r="M2821" s="4">
        <f>IFERROR(__xludf.DUMMYFUNCTION("""COMPUTED_VALUE"""),52.0)</f>
        <v>52</v>
      </c>
      <c r="N2821" s="2" t="b">
        <f>IFERROR(__xludf.DUMMYFUNCTION("""COMPUTED_VALUE"""),FALSE)</f>
        <v>0</v>
      </c>
    </row>
    <row r="2822">
      <c r="A2822" s="2">
        <f>IFERROR(__xludf.DUMMYFUNCTION("""COMPUTED_VALUE"""),2821.0)</f>
        <v>2821</v>
      </c>
      <c r="B2822" s="2" t="str">
        <f>IFERROR(__xludf.DUMMYFUNCTION("""COMPUTED_VALUE"""),"Seka Aucourte")</f>
        <v>Seka Aucourte</v>
      </c>
      <c r="C2822" s="2" t="str">
        <f>IFERROR(__xludf.DUMMYFUNCTION("""COMPUTED_VALUE"""),"saucourtemt@youku.com")</f>
        <v>saucourtemt@youku.com</v>
      </c>
      <c r="D2822" s="4">
        <f>IFERROR(__xludf.DUMMYFUNCTION("""COMPUTED_VALUE"""),147.0)</f>
        <v>147</v>
      </c>
      <c r="E2822" s="4">
        <f>IFERROR(__xludf.DUMMYFUNCTION("""COMPUTED_VALUE"""),14.0)</f>
        <v>14</v>
      </c>
      <c r="F2822" s="4">
        <f>IFERROR(__xludf.DUMMYFUNCTION("""COMPUTED_VALUE"""),6.0)</f>
        <v>6</v>
      </c>
      <c r="G2822" s="4">
        <f>IFERROR(__xludf.DUMMYFUNCTION("""COMPUTED_VALUE"""),1499.0)</f>
        <v>1499</v>
      </c>
      <c r="H2822" s="5">
        <f>IFERROR(__xludf.DUMMYFUNCTION("""COMPUTED_VALUE"""),8791.95)</f>
        <v>8791.95</v>
      </c>
      <c r="I2822" s="5">
        <f>IFERROR(__xludf.DUMMYFUNCTION("""COMPUTED_VALUE"""),1302.61)</f>
        <v>1302.61</v>
      </c>
      <c r="J2822" s="5">
        <f>IFERROR(__xludf.DUMMYFUNCTION("""COMPUTED_VALUE"""),7699.12)</f>
        <v>7699.12</v>
      </c>
      <c r="K2822" s="5">
        <f>IFERROR(__xludf.DUMMYFUNCTION("""COMPUTED_VALUE"""),1105.45)</f>
        <v>1105.45</v>
      </c>
      <c r="L2822" s="4">
        <f>IFERROR(__xludf.DUMMYFUNCTION("""COMPUTED_VALUE"""),14.0)</f>
        <v>14</v>
      </c>
      <c r="M2822" s="4">
        <f>IFERROR(__xludf.DUMMYFUNCTION("""COMPUTED_VALUE"""),91.0)</f>
        <v>91</v>
      </c>
      <c r="N2822" s="2" t="b">
        <f>IFERROR(__xludf.DUMMYFUNCTION("""COMPUTED_VALUE"""),TRUE)</f>
        <v>1</v>
      </c>
    </row>
    <row r="2823">
      <c r="A2823" s="2">
        <f>IFERROR(__xludf.DUMMYFUNCTION("""COMPUTED_VALUE"""),2822.0)</f>
        <v>2822</v>
      </c>
      <c r="B2823" s="2" t="str">
        <f>IFERROR(__xludf.DUMMYFUNCTION("""COMPUTED_VALUE"""),"Kellyann Brute")</f>
        <v>Kellyann Brute</v>
      </c>
      <c r="C2823" s="2"/>
      <c r="D2823" s="4">
        <f>IFERROR(__xludf.DUMMYFUNCTION("""COMPUTED_VALUE"""),108.0)</f>
        <v>108</v>
      </c>
      <c r="E2823" s="4">
        <f>IFERROR(__xludf.DUMMYFUNCTION("""COMPUTED_VALUE"""),117.0)</f>
        <v>117</v>
      </c>
      <c r="F2823" s="4">
        <f>IFERROR(__xludf.DUMMYFUNCTION("""COMPUTED_VALUE"""),2.0)</f>
        <v>2</v>
      </c>
      <c r="G2823" s="4">
        <f>IFERROR(__xludf.DUMMYFUNCTION("""COMPUTED_VALUE"""),317.0)</f>
        <v>317</v>
      </c>
      <c r="H2823" s="5">
        <f>IFERROR(__xludf.DUMMYFUNCTION("""COMPUTED_VALUE"""),9485.57)</f>
        <v>9485.57</v>
      </c>
      <c r="I2823" s="5">
        <f>IFERROR(__xludf.DUMMYFUNCTION("""COMPUTED_VALUE"""),2393.77)</f>
        <v>2393.77</v>
      </c>
      <c r="J2823" s="5">
        <f>IFERROR(__xludf.DUMMYFUNCTION("""COMPUTED_VALUE"""),2505.45)</f>
        <v>2505.45</v>
      </c>
      <c r="K2823" s="5">
        <f>IFERROR(__xludf.DUMMYFUNCTION("""COMPUTED_VALUE"""),2949.0)</f>
        <v>2949</v>
      </c>
      <c r="L2823" s="4">
        <f>IFERROR(__xludf.DUMMYFUNCTION("""COMPUTED_VALUE"""),12.0)</f>
        <v>12</v>
      </c>
      <c r="M2823" s="4">
        <f>IFERROR(__xludf.DUMMYFUNCTION("""COMPUTED_VALUE"""),73.0)</f>
        <v>73</v>
      </c>
      <c r="N2823" s="2" t="b">
        <f>IFERROR(__xludf.DUMMYFUNCTION("""COMPUTED_VALUE"""),FALSE)</f>
        <v>0</v>
      </c>
    </row>
    <row r="2824">
      <c r="A2824" s="2">
        <f>IFERROR(__xludf.DUMMYFUNCTION("""COMPUTED_VALUE"""),2823.0)</f>
        <v>2823</v>
      </c>
      <c r="B2824" s="2" t="str">
        <f>IFERROR(__xludf.DUMMYFUNCTION("""COMPUTED_VALUE"""),"Ade Lestrange")</f>
        <v>Ade Lestrange</v>
      </c>
      <c r="C2824" s="2" t="str">
        <f>IFERROR(__xludf.DUMMYFUNCTION("""COMPUTED_VALUE"""),"alestrangemv@reverbnation.com")</f>
        <v>alestrangemv@reverbnation.com</v>
      </c>
      <c r="D2824" s="4">
        <f>IFERROR(__xludf.DUMMYFUNCTION("""COMPUTED_VALUE"""),29.0)</f>
        <v>29</v>
      </c>
      <c r="E2824" s="4">
        <f>IFERROR(__xludf.DUMMYFUNCTION("""COMPUTED_VALUE"""),75.0)</f>
        <v>75</v>
      </c>
      <c r="F2824" s="4">
        <f>IFERROR(__xludf.DUMMYFUNCTION("""COMPUTED_VALUE"""),5.0)</f>
        <v>5</v>
      </c>
      <c r="G2824" s="4">
        <f>IFERROR(__xludf.DUMMYFUNCTION("""COMPUTED_VALUE"""),122.0)</f>
        <v>122</v>
      </c>
      <c r="H2824" s="5">
        <f>IFERROR(__xludf.DUMMYFUNCTION("""COMPUTED_VALUE"""),4568.02)</f>
        <v>4568.02</v>
      </c>
      <c r="I2824" s="5">
        <f>IFERROR(__xludf.DUMMYFUNCTION("""COMPUTED_VALUE"""),8001.86)</f>
        <v>8001.86</v>
      </c>
      <c r="J2824" s="5">
        <f>IFERROR(__xludf.DUMMYFUNCTION("""COMPUTED_VALUE"""),8050.92)</f>
        <v>8050.92</v>
      </c>
      <c r="K2824" s="5">
        <f>IFERROR(__xludf.DUMMYFUNCTION("""COMPUTED_VALUE"""),836.88)</f>
        <v>836.88</v>
      </c>
      <c r="L2824" s="4">
        <f>IFERROR(__xludf.DUMMYFUNCTION("""COMPUTED_VALUE"""),12.0)</f>
        <v>12</v>
      </c>
      <c r="M2824" s="4">
        <f>IFERROR(__xludf.DUMMYFUNCTION("""COMPUTED_VALUE"""),50.0)</f>
        <v>50</v>
      </c>
      <c r="N2824" s="2" t="b">
        <f>IFERROR(__xludf.DUMMYFUNCTION("""COMPUTED_VALUE"""),TRUE)</f>
        <v>1</v>
      </c>
    </row>
    <row r="2825">
      <c r="A2825" s="2">
        <f>IFERROR(__xludf.DUMMYFUNCTION("""COMPUTED_VALUE"""),2824.0)</f>
        <v>2824</v>
      </c>
      <c r="B2825" s="2" t="str">
        <f>IFERROR(__xludf.DUMMYFUNCTION("""COMPUTED_VALUE"""),"Humfrey Ballston")</f>
        <v>Humfrey Ballston</v>
      </c>
      <c r="C2825" s="2" t="str">
        <f>IFERROR(__xludf.DUMMYFUNCTION("""COMPUTED_VALUE"""),"hballstonmw@about.com")</f>
        <v>hballstonmw@about.com</v>
      </c>
      <c r="D2825" s="4">
        <f>IFERROR(__xludf.DUMMYFUNCTION("""COMPUTED_VALUE"""),3.0)</f>
        <v>3</v>
      </c>
      <c r="E2825" s="4">
        <f>IFERROR(__xludf.DUMMYFUNCTION("""COMPUTED_VALUE"""),71.0)</f>
        <v>71</v>
      </c>
      <c r="F2825" s="4">
        <f>IFERROR(__xludf.DUMMYFUNCTION("""COMPUTED_VALUE"""),11.0)</f>
        <v>11</v>
      </c>
      <c r="G2825" s="4">
        <f>IFERROR(__xludf.DUMMYFUNCTION("""COMPUTED_VALUE"""),132.0)</f>
        <v>132</v>
      </c>
      <c r="H2825" s="5">
        <f>IFERROR(__xludf.DUMMYFUNCTION("""COMPUTED_VALUE"""),7159.44)</f>
        <v>7159.44</v>
      </c>
      <c r="I2825" s="5">
        <f>IFERROR(__xludf.DUMMYFUNCTION("""COMPUTED_VALUE"""),4848.06)</f>
        <v>4848.06</v>
      </c>
      <c r="J2825" s="5">
        <f>IFERROR(__xludf.DUMMYFUNCTION("""COMPUTED_VALUE"""),9635.47)</f>
        <v>9635.47</v>
      </c>
      <c r="K2825" s="5">
        <f>IFERROR(__xludf.DUMMYFUNCTION("""COMPUTED_VALUE"""),3817.63)</f>
        <v>3817.63</v>
      </c>
      <c r="L2825" s="4">
        <f>IFERROR(__xludf.DUMMYFUNCTION("""COMPUTED_VALUE"""),16.0)</f>
        <v>16</v>
      </c>
      <c r="M2825" s="4">
        <f>IFERROR(__xludf.DUMMYFUNCTION("""COMPUTED_VALUE"""),33.0)</f>
        <v>33</v>
      </c>
      <c r="N2825" s="2" t="b">
        <f>IFERROR(__xludf.DUMMYFUNCTION("""COMPUTED_VALUE"""),FALSE)</f>
        <v>0</v>
      </c>
    </row>
    <row r="2826">
      <c r="A2826" s="2">
        <f>IFERROR(__xludf.DUMMYFUNCTION("""COMPUTED_VALUE"""),2825.0)</f>
        <v>2825</v>
      </c>
      <c r="B2826" s="2" t="str">
        <f>IFERROR(__xludf.DUMMYFUNCTION("""COMPUTED_VALUE"""),"Ginelle Brimilcombe")</f>
        <v>Ginelle Brimilcombe</v>
      </c>
      <c r="C2826" s="2"/>
      <c r="D2826" s="4">
        <f>IFERROR(__xludf.DUMMYFUNCTION("""COMPUTED_VALUE"""),75.0)</f>
        <v>75</v>
      </c>
      <c r="E2826" s="4">
        <f>IFERROR(__xludf.DUMMYFUNCTION("""COMPUTED_VALUE"""),76.0)</f>
        <v>76</v>
      </c>
      <c r="F2826" s="4">
        <f>IFERROR(__xludf.DUMMYFUNCTION("""COMPUTED_VALUE"""),1.0)</f>
        <v>1</v>
      </c>
      <c r="G2826" s="4">
        <f>IFERROR(__xludf.DUMMYFUNCTION("""COMPUTED_VALUE"""),949.0)</f>
        <v>949</v>
      </c>
      <c r="H2826" s="5">
        <f>IFERROR(__xludf.DUMMYFUNCTION("""COMPUTED_VALUE"""),3575.2)</f>
        <v>3575.2</v>
      </c>
      <c r="I2826" s="5">
        <f>IFERROR(__xludf.DUMMYFUNCTION("""COMPUTED_VALUE"""),9655.49)</f>
        <v>9655.49</v>
      </c>
      <c r="J2826" s="5">
        <f>IFERROR(__xludf.DUMMYFUNCTION("""COMPUTED_VALUE"""),8417.57)</f>
        <v>8417.57</v>
      </c>
      <c r="K2826" s="5">
        <f>IFERROR(__xludf.DUMMYFUNCTION("""COMPUTED_VALUE"""),66.0)</f>
        <v>66</v>
      </c>
      <c r="L2826" s="4">
        <f>IFERROR(__xludf.DUMMYFUNCTION("""COMPUTED_VALUE"""),9.0)</f>
        <v>9</v>
      </c>
      <c r="M2826" s="4">
        <f>IFERROR(__xludf.DUMMYFUNCTION("""COMPUTED_VALUE"""),78.0)</f>
        <v>78</v>
      </c>
      <c r="N2826" s="2" t="b">
        <f>IFERROR(__xludf.DUMMYFUNCTION("""COMPUTED_VALUE"""),TRUE)</f>
        <v>1</v>
      </c>
    </row>
    <row r="2827">
      <c r="A2827" s="2">
        <f>IFERROR(__xludf.DUMMYFUNCTION("""COMPUTED_VALUE"""),2826.0)</f>
        <v>2826</v>
      </c>
      <c r="B2827" s="2" t="str">
        <f>IFERROR(__xludf.DUMMYFUNCTION("""COMPUTED_VALUE"""),"Livvyy Everex")</f>
        <v>Livvyy Everex</v>
      </c>
      <c r="C2827" s="2"/>
      <c r="D2827" s="4">
        <f>IFERROR(__xludf.DUMMYFUNCTION("""COMPUTED_VALUE"""),102.0)</f>
        <v>102</v>
      </c>
      <c r="E2827" s="4">
        <f>IFERROR(__xludf.DUMMYFUNCTION("""COMPUTED_VALUE"""),93.0)</f>
        <v>93</v>
      </c>
      <c r="F2827" s="4">
        <f>IFERROR(__xludf.DUMMYFUNCTION("""COMPUTED_VALUE"""),7.0)</f>
        <v>7</v>
      </c>
      <c r="G2827" s="4">
        <f>IFERROR(__xludf.DUMMYFUNCTION("""COMPUTED_VALUE"""),836.0)</f>
        <v>836</v>
      </c>
      <c r="H2827" s="5">
        <f>IFERROR(__xludf.DUMMYFUNCTION("""COMPUTED_VALUE"""),6957.48)</f>
        <v>6957.48</v>
      </c>
      <c r="I2827" s="5">
        <f>IFERROR(__xludf.DUMMYFUNCTION("""COMPUTED_VALUE"""),3434.0)</f>
        <v>3434</v>
      </c>
      <c r="J2827" s="5">
        <f>IFERROR(__xludf.DUMMYFUNCTION("""COMPUTED_VALUE"""),6592.34)</f>
        <v>6592.34</v>
      </c>
      <c r="K2827" s="5">
        <f>IFERROR(__xludf.DUMMYFUNCTION("""COMPUTED_VALUE"""),2600.99)</f>
        <v>2600.99</v>
      </c>
      <c r="L2827" s="4">
        <f>IFERROR(__xludf.DUMMYFUNCTION("""COMPUTED_VALUE"""),15.0)</f>
        <v>15</v>
      </c>
      <c r="M2827" s="4">
        <f>IFERROR(__xludf.DUMMYFUNCTION("""COMPUTED_VALUE"""),41.0)</f>
        <v>41</v>
      </c>
      <c r="N2827" s="2" t="b">
        <f>IFERROR(__xludf.DUMMYFUNCTION("""COMPUTED_VALUE"""),FALSE)</f>
        <v>0</v>
      </c>
    </row>
    <row r="2828">
      <c r="A2828" s="2">
        <f>IFERROR(__xludf.DUMMYFUNCTION("""COMPUTED_VALUE"""),2827.0)</f>
        <v>2827</v>
      </c>
      <c r="B2828" s="2" t="str">
        <f>IFERROR(__xludf.DUMMYFUNCTION("""COMPUTED_VALUE"""),"Lydon Loder")</f>
        <v>Lydon Loder</v>
      </c>
      <c r="C2828" s="2"/>
      <c r="D2828" s="4">
        <f>IFERROR(__xludf.DUMMYFUNCTION("""COMPUTED_VALUE"""),128.0)</f>
        <v>128</v>
      </c>
      <c r="E2828" s="4">
        <f>IFERROR(__xludf.DUMMYFUNCTION("""COMPUTED_VALUE"""),87.0)</f>
        <v>87</v>
      </c>
      <c r="F2828" s="4">
        <f>IFERROR(__xludf.DUMMYFUNCTION("""COMPUTED_VALUE"""),8.0)</f>
        <v>8</v>
      </c>
      <c r="G2828" s="4">
        <f>IFERROR(__xludf.DUMMYFUNCTION("""COMPUTED_VALUE"""),999.0)</f>
        <v>999</v>
      </c>
      <c r="H2828" s="5">
        <f>IFERROR(__xludf.DUMMYFUNCTION("""COMPUTED_VALUE"""),5601.49)</f>
        <v>5601.49</v>
      </c>
      <c r="I2828" s="5">
        <f>IFERROR(__xludf.DUMMYFUNCTION("""COMPUTED_VALUE"""),6850.56)</f>
        <v>6850.56</v>
      </c>
      <c r="J2828" s="5">
        <f>IFERROR(__xludf.DUMMYFUNCTION("""COMPUTED_VALUE"""),9316.36)</f>
        <v>9316.36</v>
      </c>
      <c r="K2828" s="5">
        <f>IFERROR(__xludf.DUMMYFUNCTION("""COMPUTED_VALUE"""),4765.4)</f>
        <v>4765.4</v>
      </c>
      <c r="L2828" s="4">
        <f>IFERROR(__xludf.DUMMYFUNCTION("""COMPUTED_VALUE"""),18.0)</f>
        <v>18</v>
      </c>
      <c r="M2828" s="4">
        <f>IFERROR(__xludf.DUMMYFUNCTION("""COMPUTED_VALUE"""),27.0)</f>
        <v>27</v>
      </c>
      <c r="N2828" s="2" t="b">
        <f>IFERROR(__xludf.DUMMYFUNCTION("""COMPUTED_VALUE"""),FALSE)</f>
        <v>0</v>
      </c>
    </row>
    <row r="2829">
      <c r="A2829" s="2">
        <f>IFERROR(__xludf.DUMMYFUNCTION("""COMPUTED_VALUE"""),2828.0)</f>
        <v>2828</v>
      </c>
      <c r="B2829" s="2" t="str">
        <f>IFERROR(__xludf.DUMMYFUNCTION("""COMPUTED_VALUE"""),"Cozmo Kibbey")</f>
        <v>Cozmo Kibbey</v>
      </c>
      <c r="C2829" s="2"/>
      <c r="D2829" s="4">
        <f>IFERROR(__xludf.DUMMYFUNCTION("""COMPUTED_VALUE"""),67.0)</f>
        <v>67</v>
      </c>
      <c r="E2829" s="4">
        <f>IFERROR(__xludf.DUMMYFUNCTION("""COMPUTED_VALUE"""),122.0)</f>
        <v>122</v>
      </c>
      <c r="F2829" s="4">
        <f>IFERROR(__xludf.DUMMYFUNCTION("""COMPUTED_VALUE"""),1.0)</f>
        <v>1</v>
      </c>
      <c r="G2829" s="4">
        <f>IFERROR(__xludf.DUMMYFUNCTION("""COMPUTED_VALUE"""),965.0)</f>
        <v>965</v>
      </c>
      <c r="H2829" s="5">
        <f>IFERROR(__xludf.DUMMYFUNCTION("""COMPUTED_VALUE"""),8897.84)</f>
        <v>8897.84</v>
      </c>
      <c r="I2829" s="5">
        <f>IFERROR(__xludf.DUMMYFUNCTION("""COMPUTED_VALUE"""),8518.83)</f>
        <v>8518.83</v>
      </c>
      <c r="J2829" s="5">
        <f>IFERROR(__xludf.DUMMYFUNCTION("""COMPUTED_VALUE"""),6811.72)</f>
        <v>6811.72</v>
      </c>
      <c r="K2829" s="5">
        <f>IFERROR(__xludf.DUMMYFUNCTION("""COMPUTED_VALUE"""),6654.28)</f>
        <v>6654.28</v>
      </c>
      <c r="L2829" s="4">
        <f>IFERROR(__xludf.DUMMYFUNCTION("""COMPUTED_VALUE"""),17.0)</f>
        <v>17</v>
      </c>
      <c r="M2829" s="4">
        <f>IFERROR(__xludf.DUMMYFUNCTION("""COMPUTED_VALUE"""),34.0)</f>
        <v>34</v>
      </c>
      <c r="N2829" s="2" t="b">
        <f>IFERROR(__xludf.DUMMYFUNCTION("""COMPUTED_VALUE"""),TRUE)</f>
        <v>1</v>
      </c>
    </row>
    <row r="2830">
      <c r="A2830" s="2">
        <f>IFERROR(__xludf.DUMMYFUNCTION("""COMPUTED_VALUE"""),2829.0)</f>
        <v>2829</v>
      </c>
      <c r="B2830" s="2" t="str">
        <f>IFERROR(__xludf.DUMMYFUNCTION("""COMPUTED_VALUE"""),"Lutero Klein")</f>
        <v>Lutero Klein</v>
      </c>
      <c r="C2830" s="2"/>
      <c r="D2830" s="4">
        <f>IFERROR(__xludf.DUMMYFUNCTION("""COMPUTED_VALUE"""),45.0)</f>
        <v>45</v>
      </c>
      <c r="E2830" s="4">
        <f>IFERROR(__xludf.DUMMYFUNCTION("""COMPUTED_VALUE"""),29.0)</f>
        <v>29</v>
      </c>
      <c r="F2830" s="4">
        <f>IFERROR(__xludf.DUMMYFUNCTION("""COMPUTED_VALUE"""),12.0)</f>
        <v>12</v>
      </c>
      <c r="G2830" s="4">
        <f>IFERROR(__xludf.DUMMYFUNCTION("""COMPUTED_VALUE"""),486.0)</f>
        <v>486</v>
      </c>
      <c r="H2830" s="5">
        <f>IFERROR(__xludf.DUMMYFUNCTION("""COMPUTED_VALUE"""),3935.03)</f>
        <v>3935.03</v>
      </c>
      <c r="I2830" s="5">
        <f>IFERROR(__xludf.DUMMYFUNCTION("""COMPUTED_VALUE"""),1667.26)</f>
        <v>1667.26</v>
      </c>
      <c r="J2830" s="5">
        <f>IFERROR(__xludf.DUMMYFUNCTION("""COMPUTED_VALUE"""),6877.54)</f>
        <v>6877.54</v>
      </c>
      <c r="K2830" s="5">
        <f>IFERROR(__xludf.DUMMYFUNCTION("""COMPUTED_VALUE"""),2285.09)</f>
        <v>2285.09</v>
      </c>
      <c r="L2830" s="4">
        <f>IFERROR(__xludf.DUMMYFUNCTION("""COMPUTED_VALUE"""),14.0)</f>
        <v>14</v>
      </c>
      <c r="M2830" s="4">
        <f>IFERROR(__xludf.DUMMYFUNCTION("""COMPUTED_VALUE"""),49.0)</f>
        <v>49</v>
      </c>
      <c r="N2830" s="2" t="b">
        <f>IFERROR(__xludf.DUMMYFUNCTION("""COMPUTED_VALUE"""),FALSE)</f>
        <v>0</v>
      </c>
    </row>
    <row r="2831">
      <c r="A2831" s="2">
        <f>IFERROR(__xludf.DUMMYFUNCTION("""COMPUTED_VALUE"""),2830.0)</f>
        <v>2830</v>
      </c>
      <c r="B2831" s="2" t="str">
        <f>IFERROR(__xludf.DUMMYFUNCTION("""COMPUTED_VALUE"""),"Humbert Loggie")</f>
        <v>Humbert Loggie</v>
      </c>
      <c r="C2831" s="2" t="str">
        <f>IFERROR(__xludf.DUMMYFUNCTION("""COMPUTED_VALUE"""),"hloggien2@ihg.com")</f>
        <v>hloggien2@ihg.com</v>
      </c>
      <c r="D2831" s="4">
        <f>IFERROR(__xludf.DUMMYFUNCTION("""COMPUTED_VALUE"""),60.0)</f>
        <v>60</v>
      </c>
      <c r="E2831" s="4">
        <f>IFERROR(__xludf.DUMMYFUNCTION("""COMPUTED_VALUE"""),18.0)</f>
        <v>18</v>
      </c>
      <c r="F2831" s="4">
        <f>IFERROR(__xludf.DUMMYFUNCTION("""COMPUTED_VALUE"""),9.0)</f>
        <v>9</v>
      </c>
      <c r="G2831" s="4">
        <f>IFERROR(__xludf.DUMMYFUNCTION("""COMPUTED_VALUE"""),1190.0)</f>
        <v>1190</v>
      </c>
      <c r="H2831" s="5">
        <f>IFERROR(__xludf.DUMMYFUNCTION("""COMPUTED_VALUE"""),8483.2)</f>
        <v>8483.2</v>
      </c>
      <c r="I2831" s="5">
        <f>IFERROR(__xludf.DUMMYFUNCTION("""COMPUTED_VALUE"""),1570.9)</f>
        <v>1570.9</v>
      </c>
      <c r="J2831" s="5">
        <f>IFERROR(__xludf.DUMMYFUNCTION("""COMPUTED_VALUE"""),291.48)</f>
        <v>291.48</v>
      </c>
      <c r="K2831" s="5">
        <f>IFERROR(__xludf.DUMMYFUNCTION("""COMPUTED_VALUE"""),213.1)</f>
        <v>213.1</v>
      </c>
      <c r="L2831" s="4">
        <f>IFERROR(__xludf.DUMMYFUNCTION("""COMPUTED_VALUE"""),11.0)</f>
        <v>11</v>
      </c>
      <c r="M2831" s="4">
        <f>IFERROR(__xludf.DUMMYFUNCTION("""COMPUTED_VALUE"""),38.0)</f>
        <v>38</v>
      </c>
      <c r="N2831" s="2" t="b">
        <f>IFERROR(__xludf.DUMMYFUNCTION("""COMPUTED_VALUE"""),TRUE)</f>
        <v>1</v>
      </c>
    </row>
    <row r="2832">
      <c r="A2832" s="2">
        <f>IFERROR(__xludf.DUMMYFUNCTION("""COMPUTED_VALUE"""),2831.0)</f>
        <v>2831</v>
      </c>
      <c r="B2832" s="2" t="str">
        <f>IFERROR(__xludf.DUMMYFUNCTION("""COMPUTED_VALUE"""),"Leontyne Remon")</f>
        <v>Leontyne Remon</v>
      </c>
      <c r="C2832" s="2" t="str">
        <f>IFERROR(__xludf.DUMMYFUNCTION("""COMPUTED_VALUE"""),"lremonn3@google.com.br")</f>
        <v>lremonn3@google.com.br</v>
      </c>
      <c r="D2832" s="4">
        <f>IFERROR(__xludf.DUMMYFUNCTION("""COMPUTED_VALUE"""),123.0)</f>
        <v>123</v>
      </c>
      <c r="E2832" s="4">
        <f>IFERROR(__xludf.DUMMYFUNCTION("""COMPUTED_VALUE"""),57.0)</f>
        <v>57</v>
      </c>
      <c r="F2832" s="4">
        <f>IFERROR(__xludf.DUMMYFUNCTION("""COMPUTED_VALUE"""),13.0)</f>
        <v>13</v>
      </c>
      <c r="G2832" s="4">
        <f>IFERROR(__xludf.DUMMYFUNCTION("""COMPUTED_VALUE"""),925.0)</f>
        <v>925</v>
      </c>
      <c r="H2832" s="5">
        <f>IFERROR(__xludf.DUMMYFUNCTION("""COMPUTED_VALUE"""),610.46)</f>
        <v>610.46</v>
      </c>
      <c r="I2832" s="5">
        <f>IFERROR(__xludf.DUMMYFUNCTION("""COMPUTED_VALUE"""),3157.35)</f>
        <v>3157.35</v>
      </c>
      <c r="J2832" s="5">
        <f>IFERROR(__xludf.DUMMYFUNCTION("""COMPUTED_VALUE"""),2194.71)</f>
        <v>2194.71</v>
      </c>
      <c r="K2832" s="5">
        <f>IFERROR(__xludf.DUMMYFUNCTION("""COMPUTED_VALUE"""),5032.17)</f>
        <v>5032.17</v>
      </c>
      <c r="L2832" s="4">
        <f>IFERROR(__xludf.DUMMYFUNCTION("""COMPUTED_VALUE"""),1.0)</f>
        <v>1</v>
      </c>
      <c r="M2832" s="4">
        <f>IFERROR(__xludf.DUMMYFUNCTION("""COMPUTED_VALUE"""),83.0)</f>
        <v>83</v>
      </c>
      <c r="N2832" s="2" t="b">
        <f>IFERROR(__xludf.DUMMYFUNCTION("""COMPUTED_VALUE"""),FALSE)</f>
        <v>0</v>
      </c>
    </row>
    <row r="2833">
      <c r="A2833" s="2">
        <f>IFERROR(__xludf.DUMMYFUNCTION("""COMPUTED_VALUE"""),2832.0)</f>
        <v>2832</v>
      </c>
      <c r="B2833" s="2" t="str">
        <f>IFERROR(__xludf.DUMMYFUNCTION("""COMPUTED_VALUE"""),"Fredia Broomhall")</f>
        <v>Fredia Broomhall</v>
      </c>
      <c r="C2833" s="2"/>
      <c r="D2833" s="4">
        <f>IFERROR(__xludf.DUMMYFUNCTION("""COMPUTED_VALUE"""),91.0)</f>
        <v>91</v>
      </c>
      <c r="E2833" s="4">
        <f>IFERROR(__xludf.DUMMYFUNCTION("""COMPUTED_VALUE"""),85.0)</f>
        <v>85</v>
      </c>
      <c r="F2833" s="4">
        <f>IFERROR(__xludf.DUMMYFUNCTION("""COMPUTED_VALUE"""),9.0)</f>
        <v>9</v>
      </c>
      <c r="G2833" s="4">
        <f>IFERROR(__xludf.DUMMYFUNCTION("""COMPUTED_VALUE"""),277.0)</f>
        <v>277</v>
      </c>
      <c r="H2833" s="5">
        <f>IFERROR(__xludf.DUMMYFUNCTION("""COMPUTED_VALUE"""),6065.7)</f>
        <v>6065.7</v>
      </c>
      <c r="I2833" s="5">
        <f>IFERROR(__xludf.DUMMYFUNCTION("""COMPUTED_VALUE"""),8085.11)</f>
        <v>8085.11</v>
      </c>
      <c r="J2833" s="5">
        <f>IFERROR(__xludf.DUMMYFUNCTION("""COMPUTED_VALUE"""),9037.93)</f>
        <v>9037.93</v>
      </c>
      <c r="K2833" s="5">
        <f>IFERROR(__xludf.DUMMYFUNCTION("""COMPUTED_VALUE"""),2596.29)</f>
        <v>2596.29</v>
      </c>
      <c r="L2833" s="4">
        <f>IFERROR(__xludf.DUMMYFUNCTION("""COMPUTED_VALUE"""),16.0)</f>
        <v>16</v>
      </c>
      <c r="M2833" s="4">
        <f>IFERROR(__xludf.DUMMYFUNCTION("""COMPUTED_VALUE"""),41.0)</f>
        <v>41</v>
      </c>
      <c r="N2833" s="2" t="b">
        <f>IFERROR(__xludf.DUMMYFUNCTION("""COMPUTED_VALUE"""),TRUE)</f>
        <v>1</v>
      </c>
    </row>
    <row r="2834">
      <c r="A2834" s="2">
        <f>IFERROR(__xludf.DUMMYFUNCTION("""COMPUTED_VALUE"""),2833.0)</f>
        <v>2833</v>
      </c>
      <c r="B2834" s="2" t="str">
        <f>IFERROR(__xludf.DUMMYFUNCTION("""COMPUTED_VALUE"""),"Gregorius Pettinger")</f>
        <v>Gregorius Pettinger</v>
      </c>
      <c r="C2834" s="2"/>
      <c r="D2834" s="4">
        <f>IFERROR(__xludf.DUMMYFUNCTION("""COMPUTED_VALUE"""),56.0)</f>
        <v>56</v>
      </c>
      <c r="E2834" s="4">
        <f>IFERROR(__xludf.DUMMYFUNCTION("""COMPUTED_VALUE"""),84.0)</f>
        <v>84</v>
      </c>
      <c r="F2834" s="4">
        <f>IFERROR(__xludf.DUMMYFUNCTION("""COMPUTED_VALUE"""),10.0)</f>
        <v>10</v>
      </c>
      <c r="G2834" s="4">
        <f>IFERROR(__xludf.DUMMYFUNCTION("""COMPUTED_VALUE"""),1121.0)</f>
        <v>1121</v>
      </c>
      <c r="H2834" s="5">
        <f>IFERROR(__xludf.DUMMYFUNCTION("""COMPUTED_VALUE"""),1600.89)</f>
        <v>1600.89</v>
      </c>
      <c r="I2834" s="5">
        <f>IFERROR(__xludf.DUMMYFUNCTION("""COMPUTED_VALUE"""),2246.34)</f>
        <v>2246.34</v>
      </c>
      <c r="J2834" s="5">
        <f>IFERROR(__xludf.DUMMYFUNCTION("""COMPUTED_VALUE"""),8338.53)</f>
        <v>8338.53</v>
      </c>
      <c r="K2834" s="5">
        <f>IFERROR(__xludf.DUMMYFUNCTION("""COMPUTED_VALUE"""),1233.21)</f>
        <v>1233.21</v>
      </c>
      <c r="L2834" s="4">
        <f>IFERROR(__xludf.DUMMYFUNCTION("""COMPUTED_VALUE"""),20.0)</f>
        <v>20</v>
      </c>
      <c r="M2834" s="4">
        <f>IFERROR(__xludf.DUMMYFUNCTION("""COMPUTED_VALUE"""),13.0)</f>
        <v>13</v>
      </c>
      <c r="N2834" s="2" t="b">
        <f>IFERROR(__xludf.DUMMYFUNCTION("""COMPUTED_VALUE"""),TRUE)</f>
        <v>1</v>
      </c>
    </row>
    <row r="2835">
      <c r="A2835" s="2">
        <f>IFERROR(__xludf.DUMMYFUNCTION("""COMPUTED_VALUE"""),2834.0)</f>
        <v>2834</v>
      </c>
      <c r="B2835" s="2" t="str">
        <f>IFERROR(__xludf.DUMMYFUNCTION("""COMPUTED_VALUE"""),"Nicola Bigglestone")</f>
        <v>Nicola Bigglestone</v>
      </c>
      <c r="C2835" s="2"/>
      <c r="D2835" s="4">
        <f>IFERROR(__xludf.DUMMYFUNCTION("""COMPUTED_VALUE"""),23.0)</f>
        <v>23</v>
      </c>
      <c r="E2835" s="4">
        <f>IFERROR(__xludf.DUMMYFUNCTION("""COMPUTED_VALUE"""),12.0)</f>
        <v>12</v>
      </c>
      <c r="F2835" s="4">
        <f>IFERROR(__xludf.DUMMYFUNCTION("""COMPUTED_VALUE"""),7.0)</f>
        <v>7</v>
      </c>
      <c r="G2835" s="4">
        <f>IFERROR(__xludf.DUMMYFUNCTION("""COMPUTED_VALUE"""),871.0)</f>
        <v>871</v>
      </c>
      <c r="H2835" s="5">
        <f>IFERROR(__xludf.DUMMYFUNCTION("""COMPUTED_VALUE"""),3908.68)</f>
        <v>3908.68</v>
      </c>
      <c r="I2835" s="5">
        <f>IFERROR(__xludf.DUMMYFUNCTION("""COMPUTED_VALUE"""),6863.58)</f>
        <v>6863.58</v>
      </c>
      <c r="J2835" s="5">
        <f>IFERROR(__xludf.DUMMYFUNCTION("""COMPUTED_VALUE"""),8960.22)</f>
        <v>8960.22</v>
      </c>
      <c r="K2835" s="5">
        <f>IFERROR(__xludf.DUMMYFUNCTION("""COMPUTED_VALUE"""),169.21)</f>
        <v>169.21</v>
      </c>
      <c r="L2835" s="4">
        <f>IFERROR(__xludf.DUMMYFUNCTION("""COMPUTED_VALUE"""),2.0)</f>
        <v>2</v>
      </c>
      <c r="M2835" s="4">
        <f>IFERROR(__xludf.DUMMYFUNCTION("""COMPUTED_VALUE"""),34.0)</f>
        <v>34</v>
      </c>
      <c r="N2835" s="2" t="b">
        <f>IFERROR(__xludf.DUMMYFUNCTION("""COMPUTED_VALUE"""),FALSE)</f>
        <v>0</v>
      </c>
    </row>
    <row r="2836">
      <c r="A2836" s="2">
        <f>IFERROR(__xludf.DUMMYFUNCTION("""COMPUTED_VALUE"""),2835.0)</f>
        <v>2835</v>
      </c>
      <c r="B2836" s="2" t="str">
        <f>IFERROR(__xludf.DUMMYFUNCTION("""COMPUTED_VALUE"""),"Vitia Laban")</f>
        <v>Vitia Laban</v>
      </c>
      <c r="C2836" s="2" t="str">
        <f>IFERROR(__xludf.DUMMYFUNCTION("""COMPUTED_VALUE"""),"vlabann7@blogtalkradio.com")</f>
        <v>vlabann7@blogtalkradio.com</v>
      </c>
      <c r="D2836" s="4">
        <f>IFERROR(__xludf.DUMMYFUNCTION("""COMPUTED_VALUE"""),114.0)</f>
        <v>114</v>
      </c>
      <c r="E2836" s="4">
        <f>IFERROR(__xludf.DUMMYFUNCTION("""COMPUTED_VALUE"""),53.0)</f>
        <v>53</v>
      </c>
      <c r="F2836" s="4">
        <f>IFERROR(__xludf.DUMMYFUNCTION("""COMPUTED_VALUE"""),10.0)</f>
        <v>10</v>
      </c>
      <c r="G2836" s="4">
        <f>IFERROR(__xludf.DUMMYFUNCTION("""COMPUTED_VALUE"""),1236.0)</f>
        <v>1236</v>
      </c>
      <c r="H2836" s="5">
        <f>IFERROR(__xludf.DUMMYFUNCTION("""COMPUTED_VALUE"""),416.27)</f>
        <v>416.27</v>
      </c>
      <c r="I2836" s="5">
        <f>IFERROR(__xludf.DUMMYFUNCTION("""COMPUTED_VALUE"""),5588.51)</f>
        <v>5588.51</v>
      </c>
      <c r="J2836" s="5">
        <f>IFERROR(__xludf.DUMMYFUNCTION("""COMPUTED_VALUE"""),6751.71)</f>
        <v>6751.71</v>
      </c>
      <c r="K2836" s="5">
        <f>IFERROR(__xludf.DUMMYFUNCTION("""COMPUTED_VALUE"""),9402.97)</f>
        <v>9402.97</v>
      </c>
      <c r="L2836" s="4">
        <f>IFERROR(__xludf.DUMMYFUNCTION("""COMPUTED_VALUE"""),3.0)</f>
        <v>3</v>
      </c>
      <c r="M2836" s="4">
        <f>IFERROR(__xludf.DUMMYFUNCTION("""COMPUTED_VALUE"""),61.0)</f>
        <v>61</v>
      </c>
      <c r="N2836" s="2" t="b">
        <f>IFERROR(__xludf.DUMMYFUNCTION("""COMPUTED_VALUE"""),FALSE)</f>
        <v>0</v>
      </c>
    </row>
    <row r="2837">
      <c r="A2837" s="2">
        <f>IFERROR(__xludf.DUMMYFUNCTION("""COMPUTED_VALUE"""),2836.0)</f>
        <v>2836</v>
      </c>
      <c r="B2837" s="2" t="str">
        <f>IFERROR(__xludf.DUMMYFUNCTION("""COMPUTED_VALUE"""),"Cele Razoux")</f>
        <v>Cele Razoux</v>
      </c>
      <c r="C2837" s="2"/>
      <c r="D2837" s="4">
        <f>IFERROR(__xludf.DUMMYFUNCTION("""COMPUTED_VALUE"""),133.0)</f>
        <v>133</v>
      </c>
      <c r="E2837" s="4">
        <f>IFERROR(__xludf.DUMMYFUNCTION("""COMPUTED_VALUE"""),120.0)</f>
        <v>120</v>
      </c>
      <c r="F2837" s="4">
        <f>IFERROR(__xludf.DUMMYFUNCTION("""COMPUTED_VALUE"""),8.0)</f>
        <v>8</v>
      </c>
      <c r="G2837" s="4">
        <f>IFERROR(__xludf.DUMMYFUNCTION("""COMPUTED_VALUE"""),1006.0)</f>
        <v>1006</v>
      </c>
      <c r="H2837" s="5">
        <f>IFERROR(__xludf.DUMMYFUNCTION("""COMPUTED_VALUE"""),7399.33)</f>
        <v>7399.33</v>
      </c>
      <c r="I2837" s="5">
        <f>IFERROR(__xludf.DUMMYFUNCTION("""COMPUTED_VALUE"""),882.1)</f>
        <v>882.1</v>
      </c>
      <c r="J2837" s="5">
        <f>IFERROR(__xludf.DUMMYFUNCTION("""COMPUTED_VALUE"""),3164.82)</f>
        <v>3164.82</v>
      </c>
      <c r="K2837" s="5">
        <f>IFERROR(__xludf.DUMMYFUNCTION("""COMPUTED_VALUE"""),9600.88)</f>
        <v>9600.88</v>
      </c>
      <c r="L2837" s="4">
        <f>IFERROR(__xludf.DUMMYFUNCTION("""COMPUTED_VALUE"""),2.0)</f>
        <v>2</v>
      </c>
      <c r="M2837" s="4">
        <f>IFERROR(__xludf.DUMMYFUNCTION("""COMPUTED_VALUE"""),41.0)</f>
        <v>41</v>
      </c>
      <c r="N2837" s="2" t="b">
        <f>IFERROR(__xludf.DUMMYFUNCTION("""COMPUTED_VALUE"""),FALSE)</f>
        <v>0</v>
      </c>
    </row>
    <row r="2838">
      <c r="A2838" s="2">
        <f>IFERROR(__xludf.DUMMYFUNCTION("""COMPUTED_VALUE"""),2837.0)</f>
        <v>2837</v>
      </c>
      <c r="B2838" s="2" t="str">
        <f>IFERROR(__xludf.DUMMYFUNCTION("""COMPUTED_VALUE"""),"Putnam Probbin")</f>
        <v>Putnam Probbin</v>
      </c>
      <c r="C2838" s="2"/>
      <c r="D2838" s="4">
        <f>IFERROR(__xludf.DUMMYFUNCTION("""COMPUTED_VALUE"""),5.0)</f>
        <v>5</v>
      </c>
      <c r="E2838" s="4">
        <f>IFERROR(__xludf.DUMMYFUNCTION("""COMPUTED_VALUE"""),42.0)</f>
        <v>42</v>
      </c>
      <c r="F2838" s="4">
        <f>IFERROR(__xludf.DUMMYFUNCTION("""COMPUTED_VALUE"""),8.0)</f>
        <v>8</v>
      </c>
      <c r="G2838" s="4">
        <f>IFERROR(__xludf.DUMMYFUNCTION("""COMPUTED_VALUE"""),1176.0)</f>
        <v>1176</v>
      </c>
      <c r="H2838" s="5">
        <f>IFERROR(__xludf.DUMMYFUNCTION("""COMPUTED_VALUE"""),7153.86)</f>
        <v>7153.86</v>
      </c>
      <c r="I2838" s="5">
        <f>IFERROR(__xludf.DUMMYFUNCTION("""COMPUTED_VALUE"""),6290.34)</f>
        <v>6290.34</v>
      </c>
      <c r="J2838" s="5">
        <f>IFERROR(__xludf.DUMMYFUNCTION("""COMPUTED_VALUE"""),2232.29)</f>
        <v>2232.29</v>
      </c>
      <c r="K2838" s="5">
        <f>IFERROR(__xludf.DUMMYFUNCTION("""COMPUTED_VALUE"""),8562.45)</f>
        <v>8562.45</v>
      </c>
      <c r="L2838" s="4">
        <f>IFERROR(__xludf.DUMMYFUNCTION("""COMPUTED_VALUE"""),18.0)</f>
        <v>18</v>
      </c>
      <c r="M2838" s="4">
        <f>IFERROR(__xludf.DUMMYFUNCTION("""COMPUTED_VALUE"""),43.0)</f>
        <v>43</v>
      </c>
      <c r="N2838" s="2" t="b">
        <f>IFERROR(__xludf.DUMMYFUNCTION("""COMPUTED_VALUE"""),TRUE)</f>
        <v>1</v>
      </c>
    </row>
    <row r="2839">
      <c r="A2839" s="2">
        <f>IFERROR(__xludf.DUMMYFUNCTION("""COMPUTED_VALUE"""),2838.0)</f>
        <v>2838</v>
      </c>
      <c r="B2839" s="2" t="str">
        <f>IFERROR(__xludf.DUMMYFUNCTION("""COMPUTED_VALUE"""),"Patrice Safell")</f>
        <v>Patrice Safell</v>
      </c>
      <c r="C2839" s="2" t="str">
        <f>IFERROR(__xludf.DUMMYFUNCTION("""COMPUTED_VALUE"""),"psafellna@cbslocal.com")</f>
        <v>psafellna@cbslocal.com</v>
      </c>
      <c r="D2839" s="4">
        <f>IFERROR(__xludf.DUMMYFUNCTION("""COMPUTED_VALUE"""),22.0)</f>
        <v>22</v>
      </c>
      <c r="E2839" s="4">
        <f>IFERROR(__xludf.DUMMYFUNCTION("""COMPUTED_VALUE"""),73.0)</f>
        <v>73</v>
      </c>
      <c r="F2839" s="4">
        <f>IFERROR(__xludf.DUMMYFUNCTION("""COMPUTED_VALUE"""),7.0)</f>
        <v>7</v>
      </c>
      <c r="G2839" s="4">
        <f>IFERROR(__xludf.DUMMYFUNCTION("""COMPUTED_VALUE"""),33.0)</f>
        <v>33</v>
      </c>
      <c r="H2839" s="5">
        <f>IFERROR(__xludf.DUMMYFUNCTION("""COMPUTED_VALUE"""),3910.3)</f>
        <v>3910.3</v>
      </c>
      <c r="I2839" s="5">
        <f>IFERROR(__xludf.DUMMYFUNCTION("""COMPUTED_VALUE"""),1787.92)</f>
        <v>1787.92</v>
      </c>
      <c r="J2839" s="5">
        <f>IFERROR(__xludf.DUMMYFUNCTION("""COMPUTED_VALUE"""),7584.36)</f>
        <v>7584.36</v>
      </c>
      <c r="K2839" s="5">
        <f>IFERROR(__xludf.DUMMYFUNCTION("""COMPUTED_VALUE"""),4414.3)</f>
        <v>4414.3</v>
      </c>
      <c r="L2839" s="4">
        <f>IFERROR(__xludf.DUMMYFUNCTION("""COMPUTED_VALUE"""),12.0)</f>
        <v>12</v>
      </c>
      <c r="M2839" s="4">
        <f>IFERROR(__xludf.DUMMYFUNCTION("""COMPUTED_VALUE"""),99.0)</f>
        <v>99</v>
      </c>
      <c r="N2839" s="2" t="b">
        <f>IFERROR(__xludf.DUMMYFUNCTION("""COMPUTED_VALUE"""),TRUE)</f>
        <v>1</v>
      </c>
    </row>
    <row r="2840">
      <c r="A2840" s="2">
        <f>IFERROR(__xludf.DUMMYFUNCTION("""COMPUTED_VALUE"""),2839.0)</f>
        <v>2839</v>
      </c>
      <c r="B2840" s="2" t="str">
        <f>IFERROR(__xludf.DUMMYFUNCTION("""COMPUTED_VALUE"""),"Andrus Dreossi")</f>
        <v>Andrus Dreossi</v>
      </c>
      <c r="C2840" s="2"/>
      <c r="D2840" s="4">
        <f>IFERROR(__xludf.DUMMYFUNCTION("""COMPUTED_VALUE"""),20.0)</f>
        <v>20</v>
      </c>
      <c r="E2840" s="4">
        <f>IFERROR(__xludf.DUMMYFUNCTION("""COMPUTED_VALUE"""),122.0)</f>
        <v>122</v>
      </c>
      <c r="F2840" s="4">
        <f>IFERROR(__xludf.DUMMYFUNCTION("""COMPUTED_VALUE"""),11.0)</f>
        <v>11</v>
      </c>
      <c r="G2840" s="4">
        <f>IFERROR(__xludf.DUMMYFUNCTION("""COMPUTED_VALUE"""),178.0)</f>
        <v>178</v>
      </c>
      <c r="H2840" s="5">
        <f>IFERROR(__xludf.DUMMYFUNCTION("""COMPUTED_VALUE"""),4637.77)</f>
        <v>4637.77</v>
      </c>
      <c r="I2840" s="5">
        <f>IFERROR(__xludf.DUMMYFUNCTION("""COMPUTED_VALUE"""),9581.63)</f>
        <v>9581.63</v>
      </c>
      <c r="J2840" s="5">
        <f>IFERROR(__xludf.DUMMYFUNCTION("""COMPUTED_VALUE"""),1716.26)</f>
        <v>1716.26</v>
      </c>
      <c r="K2840" s="5">
        <f>IFERROR(__xludf.DUMMYFUNCTION("""COMPUTED_VALUE"""),1878.22)</f>
        <v>1878.22</v>
      </c>
      <c r="L2840" s="4">
        <f>IFERROR(__xludf.DUMMYFUNCTION("""COMPUTED_VALUE"""),11.0)</f>
        <v>11</v>
      </c>
      <c r="M2840" s="4">
        <f>IFERROR(__xludf.DUMMYFUNCTION("""COMPUTED_VALUE"""),61.0)</f>
        <v>61</v>
      </c>
      <c r="N2840" s="2" t="b">
        <f>IFERROR(__xludf.DUMMYFUNCTION("""COMPUTED_VALUE"""),TRUE)</f>
        <v>1</v>
      </c>
    </row>
    <row r="2841">
      <c r="A2841" s="2">
        <f>IFERROR(__xludf.DUMMYFUNCTION("""COMPUTED_VALUE"""),2840.0)</f>
        <v>2840</v>
      </c>
      <c r="B2841" s="2" t="str">
        <f>IFERROR(__xludf.DUMMYFUNCTION("""COMPUTED_VALUE"""),"Dania Kepp")</f>
        <v>Dania Kepp</v>
      </c>
      <c r="C2841" s="2"/>
      <c r="D2841" s="4">
        <f>IFERROR(__xludf.DUMMYFUNCTION("""COMPUTED_VALUE"""),24.0)</f>
        <v>24</v>
      </c>
      <c r="E2841" s="4">
        <f>IFERROR(__xludf.DUMMYFUNCTION("""COMPUTED_VALUE"""),73.0)</f>
        <v>73</v>
      </c>
      <c r="F2841" s="4">
        <f>IFERROR(__xludf.DUMMYFUNCTION("""COMPUTED_VALUE"""),9.0)</f>
        <v>9</v>
      </c>
      <c r="G2841" s="4">
        <f>IFERROR(__xludf.DUMMYFUNCTION("""COMPUTED_VALUE"""),1309.0)</f>
        <v>1309</v>
      </c>
      <c r="H2841" s="5">
        <f>IFERROR(__xludf.DUMMYFUNCTION("""COMPUTED_VALUE"""),6652.43)</f>
        <v>6652.43</v>
      </c>
      <c r="I2841" s="5">
        <f>IFERROR(__xludf.DUMMYFUNCTION("""COMPUTED_VALUE"""),827.97)</f>
        <v>827.97</v>
      </c>
      <c r="J2841" s="5">
        <f>IFERROR(__xludf.DUMMYFUNCTION("""COMPUTED_VALUE"""),2352.52)</f>
        <v>2352.52</v>
      </c>
      <c r="K2841" s="5">
        <f>IFERROR(__xludf.DUMMYFUNCTION("""COMPUTED_VALUE"""),7959.74)</f>
        <v>7959.74</v>
      </c>
      <c r="L2841" s="4">
        <f>IFERROR(__xludf.DUMMYFUNCTION("""COMPUTED_VALUE"""),4.0)</f>
        <v>4</v>
      </c>
      <c r="M2841" s="4">
        <f>IFERROR(__xludf.DUMMYFUNCTION("""COMPUTED_VALUE"""),81.0)</f>
        <v>81</v>
      </c>
      <c r="N2841" s="2" t="b">
        <f>IFERROR(__xludf.DUMMYFUNCTION("""COMPUTED_VALUE"""),FALSE)</f>
        <v>0</v>
      </c>
    </row>
    <row r="2842">
      <c r="A2842" s="2">
        <f>IFERROR(__xludf.DUMMYFUNCTION("""COMPUTED_VALUE"""),2841.0)</f>
        <v>2841</v>
      </c>
      <c r="B2842" s="2" t="str">
        <f>IFERROR(__xludf.DUMMYFUNCTION("""COMPUTED_VALUE"""),"Welsh Poncet")</f>
        <v>Welsh Poncet</v>
      </c>
      <c r="C2842" s="2"/>
      <c r="D2842" s="4">
        <f>IFERROR(__xludf.DUMMYFUNCTION("""COMPUTED_VALUE"""),154.0)</f>
        <v>154</v>
      </c>
      <c r="E2842" s="4">
        <f>IFERROR(__xludf.DUMMYFUNCTION("""COMPUTED_VALUE"""),107.0)</f>
        <v>107</v>
      </c>
      <c r="F2842" s="4">
        <f>IFERROR(__xludf.DUMMYFUNCTION("""COMPUTED_VALUE"""),5.0)</f>
        <v>5</v>
      </c>
      <c r="G2842" s="4">
        <f>IFERROR(__xludf.DUMMYFUNCTION("""COMPUTED_VALUE"""),747.0)</f>
        <v>747</v>
      </c>
      <c r="H2842" s="5">
        <f>IFERROR(__xludf.DUMMYFUNCTION("""COMPUTED_VALUE"""),8633.32)</f>
        <v>8633.32</v>
      </c>
      <c r="I2842" s="5">
        <f>IFERROR(__xludf.DUMMYFUNCTION("""COMPUTED_VALUE"""),9747.13)</f>
        <v>9747.13</v>
      </c>
      <c r="J2842" s="5">
        <f>IFERROR(__xludf.DUMMYFUNCTION("""COMPUTED_VALUE"""),3910.19)</f>
        <v>3910.19</v>
      </c>
      <c r="K2842" s="5">
        <f>IFERROR(__xludf.DUMMYFUNCTION("""COMPUTED_VALUE"""),8655.92)</f>
        <v>8655.92</v>
      </c>
      <c r="L2842" s="4">
        <f>IFERROR(__xludf.DUMMYFUNCTION("""COMPUTED_VALUE"""),16.0)</f>
        <v>16</v>
      </c>
      <c r="M2842" s="4">
        <f>IFERROR(__xludf.DUMMYFUNCTION("""COMPUTED_VALUE"""),52.0)</f>
        <v>52</v>
      </c>
      <c r="N2842" s="2" t="b">
        <f>IFERROR(__xludf.DUMMYFUNCTION("""COMPUTED_VALUE"""),FALSE)</f>
        <v>0</v>
      </c>
    </row>
    <row r="2843">
      <c r="A2843" s="2">
        <f>IFERROR(__xludf.DUMMYFUNCTION("""COMPUTED_VALUE"""),2842.0)</f>
        <v>2842</v>
      </c>
      <c r="B2843" s="2" t="str">
        <f>IFERROR(__xludf.DUMMYFUNCTION("""COMPUTED_VALUE"""),"Ripley Egger")</f>
        <v>Ripley Egger</v>
      </c>
      <c r="C2843" s="2"/>
      <c r="D2843" s="4">
        <f>IFERROR(__xludf.DUMMYFUNCTION("""COMPUTED_VALUE"""),21.0)</f>
        <v>21</v>
      </c>
      <c r="E2843" s="4">
        <f>IFERROR(__xludf.DUMMYFUNCTION("""COMPUTED_VALUE"""),110.0)</f>
        <v>110</v>
      </c>
      <c r="F2843" s="4">
        <f>IFERROR(__xludf.DUMMYFUNCTION("""COMPUTED_VALUE"""),4.0)</f>
        <v>4</v>
      </c>
      <c r="G2843" s="4">
        <f>IFERROR(__xludf.DUMMYFUNCTION("""COMPUTED_VALUE"""),1508.0)</f>
        <v>1508</v>
      </c>
      <c r="H2843" s="5">
        <f>IFERROR(__xludf.DUMMYFUNCTION("""COMPUTED_VALUE"""),7781.77)</f>
        <v>7781.77</v>
      </c>
      <c r="I2843" s="5">
        <f>IFERROR(__xludf.DUMMYFUNCTION("""COMPUTED_VALUE"""),9368.26)</f>
        <v>9368.26</v>
      </c>
      <c r="J2843" s="5">
        <f>IFERROR(__xludf.DUMMYFUNCTION("""COMPUTED_VALUE"""),3348.06)</f>
        <v>3348.06</v>
      </c>
      <c r="K2843" s="5">
        <f>IFERROR(__xludf.DUMMYFUNCTION("""COMPUTED_VALUE"""),4490.13)</f>
        <v>4490.13</v>
      </c>
      <c r="L2843" s="4">
        <f>IFERROR(__xludf.DUMMYFUNCTION("""COMPUTED_VALUE"""),18.0)</f>
        <v>18</v>
      </c>
      <c r="M2843" s="4">
        <f>IFERROR(__xludf.DUMMYFUNCTION("""COMPUTED_VALUE"""),8.0)</f>
        <v>8</v>
      </c>
      <c r="N2843" s="2" t="b">
        <f>IFERROR(__xludf.DUMMYFUNCTION("""COMPUTED_VALUE"""),TRUE)</f>
        <v>1</v>
      </c>
    </row>
    <row r="2844">
      <c r="A2844" s="2">
        <f>IFERROR(__xludf.DUMMYFUNCTION("""COMPUTED_VALUE"""),2843.0)</f>
        <v>2843</v>
      </c>
      <c r="B2844" s="2" t="str">
        <f>IFERROR(__xludf.DUMMYFUNCTION("""COMPUTED_VALUE"""),"Cathy Gabits")</f>
        <v>Cathy Gabits</v>
      </c>
      <c r="C2844" s="2"/>
      <c r="D2844" s="4">
        <f>IFERROR(__xludf.DUMMYFUNCTION("""COMPUTED_VALUE"""),41.0)</f>
        <v>41</v>
      </c>
      <c r="E2844" s="4">
        <f>IFERROR(__xludf.DUMMYFUNCTION("""COMPUTED_VALUE"""),15.0)</f>
        <v>15</v>
      </c>
      <c r="F2844" s="4">
        <f>IFERROR(__xludf.DUMMYFUNCTION("""COMPUTED_VALUE"""),13.0)</f>
        <v>13</v>
      </c>
      <c r="G2844" s="4">
        <f>IFERROR(__xludf.DUMMYFUNCTION("""COMPUTED_VALUE"""),337.0)</f>
        <v>337</v>
      </c>
      <c r="H2844" s="5">
        <f>IFERROR(__xludf.DUMMYFUNCTION("""COMPUTED_VALUE"""),5170.02)</f>
        <v>5170.02</v>
      </c>
      <c r="I2844" s="5">
        <f>IFERROR(__xludf.DUMMYFUNCTION("""COMPUTED_VALUE"""),3610.02)</f>
        <v>3610.02</v>
      </c>
      <c r="J2844" s="5">
        <f>IFERROR(__xludf.DUMMYFUNCTION("""COMPUTED_VALUE"""),406.26)</f>
        <v>406.26</v>
      </c>
      <c r="K2844" s="5">
        <f>IFERROR(__xludf.DUMMYFUNCTION("""COMPUTED_VALUE"""),8511.89)</f>
        <v>8511.89</v>
      </c>
      <c r="L2844" s="4">
        <f>IFERROR(__xludf.DUMMYFUNCTION("""COMPUTED_VALUE"""),11.0)</f>
        <v>11</v>
      </c>
      <c r="M2844" s="4">
        <f>IFERROR(__xludf.DUMMYFUNCTION("""COMPUTED_VALUE"""),88.0)</f>
        <v>88</v>
      </c>
      <c r="N2844" s="2" t="b">
        <f>IFERROR(__xludf.DUMMYFUNCTION("""COMPUTED_VALUE"""),TRUE)</f>
        <v>1</v>
      </c>
    </row>
    <row r="2845">
      <c r="A2845" s="2">
        <f>IFERROR(__xludf.DUMMYFUNCTION("""COMPUTED_VALUE"""),2844.0)</f>
        <v>2844</v>
      </c>
      <c r="B2845" s="2" t="str">
        <f>IFERROR(__xludf.DUMMYFUNCTION("""COMPUTED_VALUE"""),"Barbi Fossitt")</f>
        <v>Barbi Fossitt</v>
      </c>
      <c r="C2845" s="2" t="str">
        <f>IFERROR(__xludf.DUMMYFUNCTION("""COMPUTED_VALUE"""),"bfossittng@microsoft.com")</f>
        <v>bfossittng@microsoft.com</v>
      </c>
      <c r="D2845" s="4">
        <f>IFERROR(__xludf.DUMMYFUNCTION("""COMPUTED_VALUE"""),38.0)</f>
        <v>38</v>
      </c>
      <c r="E2845" s="4">
        <f>IFERROR(__xludf.DUMMYFUNCTION("""COMPUTED_VALUE"""),13.0)</f>
        <v>13</v>
      </c>
      <c r="F2845" s="4">
        <f>IFERROR(__xludf.DUMMYFUNCTION("""COMPUTED_VALUE"""),3.0)</f>
        <v>3</v>
      </c>
      <c r="G2845" s="4">
        <f>IFERROR(__xludf.DUMMYFUNCTION("""COMPUTED_VALUE"""),971.0)</f>
        <v>971</v>
      </c>
      <c r="H2845" s="5">
        <f>IFERROR(__xludf.DUMMYFUNCTION("""COMPUTED_VALUE"""),5714.96)</f>
        <v>5714.96</v>
      </c>
      <c r="I2845" s="5">
        <f>IFERROR(__xludf.DUMMYFUNCTION("""COMPUTED_VALUE"""),8173.1)</f>
        <v>8173.1</v>
      </c>
      <c r="J2845" s="5">
        <f>IFERROR(__xludf.DUMMYFUNCTION("""COMPUTED_VALUE"""),3412.95)</f>
        <v>3412.95</v>
      </c>
      <c r="K2845" s="5">
        <f>IFERROR(__xludf.DUMMYFUNCTION("""COMPUTED_VALUE"""),4017.77)</f>
        <v>4017.77</v>
      </c>
      <c r="L2845" s="4">
        <f>IFERROR(__xludf.DUMMYFUNCTION("""COMPUTED_VALUE"""),18.0)</f>
        <v>18</v>
      </c>
      <c r="M2845" s="4">
        <f>IFERROR(__xludf.DUMMYFUNCTION("""COMPUTED_VALUE"""),20.0)</f>
        <v>20</v>
      </c>
      <c r="N2845" s="2" t="b">
        <f>IFERROR(__xludf.DUMMYFUNCTION("""COMPUTED_VALUE"""),TRUE)</f>
        <v>1</v>
      </c>
    </row>
    <row r="2846">
      <c r="A2846" s="2">
        <f>IFERROR(__xludf.DUMMYFUNCTION("""COMPUTED_VALUE"""),2845.0)</f>
        <v>2845</v>
      </c>
      <c r="B2846" s="2" t="str">
        <f>IFERROR(__xludf.DUMMYFUNCTION("""COMPUTED_VALUE"""),"Tam Burnip")</f>
        <v>Tam Burnip</v>
      </c>
      <c r="C2846" s="2"/>
      <c r="D2846" s="4">
        <f>IFERROR(__xludf.DUMMYFUNCTION("""COMPUTED_VALUE"""),127.0)</f>
        <v>127</v>
      </c>
      <c r="E2846" s="4">
        <f>IFERROR(__xludf.DUMMYFUNCTION("""COMPUTED_VALUE"""),80.0)</f>
        <v>80</v>
      </c>
      <c r="F2846" s="4">
        <f>IFERROR(__xludf.DUMMYFUNCTION("""COMPUTED_VALUE"""),11.0)</f>
        <v>11</v>
      </c>
      <c r="G2846" s="4">
        <f>IFERROR(__xludf.DUMMYFUNCTION("""COMPUTED_VALUE"""),910.0)</f>
        <v>910</v>
      </c>
      <c r="H2846" s="5">
        <f>IFERROR(__xludf.DUMMYFUNCTION("""COMPUTED_VALUE"""),4368.02)</f>
        <v>4368.02</v>
      </c>
      <c r="I2846" s="5">
        <f>IFERROR(__xludf.DUMMYFUNCTION("""COMPUTED_VALUE"""),7192.33)</f>
        <v>7192.33</v>
      </c>
      <c r="J2846" s="5">
        <f>IFERROR(__xludf.DUMMYFUNCTION("""COMPUTED_VALUE"""),9537.8)</f>
        <v>9537.8</v>
      </c>
      <c r="K2846" s="5">
        <f>IFERROR(__xludf.DUMMYFUNCTION("""COMPUTED_VALUE"""),1313.07)</f>
        <v>1313.07</v>
      </c>
      <c r="L2846" s="4">
        <f>IFERROR(__xludf.DUMMYFUNCTION("""COMPUTED_VALUE"""),12.0)</f>
        <v>12</v>
      </c>
      <c r="M2846" s="4">
        <f>IFERROR(__xludf.DUMMYFUNCTION("""COMPUTED_VALUE"""),36.0)</f>
        <v>36</v>
      </c>
      <c r="N2846" s="2" t="b">
        <f>IFERROR(__xludf.DUMMYFUNCTION("""COMPUTED_VALUE"""),FALSE)</f>
        <v>0</v>
      </c>
    </row>
    <row r="2847">
      <c r="A2847" s="2">
        <f>IFERROR(__xludf.DUMMYFUNCTION("""COMPUTED_VALUE"""),2846.0)</f>
        <v>2846</v>
      </c>
      <c r="B2847" s="2" t="str">
        <f>IFERROR(__xludf.DUMMYFUNCTION("""COMPUTED_VALUE"""),"Ariadne Dimbylow")</f>
        <v>Ariadne Dimbylow</v>
      </c>
      <c r="C2847" s="2" t="str">
        <f>IFERROR(__xludf.DUMMYFUNCTION("""COMPUTED_VALUE"""),"adimbylowni@yelp.com")</f>
        <v>adimbylowni@yelp.com</v>
      </c>
      <c r="D2847" s="4">
        <f>IFERROR(__xludf.DUMMYFUNCTION("""COMPUTED_VALUE"""),70.0)</f>
        <v>70</v>
      </c>
      <c r="E2847" s="4">
        <f>IFERROR(__xludf.DUMMYFUNCTION("""COMPUTED_VALUE"""),80.0)</f>
        <v>80</v>
      </c>
      <c r="F2847" s="4">
        <f>IFERROR(__xludf.DUMMYFUNCTION("""COMPUTED_VALUE"""),1.0)</f>
        <v>1</v>
      </c>
      <c r="G2847" s="4">
        <f>IFERROR(__xludf.DUMMYFUNCTION("""COMPUTED_VALUE"""),128.0)</f>
        <v>128</v>
      </c>
      <c r="H2847" s="5">
        <f>IFERROR(__xludf.DUMMYFUNCTION("""COMPUTED_VALUE"""),9263.72)</f>
        <v>9263.72</v>
      </c>
      <c r="I2847" s="5">
        <f>IFERROR(__xludf.DUMMYFUNCTION("""COMPUTED_VALUE"""),2850.42)</f>
        <v>2850.42</v>
      </c>
      <c r="J2847" s="5">
        <f>IFERROR(__xludf.DUMMYFUNCTION("""COMPUTED_VALUE"""),7204.52)</f>
        <v>7204.52</v>
      </c>
      <c r="K2847" s="5">
        <f>IFERROR(__xludf.DUMMYFUNCTION("""COMPUTED_VALUE"""),4984.1)</f>
        <v>4984.1</v>
      </c>
      <c r="L2847" s="4">
        <f>IFERROR(__xludf.DUMMYFUNCTION("""COMPUTED_VALUE"""),16.0)</f>
        <v>16</v>
      </c>
      <c r="M2847" s="4">
        <f>IFERROR(__xludf.DUMMYFUNCTION("""COMPUTED_VALUE"""),58.0)</f>
        <v>58</v>
      </c>
      <c r="N2847" s="2" t="b">
        <f>IFERROR(__xludf.DUMMYFUNCTION("""COMPUTED_VALUE"""),FALSE)</f>
        <v>0</v>
      </c>
    </row>
    <row r="2848">
      <c r="A2848" s="2">
        <f>IFERROR(__xludf.DUMMYFUNCTION("""COMPUTED_VALUE"""),2847.0)</f>
        <v>2847</v>
      </c>
      <c r="B2848" s="2" t="str">
        <f>IFERROR(__xludf.DUMMYFUNCTION("""COMPUTED_VALUE"""),"Carney Creelman")</f>
        <v>Carney Creelman</v>
      </c>
      <c r="C2848" s="2"/>
      <c r="D2848" s="4">
        <f>IFERROR(__xludf.DUMMYFUNCTION("""COMPUTED_VALUE"""),43.0)</f>
        <v>43</v>
      </c>
      <c r="E2848" s="4">
        <f>IFERROR(__xludf.DUMMYFUNCTION("""COMPUTED_VALUE"""),18.0)</f>
        <v>18</v>
      </c>
      <c r="F2848" s="4">
        <f>IFERROR(__xludf.DUMMYFUNCTION("""COMPUTED_VALUE"""),8.0)</f>
        <v>8</v>
      </c>
      <c r="G2848" s="4">
        <f>IFERROR(__xludf.DUMMYFUNCTION("""COMPUTED_VALUE"""),814.0)</f>
        <v>814</v>
      </c>
      <c r="H2848" s="5">
        <f>IFERROR(__xludf.DUMMYFUNCTION("""COMPUTED_VALUE"""),2965.02)</f>
        <v>2965.02</v>
      </c>
      <c r="I2848" s="5">
        <f>IFERROR(__xludf.DUMMYFUNCTION("""COMPUTED_VALUE"""),3097.19)</f>
        <v>3097.19</v>
      </c>
      <c r="J2848" s="5">
        <f>IFERROR(__xludf.DUMMYFUNCTION("""COMPUTED_VALUE"""),208.02)</f>
        <v>208.02</v>
      </c>
      <c r="K2848" s="5">
        <f>IFERROR(__xludf.DUMMYFUNCTION("""COMPUTED_VALUE"""),5715.62)</f>
        <v>5715.62</v>
      </c>
      <c r="L2848" s="4">
        <f>IFERROR(__xludf.DUMMYFUNCTION("""COMPUTED_VALUE"""),15.0)</f>
        <v>15</v>
      </c>
      <c r="M2848" s="4">
        <f>IFERROR(__xludf.DUMMYFUNCTION("""COMPUTED_VALUE"""),25.0)</f>
        <v>25</v>
      </c>
      <c r="N2848" s="2" t="b">
        <f>IFERROR(__xludf.DUMMYFUNCTION("""COMPUTED_VALUE"""),FALSE)</f>
        <v>0</v>
      </c>
    </row>
    <row r="2849">
      <c r="A2849" s="2">
        <f>IFERROR(__xludf.DUMMYFUNCTION("""COMPUTED_VALUE"""),2848.0)</f>
        <v>2848</v>
      </c>
      <c r="B2849" s="2" t="str">
        <f>IFERROR(__xludf.DUMMYFUNCTION("""COMPUTED_VALUE"""),"Nessy Perrone")</f>
        <v>Nessy Perrone</v>
      </c>
      <c r="C2849" s="2" t="str">
        <f>IFERROR(__xludf.DUMMYFUNCTION("""COMPUTED_VALUE"""),"nperronenk@paypal.com")</f>
        <v>nperronenk@paypal.com</v>
      </c>
      <c r="D2849" s="4">
        <f>IFERROR(__xludf.DUMMYFUNCTION("""COMPUTED_VALUE"""),106.0)</f>
        <v>106</v>
      </c>
      <c r="E2849" s="4">
        <f>IFERROR(__xludf.DUMMYFUNCTION("""COMPUTED_VALUE"""),42.0)</f>
        <v>42</v>
      </c>
      <c r="F2849" s="4">
        <f>IFERROR(__xludf.DUMMYFUNCTION("""COMPUTED_VALUE"""),5.0)</f>
        <v>5</v>
      </c>
      <c r="G2849" s="4">
        <f>IFERROR(__xludf.DUMMYFUNCTION("""COMPUTED_VALUE"""),1362.0)</f>
        <v>1362</v>
      </c>
      <c r="H2849" s="5">
        <f>IFERROR(__xludf.DUMMYFUNCTION("""COMPUTED_VALUE"""),8388.78)</f>
        <v>8388.78</v>
      </c>
      <c r="I2849" s="5">
        <f>IFERROR(__xludf.DUMMYFUNCTION("""COMPUTED_VALUE"""),2907.32)</f>
        <v>2907.32</v>
      </c>
      <c r="J2849" s="5">
        <f>IFERROR(__xludf.DUMMYFUNCTION("""COMPUTED_VALUE"""),4003.74)</f>
        <v>4003.74</v>
      </c>
      <c r="K2849" s="5">
        <f>IFERROR(__xludf.DUMMYFUNCTION("""COMPUTED_VALUE"""),6540.49)</f>
        <v>6540.49</v>
      </c>
      <c r="L2849" s="4">
        <f>IFERROR(__xludf.DUMMYFUNCTION("""COMPUTED_VALUE"""),1.0)</f>
        <v>1</v>
      </c>
      <c r="M2849" s="4">
        <f>IFERROR(__xludf.DUMMYFUNCTION("""COMPUTED_VALUE"""),34.0)</f>
        <v>34</v>
      </c>
      <c r="N2849" s="2" t="b">
        <f>IFERROR(__xludf.DUMMYFUNCTION("""COMPUTED_VALUE"""),TRUE)</f>
        <v>1</v>
      </c>
    </row>
    <row r="2850">
      <c r="A2850" s="2">
        <f>IFERROR(__xludf.DUMMYFUNCTION("""COMPUTED_VALUE"""),2849.0)</f>
        <v>2849</v>
      </c>
      <c r="B2850" s="2" t="str">
        <f>IFERROR(__xludf.DUMMYFUNCTION("""COMPUTED_VALUE"""),"David Glanister")</f>
        <v>David Glanister</v>
      </c>
      <c r="C2850" s="2"/>
      <c r="D2850" s="4">
        <f>IFERROR(__xludf.DUMMYFUNCTION("""COMPUTED_VALUE"""),25.0)</f>
        <v>25</v>
      </c>
      <c r="E2850" s="4">
        <f>IFERROR(__xludf.DUMMYFUNCTION("""COMPUTED_VALUE"""),71.0)</f>
        <v>71</v>
      </c>
      <c r="F2850" s="4">
        <f>IFERROR(__xludf.DUMMYFUNCTION("""COMPUTED_VALUE"""),3.0)</f>
        <v>3</v>
      </c>
      <c r="G2850" s="4">
        <f>IFERROR(__xludf.DUMMYFUNCTION("""COMPUTED_VALUE"""),1433.0)</f>
        <v>1433</v>
      </c>
      <c r="H2850" s="5">
        <f>IFERROR(__xludf.DUMMYFUNCTION("""COMPUTED_VALUE"""),6833.75)</f>
        <v>6833.75</v>
      </c>
      <c r="I2850" s="5">
        <f>IFERROR(__xludf.DUMMYFUNCTION("""COMPUTED_VALUE"""),3265.47)</f>
        <v>3265.47</v>
      </c>
      <c r="J2850" s="5">
        <f>IFERROR(__xludf.DUMMYFUNCTION("""COMPUTED_VALUE"""),9714.35)</f>
        <v>9714.35</v>
      </c>
      <c r="K2850" s="5">
        <f>IFERROR(__xludf.DUMMYFUNCTION("""COMPUTED_VALUE"""),3603.49)</f>
        <v>3603.49</v>
      </c>
      <c r="L2850" s="4">
        <f>IFERROR(__xludf.DUMMYFUNCTION("""COMPUTED_VALUE"""),4.0)</f>
        <v>4</v>
      </c>
      <c r="M2850" s="4">
        <f>IFERROR(__xludf.DUMMYFUNCTION("""COMPUTED_VALUE"""),64.0)</f>
        <v>64</v>
      </c>
      <c r="N2850" s="2" t="b">
        <f>IFERROR(__xludf.DUMMYFUNCTION("""COMPUTED_VALUE"""),TRUE)</f>
        <v>1</v>
      </c>
    </row>
    <row r="2851">
      <c r="A2851" s="2">
        <f>IFERROR(__xludf.DUMMYFUNCTION("""COMPUTED_VALUE"""),2850.0)</f>
        <v>2850</v>
      </c>
      <c r="B2851" s="2" t="str">
        <f>IFERROR(__xludf.DUMMYFUNCTION("""COMPUTED_VALUE"""),"Farrell Atley")</f>
        <v>Farrell Atley</v>
      </c>
      <c r="C2851" s="2" t="str">
        <f>IFERROR(__xludf.DUMMYFUNCTION("""COMPUTED_VALUE"""),"fatleynm@de.vu")</f>
        <v>fatleynm@de.vu</v>
      </c>
      <c r="D2851" s="4">
        <f>IFERROR(__xludf.DUMMYFUNCTION("""COMPUTED_VALUE"""),40.0)</f>
        <v>40</v>
      </c>
      <c r="E2851" s="4">
        <f>IFERROR(__xludf.DUMMYFUNCTION("""COMPUTED_VALUE"""),2.0)</f>
        <v>2</v>
      </c>
      <c r="F2851" s="4">
        <f>IFERROR(__xludf.DUMMYFUNCTION("""COMPUTED_VALUE"""),4.0)</f>
        <v>4</v>
      </c>
      <c r="G2851" s="4">
        <f>IFERROR(__xludf.DUMMYFUNCTION("""COMPUTED_VALUE"""),663.0)</f>
        <v>663</v>
      </c>
      <c r="H2851" s="5">
        <f>IFERROR(__xludf.DUMMYFUNCTION("""COMPUTED_VALUE"""),2342.91)</f>
        <v>2342.91</v>
      </c>
      <c r="I2851" s="5">
        <f>IFERROR(__xludf.DUMMYFUNCTION("""COMPUTED_VALUE"""),2613.72)</f>
        <v>2613.72</v>
      </c>
      <c r="J2851" s="5">
        <f>IFERROR(__xludf.DUMMYFUNCTION("""COMPUTED_VALUE"""),847.16)</f>
        <v>847.16</v>
      </c>
      <c r="K2851" s="5">
        <f>IFERROR(__xludf.DUMMYFUNCTION("""COMPUTED_VALUE"""),8351.52)</f>
        <v>8351.52</v>
      </c>
      <c r="L2851" s="4">
        <f>IFERROR(__xludf.DUMMYFUNCTION("""COMPUTED_VALUE"""),8.0)</f>
        <v>8</v>
      </c>
      <c r="M2851" s="4">
        <f>IFERROR(__xludf.DUMMYFUNCTION("""COMPUTED_VALUE"""),30.0)</f>
        <v>30</v>
      </c>
      <c r="N2851" s="2" t="b">
        <f>IFERROR(__xludf.DUMMYFUNCTION("""COMPUTED_VALUE"""),TRUE)</f>
        <v>1</v>
      </c>
    </row>
    <row r="2852">
      <c r="A2852" s="2">
        <f>IFERROR(__xludf.DUMMYFUNCTION("""COMPUTED_VALUE"""),2851.0)</f>
        <v>2851</v>
      </c>
      <c r="B2852" s="2" t="str">
        <f>IFERROR(__xludf.DUMMYFUNCTION("""COMPUTED_VALUE"""),"Lise Grieve")</f>
        <v>Lise Grieve</v>
      </c>
      <c r="C2852" s="2" t="str">
        <f>IFERROR(__xludf.DUMMYFUNCTION("""COMPUTED_VALUE"""),"lgrievenn@dmoz.org")</f>
        <v>lgrievenn@dmoz.org</v>
      </c>
      <c r="D2852" s="4">
        <f>IFERROR(__xludf.DUMMYFUNCTION("""COMPUTED_VALUE"""),137.0)</f>
        <v>137</v>
      </c>
      <c r="E2852" s="4">
        <f>IFERROR(__xludf.DUMMYFUNCTION("""COMPUTED_VALUE"""),40.0)</f>
        <v>40</v>
      </c>
      <c r="F2852" s="4">
        <f>IFERROR(__xludf.DUMMYFUNCTION("""COMPUTED_VALUE"""),7.0)</f>
        <v>7</v>
      </c>
      <c r="G2852" s="4">
        <f>IFERROR(__xludf.DUMMYFUNCTION("""COMPUTED_VALUE"""),489.0)</f>
        <v>489</v>
      </c>
      <c r="H2852" s="5">
        <f>IFERROR(__xludf.DUMMYFUNCTION("""COMPUTED_VALUE"""),9118.58)</f>
        <v>9118.58</v>
      </c>
      <c r="I2852" s="5">
        <f>IFERROR(__xludf.DUMMYFUNCTION("""COMPUTED_VALUE"""),8922.06)</f>
        <v>8922.06</v>
      </c>
      <c r="J2852" s="5">
        <f>IFERROR(__xludf.DUMMYFUNCTION("""COMPUTED_VALUE"""),6628.35)</f>
        <v>6628.35</v>
      </c>
      <c r="K2852" s="5">
        <f>IFERROR(__xludf.DUMMYFUNCTION("""COMPUTED_VALUE"""),271.78)</f>
        <v>271.78</v>
      </c>
      <c r="L2852" s="4">
        <f>IFERROR(__xludf.DUMMYFUNCTION("""COMPUTED_VALUE"""),15.0)</f>
        <v>15</v>
      </c>
      <c r="M2852" s="4">
        <f>IFERROR(__xludf.DUMMYFUNCTION("""COMPUTED_VALUE"""),37.0)</f>
        <v>37</v>
      </c>
      <c r="N2852" s="2" t="b">
        <f>IFERROR(__xludf.DUMMYFUNCTION("""COMPUTED_VALUE"""),TRUE)</f>
        <v>1</v>
      </c>
    </row>
    <row r="2853">
      <c r="A2853" s="2">
        <f>IFERROR(__xludf.DUMMYFUNCTION("""COMPUTED_VALUE"""),2852.0)</f>
        <v>2852</v>
      </c>
      <c r="B2853" s="2" t="str">
        <f>IFERROR(__xludf.DUMMYFUNCTION("""COMPUTED_VALUE"""),"Ogden Maskall")</f>
        <v>Ogden Maskall</v>
      </c>
      <c r="C2853" s="2" t="str">
        <f>IFERROR(__xludf.DUMMYFUNCTION("""COMPUTED_VALUE"""),"omaskallno@imageshack.us")</f>
        <v>omaskallno@imageshack.us</v>
      </c>
      <c r="D2853" s="4">
        <f>IFERROR(__xludf.DUMMYFUNCTION("""COMPUTED_VALUE"""),26.0)</f>
        <v>26</v>
      </c>
      <c r="E2853" s="4">
        <f>IFERROR(__xludf.DUMMYFUNCTION("""COMPUTED_VALUE"""),33.0)</f>
        <v>33</v>
      </c>
      <c r="F2853" s="4">
        <f>IFERROR(__xludf.DUMMYFUNCTION("""COMPUTED_VALUE"""),4.0)</f>
        <v>4</v>
      </c>
      <c r="G2853" s="4">
        <f>IFERROR(__xludf.DUMMYFUNCTION("""COMPUTED_VALUE"""),1091.0)</f>
        <v>1091</v>
      </c>
      <c r="H2853" s="5">
        <f>IFERROR(__xludf.DUMMYFUNCTION("""COMPUTED_VALUE"""),9497.11)</f>
        <v>9497.11</v>
      </c>
      <c r="I2853" s="5">
        <f>IFERROR(__xludf.DUMMYFUNCTION("""COMPUTED_VALUE"""),1950.93)</f>
        <v>1950.93</v>
      </c>
      <c r="J2853" s="5">
        <f>IFERROR(__xludf.DUMMYFUNCTION("""COMPUTED_VALUE"""),9037.62)</f>
        <v>9037.62</v>
      </c>
      <c r="K2853" s="5">
        <f>IFERROR(__xludf.DUMMYFUNCTION("""COMPUTED_VALUE"""),5402.51)</f>
        <v>5402.51</v>
      </c>
      <c r="L2853" s="4">
        <f>IFERROR(__xludf.DUMMYFUNCTION("""COMPUTED_VALUE"""),11.0)</f>
        <v>11</v>
      </c>
      <c r="M2853" s="4">
        <f>IFERROR(__xludf.DUMMYFUNCTION("""COMPUTED_VALUE"""),97.0)</f>
        <v>97</v>
      </c>
      <c r="N2853" s="2" t="b">
        <f>IFERROR(__xludf.DUMMYFUNCTION("""COMPUTED_VALUE"""),FALSE)</f>
        <v>0</v>
      </c>
    </row>
    <row r="2854">
      <c r="A2854" s="2">
        <f>IFERROR(__xludf.DUMMYFUNCTION("""COMPUTED_VALUE"""),2853.0)</f>
        <v>2853</v>
      </c>
      <c r="B2854" s="2" t="str">
        <f>IFERROR(__xludf.DUMMYFUNCTION("""COMPUTED_VALUE"""),"Merry Endley")</f>
        <v>Merry Endley</v>
      </c>
      <c r="C2854" s="2"/>
      <c r="D2854" s="4">
        <f>IFERROR(__xludf.DUMMYFUNCTION("""COMPUTED_VALUE"""),18.0)</f>
        <v>18</v>
      </c>
      <c r="E2854" s="4">
        <f>IFERROR(__xludf.DUMMYFUNCTION("""COMPUTED_VALUE"""),31.0)</f>
        <v>31</v>
      </c>
      <c r="F2854" s="4">
        <f>IFERROR(__xludf.DUMMYFUNCTION("""COMPUTED_VALUE"""),10.0)</f>
        <v>10</v>
      </c>
      <c r="G2854" s="4">
        <f>IFERROR(__xludf.DUMMYFUNCTION("""COMPUTED_VALUE"""),1018.0)</f>
        <v>1018</v>
      </c>
      <c r="H2854" s="5">
        <f>IFERROR(__xludf.DUMMYFUNCTION("""COMPUTED_VALUE"""),7835.25)</f>
        <v>7835.25</v>
      </c>
      <c r="I2854" s="5">
        <f>IFERROR(__xludf.DUMMYFUNCTION("""COMPUTED_VALUE"""),3066.51)</f>
        <v>3066.51</v>
      </c>
      <c r="J2854" s="5">
        <f>IFERROR(__xludf.DUMMYFUNCTION("""COMPUTED_VALUE"""),5225.35)</f>
        <v>5225.35</v>
      </c>
      <c r="K2854" s="5">
        <f>IFERROR(__xludf.DUMMYFUNCTION("""COMPUTED_VALUE"""),5325.4)</f>
        <v>5325.4</v>
      </c>
      <c r="L2854" s="4">
        <f>IFERROR(__xludf.DUMMYFUNCTION("""COMPUTED_VALUE"""),6.0)</f>
        <v>6</v>
      </c>
      <c r="M2854" s="4">
        <f>IFERROR(__xludf.DUMMYFUNCTION("""COMPUTED_VALUE"""),76.0)</f>
        <v>76</v>
      </c>
      <c r="N2854" s="2" t="b">
        <f>IFERROR(__xludf.DUMMYFUNCTION("""COMPUTED_VALUE"""),TRUE)</f>
        <v>1</v>
      </c>
    </row>
    <row r="2855">
      <c r="A2855" s="2">
        <f>IFERROR(__xludf.DUMMYFUNCTION("""COMPUTED_VALUE"""),2854.0)</f>
        <v>2854</v>
      </c>
      <c r="B2855" s="2" t="str">
        <f>IFERROR(__xludf.DUMMYFUNCTION("""COMPUTED_VALUE"""),"William Iacovo")</f>
        <v>William Iacovo</v>
      </c>
      <c r="C2855" s="2" t="str">
        <f>IFERROR(__xludf.DUMMYFUNCTION("""COMPUTED_VALUE"""),"wiacovonq@blog.com")</f>
        <v>wiacovonq@blog.com</v>
      </c>
      <c r="D2855" s="4">
        <f>IFERROR(__xludf.DUMMYFUNCTION("""COMPUTED_VALUE"""),54.0)</f>
        <v>54</v>
      </c>
      <c r="E2855" s="4">
        <f>IFERROR(__xludf.DUMMYFUNCTION("""COMPUTED_VALUE"""),56.0)</f>
        <v>56</v>
      </c>
      <c r="F2855" s="4">
        <f>IFERROR(__xludf.DUMMYFUNCTION("""COMPUTED_VALUE"""),2.0)</f>
        <v>2</v>
      </c>
      <c r="G2855" s="4">
        <f>IFERROR(__xludf.DUMMYFUNCTION("""COMPUTED_VALUE"""),1273.0)</f>
        <v>1273</v>
      </c>
      <c r="H2855" s="5">
        <f>IFERROR(__xludf.DUMMYFUNCTION("""COMPUTED_VALUE"""),8891.39)</f>
        <v>8891.39</v>
      </c>
      <c r="I2855" s="5">
        <f>IFERROR(__xludf.DUMMYFUNCTION("""COMPUTED_VALUE"""),2485.81)</f>
        <v>2485.81</v>
      </c>
      <c r="J2855" s="5">
        <f>IFERROR(__xludf.DUMMYFUNCTION("""COMPUTED_VALUE"""),4366.82)</f>
        <v>4366.82</v>
      </c>
      <c r="K2855" s="5">
        <f>IFERROR(__xludf.DUMMYFUNCTION("""COMPUTED_VALUE"""),3615.85)</f>
        <v>3615.85</v>
      </c>
      <c r="L2855" s="4">
        <f>IFERROR(__xludf.DUMMYFUNCTION("""COMPUTED_VALUE"""),5.0)</f>
        <v>5</v>
      </c>
      <c r="M2855" s="4">
        <f>IFERROR(__xludf.DUMMYFUNCTION("""COMPUTED_VALUE"""),21.0)</f>
        <v>21</v>
      </c>
      <c r="N2855" s="2" t="b">
        <f>IFERROR(__xludf.DUMMYFUNCTION("""COMPUTED_VALUE"""),FALSE)</f>
        <v>0</v>
      </c>
    </row>
    <row r="2856">
      <c r="A2856" s="2">
        <f>IFERROR(__xludf.DUMMYFUNCTION("""COMPUTED_VALUE"""),2855.0)</f>
        <v>2855</v>
      </c>
      <c r="B2856" s="2" t="str">
        <f>IFERROR(__xludf.DUMMYFUNCTION("""COMPUTED_VALUE"""),"Vittoria Stradling")</f>
        <v>Vittoria Stradling</v>
      </c>
      <c r="C2856" s="2"/>
      <c r="D2856" s="4">
        <f>IFERROR(__xludf.DUMMYFUNCTION("""COMPUTED_VALUE"""),90.0)</f>
        <v>90</v>
      </c>
      <c r="E2856" s="4">
        <f>IFERROR(__xludf.DUMMYFUNCTION("""COMPUTED_VALUE"""),69.0)</f>
        <v>69</v>
      </c>
      <c r="F2856" s="4">
        <f>IFERROR(__xludf.DUMMYFUNCTION("""COMPUTED_VALUE"""),12.0)</f>
        <v>12</v>
      </c>
      <c r="G2856" s="4">
        <f>IFERROR(__xludf.DUMMYFUNCTION("""COMPUTED_VALUE"""),19.0)</f>
        <v>19</v>
      </c>
      <c r="H2856" s="5">
        <f>IFERROR(__xludf.DUMMYFUNCTION("""COMPUTED_VALUE"""),1893.27)</f>
        <v>1893.27</v>
      </c>
      <c r="I2856" s="5">
        <f>IFERROR(__xludf.DUMMYFUNCTION("""COMPUTED_VALUE"""),4693.41)</f>
        <v>4693.41</v>
      </c>
      <c r="J2856" s="5">
        <f>IFERROR(__xludf.DUMMYFUNCTION("""COMPUTED_VALUE"""),811.24)</f>
        <v>811.24</v>
      </c>
      <c r="K2856" s="5">
        <f>IFERROR(__xludf.DUMMYFUNCTION("""COMPUTED_VALUE"""),3295.78)</f>
        <v>3295.78</v>
      </c>
      <c r="L2856" s="4">
        <f>IFERROR(__xludf.DUMMYFUNCTION("""COMPUTED_VALUE"""),11.0)</f>
        <v>11</v>
      </c>
      <c r="M2856" s="4">
        <f>IFERROR(__xludf.DUMMYFUNCTION("""COMPUTED_VALUE"""),25.0)</f>
        <v>25</v>
      </c>
      <c r="N2856" s="2" t="b">
        <f>IFERROR(__xludf.DUMMYFUNCTION("""COMPUTED_VALUE"""),FALSE)</f>
        <v>0</v>
      </c>
    </row>
    <row r="2857">
      <c r="A2857" s="2">
        <f>IFERROR(__xludf.DUMMYFUNCTION("""COMPUTED_VALUE"""),2856.0)</f>
        <v>2856</v>
      </c>
      <c r="B2857" s="2" t="str">
        <f>IFERROR(__xludf.DUMMYFUNCTION("""COMPUTED_VALUE"""),"Margery Rickeard")</f>
        <v>Margery Rickeard</v>
      </c>
      <c r="C2857" s="2" t="str">
        <f>IFERROR(__xludf.DUMMYFUNCTION("""COMPUTED_VALUE"""),"mrickeardns@ft.com")</f>
        <v>mrickeardns@ft.com</v>
      </c>
      <c r="D2857" s="4">
        <f>IFERROR(__xludf.DUMMYFUNCTION("""COMPUTED_VALUE"""),72.0)</f>
        <v>72</v>
      </c>
      <c r="E2857" s="4">
        <f>IFERROR(__xludf.DUMMYFUNCTION("""COMPUTED_VALUE"""),80.0)</f>
        <v>80</v>
      </c>
      <c r="F2857" s="4">
        <f>IFERROR(__xludf.DUMMYFUNCTION("""COMPUTED_VALUE"""),4.0)</f>
        <v>4</v>
      </c>
      <c r="G2857" s="4">
        <f>IFERROR(__xludf.DUMMYFUNCTION("""COMPUTED_VALUE"""),767.0)</f>
        <v>767</v>
      </c>
      <c r="H2857" s="5">
        <f>IFERROR(__xludf.DUMMYFUNCTION("""COMPUTED_VALUE"""),3062.52)</f>
        <v>3062.52</v>
      </c>
      <c r="I2857" s="5">
        <f>IFERROR(__xludf.DUMMYFUNCTION("""COMPUTED_VALUE"""),6711.82)</f>
        <v>6711.82</v>
      </c>
      <c r="J2857" s="5">
        <f>IFERROR(__xludf.DUMMYFUNCTION("""COMPUTED_VALUE"""),106.67)</f>
        <v>106.67</v>
      </c>
      <c r="K2857" s="5">
        <f>IFERROR(__xludf.DUMMYFUNCTION("""COMPUTED_VALUE"""),1974.09)</f>
        <v>1974.09</v>
      </c>
      <c r="L2857" s="4">
        <f>IFERROR(__xludf.DUMMYFUNCTION("""COMPUTED_VALUE"""),13.0)</f>
        <v>13</v>
      </c>
      <c r="M2857" s="4">
        <f>IFERROR(__xludf.DUMMYFUNCTION("""COMPUTED_VALUE"""),80.0)</f>
        <v>80</v>
      </c>
      <c r="N2857" s="2" t="b">
        <f>IFERROR(__xludf.DUMMYFUNCTION("""COMPUTED_VALUE"""),TRUE)</f>
        <v>1</v>
      </c>
    </row>
    <row r="2858">
      <c r="A2858" s="2">
        <f>IFERROR(__xludf.DUMMYFUNCTION("""COMPUTED_VALUE"""),2857.0)</f>
        <v>2857</v>
      </c>
      <c r="B2858" s="2" t="str">
        <f>IFERROR(__xludf.DUMMYFUNCTION("""COMPUTED_VALUE"""),"Matthias Dosdill")</f>
        <v>Matthias Dosdill</v>
      </c>
      <c r="C2858" s="2" t="str">
        <f>IFERROR(__xludf.DUMMYFUNCTION("""COMPUTED_VALUE"""),"mdosdillnt@comsenz.com")</f>
        <v>mdosdillnt@comsenz.com</v>
      </c>
      <c r="D2858" s="4">
        <f>IFERROR(__xludf.DUMMYFUNCTION("""COMPUTED_VALUE"""),157.0)</f>
        <v>157</v>
      </c>
      <c r="E2858" s="4">
        <f>IFERROR(__xludf.DUMMYFUNCTION("""COMPUTED_VALUE"""),21.0)</f>
        <v>21</v>
      </c>
      <c r="F2858" s="4">
        <f>IFERROR(__xludf.DUMMYFUNCTION("""COMPUTED_VALUE"""),13.0)</f>
        <v>13</v>
      </c>
      <c r="G2858" s="4">
        <f>IFERROR(__xludf.DUMMYFUNCTION("""COMPUTED_VALUE"""),110.0)</f>
        <v>110</v>
      </c>
      <c r="H2858" s="5">
        <f>IFERROR(__xludf.DUMMYFUNCTION("""COMPUTED_VALUE"""),3664.56)</f>
        <v>3664.56</v>
      </c>
      <c r="I2858" s="5">
        <f>IFERROR(__xludf.DUMMYFUNCTION("""COMPUTED_VALUE"""),4530.61)</f>
        <v>4530.61</v>
      </c>
      <c r="J2858" s="5">
        <f>IFERROR(__xludf.DUMMYFUNCTION("""COMPUTED_VALUE"""),6319.21)</f>
        <v>6319.21</v>
      </c>
      <c r="K2858" s="5">
        <f>IFERROR(__xludf.DUMMYFUNCTION("""COMPUTED_VALUE"""),6030.8)</f>
        <v>6030.8</v>
      </c>
      <c r="L2858" s="4">
        <f>IFERROR(__xludf.DUMMYFUNCTION("""COMPUTED_VALUE"""),14.0)</f>
        <v>14</v>
      </c>
      <c r="M2858" s="4">
        <f>IFERROR(__xludf.DUMMYFUNCTION("""COMPUTED_VALUE"""),61.0)</f>
        <v>61</v>
      </c>
      <c r="N2858" s="2" t="b">
        <f>IFERROR(__xludf.DUMMYFUNCTION("""COMPUTED_VALUE"""),TRUE)</f>
        <v>1</v>
      </c>
    </row>
    <row r="2859">
      <c r="A2859" s="2">
        <f>IFERROR(__xludf.DUMMYFUNCTION("""COMPUTED_VALUE"""),2858.0)</f>
        <v>2858</v>
      </c>
      <c r="B2859" s="2" t="str">
        <f>IFERROR(__xludf.DUMMYFUNCTION("""COMPUTED_VALUE"""),"Milt Vanne")</f>
        <v>Milt Vanne</v>
      </c>
      <c r="C2859" s="2" t="str">
        <f>IFERROR(__xludf.DUMMYFUNCTION("""COMPUTED_VALUE"""),"mvannenu@myspace.com")</f>
        <v>mvannenu@myspace.com</v>
      </c>
      <c r="D2859" s="4">
        <f>IFERROR(__xludf.DUMMYFUNCTION("""COMPUTED_VALUE"""),11.0)</f>
        <v>11</v>
      </c>
      <c r="E2859" s="4">
        <f>IFERROR(__xludf.DUMMYFUNCTION("""COMPUTED_VALUE"""),24.0)</f>
        <v>24</v>
      </c>
      <c r="F2859" s="4">
        <f>IFERROR(__xludf.DUMMYFUNCTION("""COMPUTED_VALUE"""),2.0)</f>
        <v>2</v>
      </c>
      <c r="G2859" s="4">
        <f>IFERROR(__xludf.DUMMYFUNCTION("""COMPUTED_VALUE"""),1146.0)</f>
        <v>1146</v>
      </c>
      <c r="H2859" s="5">
        <f>IFERROR(__xludf.DUMMYFUNCTION("""COMPUTED_VALUE"""),3253.88)</f>
        <v>3253.88</v>
      </c>
      <c r="I2859" s="5">
        <f>IFERROR(__xludf.DUMMYFUNCTION("""COMPUTED_VALUE"""),8140.39)</f>
        <v>8140.39</v>
      </c>
      <c r="J2859" s="5">
        <f>IFERROR(__xludf.DUMMYFUNCTION("""COMPUTED_VALUE"""),3603.86)</f>
        <v>3603.86</v>
      </c>
      <c r="K2859" s="5">
        <f>IFERROR(__xludf.DUMMYFUNCTION("""COMPUTED_VALUE"""),7598.21)</f>
        <v>7598.21</v>
      </c>
      <c r="L2859" s="4">
        <f>IFERROR(__xludf.DUMMYFUNCTION("""COMPUTED_VALUE"""),1.0)</f>
        <v>1</v>
      </c>
      <c r="M2859" s="4">
        <f>IFERROR(__xludf.DUMMYFUNCTION("""COMPUTED_VALUE"""),92.0)</f>
        <v>92</v>
      </c>
      <c r="N2859" s="2" t="b">
        <f>IFERROR(__xludf.DUMMYFUNCTION("""COMPUTED_VALUE"""),TRUE)</f>
        <v>1</v>
      </c>
    </row>
    <row r="2860">
      <c r="A2860" s="2">
        <f>IFERROR(__xludf.DUMMYFUNCTION("""COMPUTED_VALUE"""),2859.0)</f>
        <v>2859</v>
      </c>
      <c r="B2860" s="2" t="str">
        <f>IFERROR(__xludf.DUMMYFUNCTION("""COMPUTED_VALUE"""),"Rheba Gaskamp")</f>
        <v>Rheba Gaskamp</v>
      </c>
      <c r="C2860" s="2"/>
      <c r="D2860" s="4">
        <f>IFERROR(__xludf.DUMMYFUNCTION("""COMPUTED_VALUE"""),8.0)</f>
        <v>8</v>
      </c>
      <c r="E2860" s="4">
        <f>IFERROR(__xludf.DUMMYFUNCTION("""COMPUTED_VALUE"""),100.0)</f>
        <v>100</v>
      </c>
      <c r="F2860" s="4">
        <f>IFERROR(__xludf.DUMMYFUNCTION("""COMPUTED_VALUE"""),9.0)</f>
        <v>9</v>
      </c>
      <c r="G2860" s="4">
        <f>IFERROR(__xludf.DUMMYFUNCTION("""COMPUTED_VALUE"""),1208.0)</f>
        <v>1208</v>
      </c>
      <c r="H2860" s="5">
        <f>IFERROR(__xludf.DUMMYFUNCTION("""COMPUTED_VALUE"""),9112.04)</f>
        <v>9112.04</v>
      </c>
      <c r="I2860" s="5">
        <f>IFERROR(__xludf.DUMMYFUNCTION("""COMPUTED_VALUE"""),3483.57)</f>
        <v>3483.57</v>
      </c>
      <c r="J2860" s="5">
        <f>IFERROR(__xludf.DUMMYFUNCTION("""COMPUTED_VALUE"""),9048.84)</f>
        <v>9048.84</v>
      </c>
      <c r="K2860" s="5">
        <f>IFERROR(__xludf.DUMMYFUNCTION("""COMPUTED_VALUE"""),7774.2)</f>
        <v>7774.2</v>
      </c>
      <c r="L2860" s="4">
        <f>IFERROR(__xludf.DUMMYFUNCTION("""COMPUTED_VALUE"""),16.0)</f>
        <v>16</v>
      </c>
      <c r="M2860" s="4">
        <f>IFERROR(__xludf.DUMMYFUNCTION("""COMPUTED_VALUE"""),58.0)</f>
        <v>58</v>
      </c>
      <c r="N2860" s="2" t="b">
        <f>IFERROR(__xludf.DUMMYFUNCTION("""COMPUTED_VALUE"""),FALSE)</f>
        <v>0</v>
      </c>
    </row>
    <row r="2861">
      <c r="A2861" s="2">
        <f>IFERROR(__xludf.DUMMYFUNCTION("""COMPUTED_VALUE"""),2860.0)</f>
        <v>2860</v>
      </c>
      <c r="B2861" s="2" t="str">
        <f>IFERROR(__xludf.DUMMYFUNCTION("""COMPUTED_VALUE"""),"Celinda Dayley")</f>
        <v>Celinda Dayley</v>
      </c>
      <c r="C2861" s="2"/>
      <c r="D2861" s="4">
        <f>IFERROR(__xludf.DUMMYFUNCTION("""COMPUTED_VALUE"""),158.0)</f>
        <v>158</v>
      </c>
      <c r="E2861" s="4">
        <f>IFERROR(__xludf.DUMMYFUNCTION("""COMPUTED_VALUE"""),14.0)</f>
        <v>14</v>
      </c>
      <c r="F2861" s="4">
        <f>IFERROR(__xludf.DUMMYFUNCTION("""COMPUTED_VALUE"""),8.0)</f>
        <v>8</v>
      </c>
      <c r="G2861" s="4">
        <f>IFERROR(__xludf.DUMMYFUNCTION("""COMPUTED_VALUE"""),218.0)</f>
        <v>218</v>
      </c>
      <c r="H2861" s="5">
        <f>IFERROR(__xludf.DUMMYFUNCTION("""COMPUTED_VALUE"""),68.27)</f>
        <v>68.27</v>
      </c>
      <c r="I2861" s="5">
        <f>IFERROR(__xludf.DUMMYFUNCTION("""COMPUTED_VALUE"""),6693.33)</f>
        <v>6693.33</v>
      </c>
      <c r="J2861" s="5">
        <f>IFERROR(__xludf.DUMMYFUNCTION("""COMPUTED_VALUE"""),8905.7)</f>
        <v>8905.7</v>
      </c>
      <c r="K2861" s="5">
        <f>IFERROR(__xludf.DUMMYFUNCTION("""COMPUTED_VALUE"""),3501.99)</f>
        <v>3501.99</v>
      </c>
      <c r="L2861" s="4">
        <f>IFERROR(__xludf.DUMMYFUNCTION("""COMPUTED_VALUE"""),15.0)</f>
        <v>15</v>
      </c>
      <c r="M2861" s="4">
        <f>IFERROR(__xludf.DUMMYFUNCTION("""COMPUTED_VALUE"""),89.0)</f>
        <v>89</v>
      </c>
      <c r="N2861" s="2" t="b">
        <f>IFERROR(__xludf.DUMMYFUNCTION("""COMPUTED_VALUE"""),FALSE)</f>
        <v>0</v>
      </c>
    </row>
    <row r="2862">
      <c r="A2862" s="2">
        <f>IFERROR(__xludf.DUMMYFUNCTION("""COMPUTED_VALUE"""),2861.0)</f>
        <v>2861</v>
      </c>
      <c r="B2862" s="2" t="str">
        <f>IFERROR(__xludf.DUMMYFUNCTION("""COMPUTED_VALUE"""),"Guinevere MacKereth")</f>
        <v>Guinevere MacKereth</v>
      </c>
      <c r="C2862" s="2"/>
      <c r="D2862" s="4">
        <f>IFERROR(__xludf.DUMMYFUNCTION("""COMPUTED_VALUE"""),23.0)</f>
        <v>23</v>
      </c>
      <c r="E2862" s="4">
        <f>IFERROR(__xludf.DUMMYFUNCTION("""COMPUTED_VALUE"""),85.0)</f>
        <v>85</v>
      </c>
      <c r="F2862" s="4">
        <f>IFERROR(__xludf.DUMMYFUNCTION("""COMPUTED_VALUE"""),4.0)</f>
        <v>4</v>
      </c>
      <c r="G2862" s="4">
        <f>IFERROR(__xludf.DUMMYFUNCTION("""COMPUTED_VALUE"""),640.0)</f>
        <v>640</v>
      </c>
      <c r="H2862" s="5">
        <f>IFERROR(__xludf.DUMMYFUNCTION("""COMPUTED_VALUE"""),3693.51)</f>
        <v>3693.51</v>
      </c>
      <c r="I2862" s="5">
        <f>IFERROR(__xludf.DUMMYFUNCTION("""COMPUTED_VALUE"""),7631.08)</f>
        <v>7631.08</v>
      </c>
      <c r="J2862" s="5">
        <f>IFERROR(__xludf.DUMMYFUNCTION("""COMPUTED_VALUE"""),7006.88)</f>
        <v>7006.88</v>
      </c>
      <c r="K2862" s="5">
        <f>IFERROR(__xludf.DUMMYFUNCTION("""COMPUTED_VALUE"""),1952.94)</f>
        <v>1952.94</v>
      </c>
      <c r="L2862" s="4">
        <f>IFERROR(__xludf.DUMMYFUNCTION("""COMPUTED_VALUE"""),1.0)</f>
        <v>1</v>
      </c>
      <c r="M2862" s="4">
        <f>IFERROR(__xludf.DUMMYFUNCTION("""COMPUTED_VALUE"""),46.0)</f>
        <v>46</v>
      </c>
      <c r="N2862" s="2" t="b">
        <f>IFERROR(__xludf.DUMMYFUNCTION("""COMPUTED_VALUE"""),TRUE)</f>
        <v>1</v>
      </c>
    </row>
    <row r="2863">
      <c r="A2863" s="2">
        <f>IFERROR(__xludf.DUMMYFUNCTION("""COMPUTED_VALUE"""),2862.0)</f>
        <v>2862</v>
      </c>
      <c r="B2863" s="2" t="str">
        <f>IFERROR(__xludf.DUMMYFUNCTION("""COMPUTED_VALUE"""),"Aundrea Lightning")</f>
        <v>Aundrea Lightning</v>
      </c>
      <c r="C2863" s="2"/>
      <c r="D2863" s="4">
        <f>IFERROR(__xludf.DUMMYFUNCTION("""COMPUTED_VALUE"""),129.0)</f>
        <v>129</v>
      </c>
      <c r="E2863" s="4">
        <f>IFERROR(__xludf.DUMMYFUNCTION("""COMPUTED_VALUE"""),47.0)</f>
        <v>47</v>
      </c>
      <c r="F2863" s="4">
        <f>IFERROR(__xludf.DUMMYFUNCTION("""COMPUTED_VALUE"""),3.0)</f>
        <v>3</v>
      </c>
      <c r="G2863" s="4">
        <f>IFERROR(__xludf.DUMMYFUNCTION("""COMPUTED_VALUE"""),668.0)</f>
        <v>668</v>
      </c>
      <c r="H2863" s="5">
        <f>IFERROR(__xludf.DUMMYFUNCTION("""COMPUTED_VALUE"""),2011.03)</f>
        <v>2011.03</v>
      </c>
      <c r="I2863" s="5">
        <f>IFERROR(__xludf.DUMMYFUNCTION("""COMPUTED_VALUE"""),1352.04)</f>
        <v>1352.04</v>
      </c>
      <c r="J2863" s="5">
        <f>IFERROR(__xludf.DUMMYFUNCTION("""COMPUTED_VALUE"""),3451.37)</f>
        <v>3451.37</v>
      </c>
      <c r="K2863" s="5">
        <f>IFERROR(__xludf.DUMMYFUNCTION("""COMPUTED_VALUE"""),6330.16)</f>
        <v>6330.16</v>
      </c>
      <c r="L2863" s="4">
        <f>IFERROR(__xludf.DUMMYFUNCTION("""COMPUTED_VALUE"""),14.0)</f>
        <v>14</v>
      </c>
      <c r="M2863" s="4">
        <f>IFERROR(__xludf.DUMMYFUNCTION("""COMPUTED_VALUE"""),86.0)</f>
        <v>86</v>
      </c>
      <c r="N2863" s="2" t="b">
        <f>IFERROR(__xludf.DUMMYFUNCTION("""COMPUTED_VALUE"""),FALSE)</f>
        <v>0</v>
      </c>
    </row>
    <row r="2864">
      <c r="A2864" s="2">
        <f>IFERROR(__xludf.DUMMYFUNCTION("""COMPUTED_VALUE"""),2863.0)</f>
        <v>2863</v>
      </c>
      <c r="B2864" s="2" t="str">
        <f>IFERROR(__xludf.DUMMYFUNCTION("""COMPUTED_VALUE"""),"Cherlyn Ludwig")</f>
        <v>Cherlyn Ludwig</v>
      </c>
      <c r="C2864" s="2"/>
      <c r="D2864" s="4">
        <f>IFERROR(__xludf.DUMMYFUNCTION("""COMPUTED_VALUE"""),70.0)</f>
        <v>70</v>
      </c>
      <c r="E2864" s="4">
        <f>IFERROR(__xludf.DUMMYFUNCTION("""COMPUTED_VALUE"""),95.0)</f>
        <v>95</v>
      </c>
      <c r="F2864" s="4">
        <f>IFERROR(__xludf.DUMMYFUNCTION("""COMPUTED_VALUE"""),13.0)</f>
        <v>13</v>
      </c>
      <c r="G2864" s="4">
        <f>IFERROR(__xludf.DUMMYFUNCTION("""COMPUTED_VALUE"""),1131.0)</f>
        <v>1131</v>
      </c>
      <c r="H2864" s="5">
        <f>IFERROR(__xludf.DUMMYFUNCTION("""COMPUTED_VALUE"""),8688.1)</f>
        <v>8688.1</v>
      </c>
      <c r="I2864" s="5">
        <f>IFERROR(__xludf.DUMMYFUNCTION("""COMPUTED_VALUE"""),7727.56)</f>
        <v>7727.56</v>
      </c>
      <c r="J2864" s="5">
        <f>IFERROR(__xludf.DUMMYFUNCTION("""COMPUTED_VALUE"""),8605.44)</f>
        <v>8605.44</v>
      </c>
      <c r="K2864" s="5">
        <f>IFERROR(__xludf.DUMMYFUNCTION("""COMPUTED_VALUE"""),4282.45)</f>
        <v>4282.45</v>
      </c>
      <c r="L2864" s="4">
        <f>IFERROR(__xludf.DUMMYFUNCTION("""COMPUTED_VALUE"""),13.0)</f>
        <v>13</v>
      </c>
      <c r="M2864" s="4">
        <f>IFERROR(__xludf.DUMMYFUNCTION("""COMPUTED_VALUE"""),24.0)</f>
        <v>24</v>
      </c>
      <c r="N2864" s="2" t="b">
        <f>IFERROR(__xludf.DUMMYFUNCTION("""COMPUTED_VALUE"""),TRUE)</f>
        <v>1</v>
      </c>
    </row>
    <row r="2865">
      <c r="A2865" s="2">
        <f>IFERROR(__xludf.DUMMYFUNCTION("""COMPUTED_VALUE"""),2864.0)</f>
        <v>2864</v>
      </c>
      <c r="B2865" s="2" t="str">
        <f>IFERROR(__xludf.DUMMYFUNCTION("""COMPUTED_VALUE"""),"Verla Salmons")</f>
        <v>Verla Salmons</v>
      </c>
      <c r="C2865" s="2" t="str">
        <f>IFERROR(__xludf.DUMMYFUNCTION("""COMPUTED_VALUE"""),"vsalmonso0@va.gov")</f>
        <v>vsalmonso0@va.gov</v>
      </c>
      <c r="D2865" s="4">
        <f>IFERROR(__xludf.DUMMYFUNCTION("""COMPUTED_VALUE"""),95.0)</f>
        <v>95</v>
      </c>
      <c r="E2865" s="4">
        <f>IFERROR(__xludf.DUMMYFUNCTION("""COMPUTED_VALUE"""),22.0)</f>
        <v>22</v>
      </c>
      <c r="F2865" s="4">
        <f>IFERROR(__xludf.DUMMYFUNCTION("""COMPUTED_VALUE"""),9.0)</f>
        <v>9</v>
      </c>
      <c r="G2865" s="4">
        <f>IFERROR(__xludf.DUMMYFUNCTION("""COMPUTED_VALUE"""),373.0)</f>
        <v>373</v>
      </c>
      <c r="H2865" s="5">
        <f>IFERROR(__xludf.DUMMYFUNCTION("""COMPUTED_VALUE"""),8938.38)</f>
        <v>8938.38</v>
      </c>
      <c r="I2865" s="5">
        <f>IFERROR(__xludf.DUMMYFUNCTION("""COMPUTED_VALUE"""),1414.26)</f>
        <v>1414.26</v>
      </c>
      <c r="J2865" s="5">
        <f>IFERROR(__xludf.DUMMYFUNCTION("""COMPUTED_VALUE"""),5358.2)</f>
        <v>5358.2</v>
      </c>
      <c r="K2865" s="5">
        <f>IFERROR(__xludf.DUMMYFUNCTION("""COMPUTED_VALUE"""),7139.43)</f>
        <v>7139.43</v>
      </c>
      <c r="L2865" s="4">
        <f>IFERROR(__xludf.DUMMYFUNCTION("""COMPUTED_VALUE"""),8.0)</f>
        <v>8</v>
      </c>
      <c r="M2865" s="4">
        <f>IFERROR(__xludf.DUMMYFUNCTION("""COMPUTED_VALUE"""),22.0)</f>
        <v>22</v>
      </c>
      <c r="N2865" s="2" t="b">
        <f>IFERROR(__xludf.DUMMYFUNCTION("""COMPUTED_VALUE"""),FALSE)</f>
        <v>0</v>
      </c>
    </row>
    <row r="2866">
      <c r="A2866" s="2">
        <f>IFERROR(__xludf.DUMMYFUNCTION("""COMPUTED_VALUE"""),2865.0)</f>
        <v>2865</v>
      </c>
      <c r="B2866" s="2" t="str">
        <f>IFERROR(__xludf.DUMMYFUNCTION("""COMPUTED_VALUE"""),"Adelbert Thairs")</f>
        <v>Adelbert Thairs</v>
      </c>
      <c r="C2866" s="2" t="str">
        <f>IFERROR(__xludf.DUMMYFUNCTION("""COMPUTED_VALUE"""),"athairso1@soup.io")</f>
        <v>athairso1@soup.io</v>
      </c>
      <c r="D2866" s="4">
        <f>IFERROR(__xludf.DUMMYFUNCTION("""COMPUTED_VALUE"""),145.0)</f>
        <v>145</v>
      </c>
      <c r="E2866" s="4">
        <f>IFERROR(__xludf.DUMMYFUNCTION("""COMPUTED_VALUE"""),12.0)</f>
        <v>12</v>
      </c>
      <c r="F2866" s="4">
        <f>IFERROR(__xludf.DUMMYFUNCTION("""COMPUTED_VALUE"""),13.0)</f>
        <v>13</v>
      </c>
      <c r="G2866" s="4">
        <f>IFERROR(__xludf.DUMMYFUNCTION("""COMPUTED_VALUE"""),1537.0)</f>
        <v>1537</v>
      </c>
      <c r="H2866" s="5">
        <f>IFERROR(__xludf.DUMMYFUNCTION("""COMPUTED_VALUE"""),5987.17)</f>
        <v>5987.17</v>
      </c>
      <c r="I2866" s="5">
        <f>IFERROR(__xludf.DUMMYFUNCTION("""COMPUTED_VALUE"""),166.48)</f>
        <v>166.48</v>
      </c>
      <c r="J2866" s="5">
        <f>IFERROR(__xludf.DUMMYFUNCTION("""COMPUTED_VALUE"""),7600.17)</f>
        <v>7600.17</v>
      </c>
      <c r="K2866" s="5">
        <f>IFERROR(__xludf.DUMMYFUNCTION("""COMPUTED_VALUE"""),9604.48)</f>
        <v>9604.48</v>
      </c>
      <c r="L2866" s="4">
        <f>IFERROR(__xludf.DUMMYFUNCTION("""COMPUTED_VALUE"""),5.0)</f>
        <v>5</v>
      </c>
      <c r="M2866" s="4">
        <f>IFERROR(__xludf.DUMMYFUNCTION("""COMPUTED_VALUE"""),57.0)</f>
        <v>57</v>
      </c>
      <c r="N2866" s="2" t="b">
        <f>IFERROR(__xludf.DUMMYFUNCTION("""COMPUTED_VALUE"""),TRUE)</f>
        <v>1</v>
      </c>
    </row>
    <row r="2867">
      <c r="A2867" s="2">
        <f>IFERROR(__xludf.DUMMYFUNCTION("""COMPUTED_VALUE"""),2866.0)</f>
        <v>2866</v>
      </c>
      <c r="B2867" s="2" t="str">
        <f>IFERROR(__xludf.DUMMYFUNCTION("""COMPUTED_VALUE"""),"Mitchel Lindberg")</f>
        <v>Mitchel Lindberg</v>
      </c>
      <c r="C2867" s="2" t="str">
        <f>IFERROR(__xludf.DUMMYFUNCTION("""COMPUTED_VALUE"""),"mlindbergo2@myspace.com")</f>
        <v>mlindbergo2@myspace.com</v>
      </c>
      <c r="D2867" s="4">
        <f>IFERROR(__xludf.DUMMYFUNCTION("""COMPUTED_VALUE"""),102.0)</f>
        <v>102</v>
      </c>
      <c r="E2867" s="4">
        <f>IFERROR(__xludf.DUMMYFUNCTION("""COMPUTED_VALUE"""),87.0)</f>
        <v>87</v>
      </c>
      <c r="F2867" s="4">
        <f>IFERROR(__xludf.DUMMYFUNCTION("""COMPUTED_VALUE"""),6.0)</f>
        <v>6</v>
      </c>
      <c r="G2867" s="4">
        <f>IFERROR(__xludf.DUMMYFUNCTION("""COMPUTED_VALUE"""),1520.0)</f>
        <v>1520</v>
      </c>
      <c r="H2867" s="5">
        <f>IFERROR(__xludf.DUMMYFUNCTION("""COMPUTED_VALUE"""),6633.96)</f>
        <v>6633.96</v>
      </c>
      <c r="I2867" s="5">
        <f>IFERROR(__xludf.DUMMYFUNCTION("""COMPUTED_VALUE"""),6466.26)</f>
        <v>6466.26</v>
      </c>
      <c r="J2867" s="5">
        <f>IFERROR(__xludf.DUMMYFUNCTION("""COMPUTED_VALUE"""),8782.76)</f>
        <v>8782.76</v>
      </c>
      <c r="K2867" s="5">
        <f>IFERROR(__xludf.DUMMYFUNCTION("""COMPUTED_VALUE"""),698.35)</f>
        <v>698.35</v>
      </c>
      <c r="L2867" s="4">
        <f>IFERROR(__xludf.DUMMYFUNCTION("""COMPUTED_VALUE"""),15.0)</f>
        <v>15</v>
      </c>
      <c r="M2867" s="4">
        <f>IFERROR(__xludf.DUMMYFUNCTION("""COMPUTED_VALUE"""),2.0)</f>
        <v>2</v>
      </c>
      <c r="N2867" s="2" t="b">
        <f>IFERROR(__xludf.DUMMYFUNCTION("""COMPUTED_VALUE"""),TRUE)</f>
        <v>1</v>
      </c>
    </row>
    <row r="2868">
      <c r="A2868" s="2">
        <f>IFERROR(__xludf.DUMMYFUNCTION("""COMPUTED_VALUE"""),2867.0)</f>
        <v>2867</v>
      </c>
      <c r="B2868" s="2" t="str">
        <f>IFERROR(__xludf.DUMMYFUNCTION("""COMPUTED_VALUE"""),"Karie Langsdon")</f>
        <v>Karie Langsdon</v>
      </c>
      <c r="C2868" s="2" t="str">
        <f>IFERROR(__xludf.DUMMYFUNCTION("""COMPUTED_VALUE"""),"klangsdono3@acquirethisname.com")</f>
        <v>klangsdono3@acquirethisname.com</v>
      </c>
      <c r="D2868" s="4">
        <f>IFERROR(__xludf.DUMMYFUNCTION("""COMPUTED_VALUE"""),2.0)</f>
        <v>2</v>
      </c>
      <c r="E2868" s="4">
        <f>IFERROR(__xludf.DUMMYFUNCTION("""COMPUTED_VALUE"""),101.0)</f>
        <v>101</v>
      </c>
      <c r="F2868" s="4">
        <f>IFERROR(__xludf.DUMMYFUNCTION("""COMPUTED_VALUE"""),6.0)</f>
        <v>6</v>
      </c>
      <c r="G2868" s="4">
        <f>IFERROR(__xludf.DUMMYFUNCTION("""COMPUTED_VALUE"""),763.0)</f>
        <v>763</v>
      </c>
      <c r="H2868" s="5">
        <f>IFERROR(__xludf.DUMMYFUNCTION("""COMPUTED_VALUE"""),204.41)</f>
        <v>204.41</v>
      </c>
      <c r="I2868" s="5">
        <f>IFERROR(__xludf.DUMMYFUNCTION("""COMPUTED_VALUE"""),682.62)</f>
        <v>682.62</v>
      </c>
      <c r="J2868" s="5">
        <f>IFERROR(__xludf.DUMMYFUNCTION("""COMPUTED_VALUE"""),4347.73)</f>
        <v>4347.73</v>
      </c>
      <c r="K2868" s="5">
        <f>IFERROR(__xludf.DUMMYFUNCTION("""COMPUTED_VALUE"""),7237.06)</f>
        <v>7237.06</v>
      </c>
      <c r="L2868" s="4">
        <f>IFERROR(__xludf.DUMMYFUNCTION("""COMPUTED_VALUE"""),8.0)</f>
        <v>8</v>
      </c>
      <c r="M2868" s="4">
        <f>IFERROR(__xludf.DUMMYFUNCTION("""COMPUTED_VALUE"""),77.0)</f>
        <v>77</v>
      </c>
      <c r="N2868" s="2" t="b">
        <f>IFERROR(__xludf.DUMMYFUNCTION("""COMPUTED_VALUE"""),TRUE)</f>
        <v>1</v>
      </c>
    </row>
    <row r="2869">
      <c r="A2869" s="2">
        <f>IFERROR(__xludf.DUMMYFUNCTION("""COMPUTED_VALUE"""),2868.0)</f>
        <v>2868</v>
      </c>
      <c r="B2869" s="2" t="str">
        <f>IFERROR(__xludf.DUMMYFUNCTION("""COMPUTED_VALUE"""),"Chryste Maisey")</f>
        <v>Chryste Maisey</v>
      </c>
      <c r="C2869" s="2"/>
      <c r="D2869" s="4">
        <f>IFERROR(__xludf.DUMMYFUNCTION("""COMPUTED_VALUE"""),130.0)</f>
        <v>130</v>
      </c>
      <c r="E2869" s="4">
        <f>IFERROR(__xludf.DUMMYFUNCTION("""COMPUTED_VALUE"""),2.0)</f>
        <v>2</v>
      </c>
      <c r="F2869" s="4">
        <f>IFERROR(__xludf.DUMMYFUNCTION("""COMPUTED_VALUE"""),3.0)</f>
        <v>3</v>
      </c>
      <c r="G2869" s="4">
        <f>IFERROR(__xludf.DUMMYFUNCTION("""COMPUTED_VALUE"""),875.0)</f>
        <v>875</v>
      </c>
      <c r="H2869" s="5">
        <f>IFERROR(__xludf.DUMMYFUNCTION("""COMPUTED_VALUE"""),5888.37)</f>
        <v>5888.37</v>
      </c>
      <c r="I2869" s="5">
        <f>IFERROR(__xludf.DUMMYFUNCTION("""COMPUTED_VALUE"""),3328.03)</f>
        <v>3328.03</v>
      </c>
      <c r="J2869" s="5">
        <f>IFERROR(__xludf.DUMMYFUNCTION("""COMPUTED_VALUE"""),6325.14)</f>
        <v>6325.14</v>
      </c>
      <c r="K2869" s="5">
        <f>IFERROR(__xludf.DUMMYFUNCTION("""COMPUTED_VALUE"""),7840.29)</f>
        <v>7840.29</v>
      </c>
      <c r="L2869" s="4">
        <f>IFERROR(__xludf.DUMMYFUNCTION("""COMPUTED_VALUE"""),20.0)</f>
        <v>20</v>
      </c>
      <c r="M2869" s="4">
        <f>IFERROR(__xludf.DUMMYFUNCTION("""COMPUTED_VALUE"""),40.0)</f>
        <v>40</v>
      </c>
      <c r="N2869" s="2" t="b">
        <f>IFERROR(__xludf.DUMMYFUNCTION("""COMPUTED_VALUE"""),FALSE)</f>
        <v>0</v>
      </c>
    </row>
    <row r="2870">
      <c r="A2870" s="2">
        <f>IFERROR(__xludf.DUMMYFUNCTION("""COMPUTED_VALUE"""),2869.0)</f>
        <v>2869</v>
      </c>
      <c r="B2870" s="2" t="str">
        <f>IFERROR(__xludf.DUMMYFUNCTION("""COMPUTED_VALUE"""),"Alejandra Drexel")</f>
        <v>Alejandra Drexel</v>
      </c>
      <c r="C2870" s="2"/>
      <c r="D2870" s="4">
        <f>IFERROR(__xludf.DUMMYFUNCTION("""COMPUTED_VALUE"""),15.0)</f>
        <v>15</v>
      </c>
      <c r="E2870" s="4">
        <f>IFERROR(__xludf.DUMMYFUNCTION("""COMPUTED_VALUE"""),117.0)</f>
        <v>117</v>
      </c>
      <c r="F2870" s="4">
        <f>IFERROR(__xludf.DUMMYFUNCTION("""COMPUTED_VALUE"""),7.0)</f>
        <v>7</v>
      </c>
      <c r="G2870" s="4">
        <f>IFERROR(__xludf.DUMMYFUNCTION("""COMPUTED_VALUE"""),1234.0)</f>
        <v>1234</v>
      </c>
      <c r="H2870" s="5">
        <f>IFERROR(__xludf.DUMMYFUNCTION("""COMPUTED_VALUE"""),262.15)</f>
        <v>262.15</v>
      </c>
      <c r="I2870" s="5">
        <f>IFERROR(__xludf.DUMMYFUNCTION("""COMPUTED_VALUE"""),2053.04)</f>
        <v>2053.04</v>
      </c>
      <c r="J2870" s="5">
        <f>IFERROR(__xludf.DUMMYFUNCTION("""COMPUTED_VALUE"""),5475.68)</f>
        <v>5475.68</v>
      </c>
      <c r="K2870" s="5">
        <f>IFERROR(__xludf.DUMMYFUNCTION("""COMPUTED_VALUE"""),7925.35)</f>
        <v>7925.35</v>
      </c>
      <c r="L2870" s="4">
        <f>IFERROR(__xludf.DUMMYFUNCTION("""COMPUTED_VALUE"""),18.0)</f>
        <v>18</v>
      </c>
      <c r="M2870" s="4">
        <f>IFERROR(__xludf.DUMMYFUNCTION("""COMPUTED_VALUE"""),94.0)</f>
        <v>94</v>
      </c>
      <c r="N2870" s="2" t="b">
        <f>IFERROR(__xludf.DUMMYFUNCTION("""COMPUTED_VALUE"""),FALSE)</f>
        <v>0</v>
      </c>
    </row>
    <row r="2871">
      <c r="A2871" s="2">
        <f>IFERROR(__xludf.DUMMYFUNCTION("""COMPUTED_VALUE"""),2870.0)</f>
        <v>2870</v>
      </c>
      <c r="B2871" s="2" t="str">
        <f>IFERROR(__xludf.DUMMYFUNCTION("""COMPUTED_VALUE"""),"Onfroi Samson")</f>
        <v>Onfroi Samson</v>
      </c>
      <c r="C2871" s="2" t="str">
        <f>IFERROR(__xludf.DUMMYFUNCTION("""COMPUTED_VALUE"""),"osamsono6@craigslist.org")</f>
        <v>osamsono6@craigslist.org</v>
      </c>
      <c r="D2871" s="4">
        <f>IFERROR(__xludf.DUMMYFUNCTION("""COMPUTED_VALUE"""),19.0)</f>
        <v>19</v>
      </c>
      <c r="E2871" s="4">
        <f>IFERROR(__xludf.DUMMYFUNCTION("""COMPUTED_VALUE"""),8.0)</f>
        <v>8</v>
      </c>
      <c r="F2871" s="4">
        <f>IFERROR(__xludf.DUMMYFUNCTION("""COMPUTED_VALUE"""),4.0)</f>
        <v>4</v>
      </c>
      <c r="G2871" s="4">
        <f>IFERROR(__xludf.DUMMYFUNCTION("""COMPUTED_VALUE"""),355.0)</f>
        <v>355</v>
      </c>
      <c r="H2871" s="5">
        <f>IFERROR(__xludf.DUMMYFUNCTION("""COMPUTED_VALUE"""),5335.78)</f>
        <v>5335.78</v>
      </c>
      <c r="I2871" s="5">
        <f>IFERROR(__xludf.DUMMYFUNCTION("""COMPUTED_VALUE"""),1983.27)</f>
        <v>1983.27</v>
      </c>
      <c r="J2871" s="5">
        <f>IFERROR(__xludf.DUMMYFUNCTION("""COMPUTED_VALUE"""),5293.63)</f>
        <v>5293.63</v>
      </c>
      <c r="K2871" s="5">
        <f>IFERROR(__xludf.DUMMYFUNCTION("""COMPUTED_VALUE"""),6629.43)</f>
        <v>6629.43</v>
      </c>
      <c r="L2871" s="4">
        <f>IFERROR(__xludf.DUMMYFUNCTION("""COMPUTED_VALUE"""),9.0)</f>
        <v>9</v>
      </c>
      <c r="M2871" s="4">
        <f>IFERROR(__xludf.DUMMYFUNCTION("""COMPUTED_VALUE"""),47.0)</f>
        <v>47</v>
      </c>
      <c r="N2871" s="2" t="b">
        <f>IFERROR(__xludf.DUMMYFUNCTION("""COMPUTED_VALUE"""),FALSE)</f>
        <v>0</v>
      </c>
    </row>
    <row r="2872">
      <c r="A2872" s="2">
        <f>IFERROR(__xludf.DUMMYFUNCTION("""COMPUTED_VALUE"""),2871.0)</f>
        <v>2871</v>
      </c>
      <c r="B2872" s="2" t="str">
        <f>IFERROR(__xludf.DUMMYFUNCTION("""COMPUTED_VALUE"""),"Tiphani Breakwell")</f>
        <v>Tiphani Breakwell</v>
      </c>
      <c r="C2872" s="2" t="str">
        <f>IFERROR(__xludf.DUMMYFUNCTION("""COMPUTED_VALUE"""),"tbreakwello7@reference.com")</f>
        <v>tbreakwello7@reference.com</v>
      </c>
      <c r="D2872" s="4">
        <f>IFERROR(__xludf.DUMMYFUNCTION("""COMPUTED_VALUE"""),4.0)</f>
        <v>4</v>
      </c>
      <c r="E2872" s="4">
        <f>IFERROR(__xludf.DUMMYFUNCTION("""COMPUTED_VALUE"""),46.0)</f>
        <v>46</v>
      </c>
      <c r="F2872" s="4">
        <f>IFERROR(__xludf.DUMMYFUNCTION("""COMPUTED_VALUE"""),2.0)</f>
        <v>2</v>
      </c>
      <c r="G2872" s="4">
        <f>IFERROR(__xludf.DUMMYFUNCTION("""COMPUTED_VALUE"""),667.0)</f>
        <v>667</v>
      </c>
      <c r="H2872" s="5">
        <f>IFERROR(__xludf.DUMMYFUNCTION("""COMPUTED_VALUE"""),3319.02)</f>
        <v>3319.02</v>
      </c>
      <c r="I2872" s="5">
        <f>IFERROR(__xludf.DUMMYFUNCTION("""COMPUTED_VALUE"""),2435.75)</f>
        <v>2435.75</v>
      </c>
      <c r="J2872" s="5">
        <f>IFERROR(__xludf.DUMMYFUNCTION("""COMPUTED_VALUE"""),4970.65)</f>
        <v>4970.65</v>
      </c>
      <c r="K2872" s="5">
        <f>IFERROR(__xludf.DUMMYFUNCTION("""COMPUTED_VALUE"""),1643.79)</f>
        <v>1643.79</v>
      </c>
      <c r="L2872" s="4">
        <f>IFERROR(__xludf.DUMMYFUNCTION("""COMPUTED_VALUE"""),11.0)</f>
        <v>11</v>
      </c>
      <c r="M2872" s="4">
        <f>IFERROR(__xludf.DUMMYFUNCTION("""COMPUTED_VALUE"""),73.0)</f>
        <v>73</v>
      </c>
      <c r="N2872" s="2" t="b">
        <f>IFERROR(__xludf.DUMMYFUNCTION("""COMPUTED_VALUE"""),FALSE)</f>
        <v>0</v>
      </c>
    </row>
    <row r="2873">
      <c r="A2873" s="2">
        <f>IFERROR(__xludf.DUMMYFUNCTION("""COMPUTED_VALUE"""),2872.0)</f>
        <v>2872</v>
      </c>
      <c r="B2873" s="2" t="str">
        <f>IFERROR(__xludf.DUMMYFUNCTION("""COMPUTED_VALUE"""),"Dona Wyrill")</f>
        <v>Dona Wyrill</v>
      </c>
      <c r="C2873" s="2"/>
      <c r="D2873" s="4">
        <f>IFERROR(__xludf.DUMMYFUNCTION("""COMPUTED_VALUE"""),115.0)</f>
        <v>115</v>
      </c>
      <c r="E2873" s="4">
        <f>IFERROR(__xludf.DUMMYFUNCTION("""COMPUTED_VALUE"""),6.0)</f>
        <v>6</v>
      </c>
      <c r="F2873" s="4">
        <f>IFERROR(__xludf.DUMMYFUNCTION("""COMPUTED_VALUE"""),11.0)</f>
        <v>11</v>
      </c>
      <c r="G2873" s="4">
        <f>IFERROR(__xludf.DUMMYFUNCTION("""COMPUTED_VALUE"""),117.0)</f>
        <v>117</v>
      </c>
      <c r="H2873" s="5">
        <f>IFERROR(__xludf.DUMMYFUNCTION("""COMPUTED_VALUE"""),8794.08)</f>
        <v>8794.08</v>
      </c>
      <c r="I2873" s="5">
        <f>IFERROR(__xludf.DUMMYFUNCTION("""COMPUTED_VALUE"""),3036.04)</f>
        <v>3036.04</v>
      </c>
      <c r="J2873" s="5">
        <f>IFERROR(__xludf.DUMMYFUNCTION("""COMPUTED_VALUE"""),4173.95)</f>
        <v>4173.95</v>
      </c>
      <c r="K2873" s="5">
        <f>IFERROR(__xludf.DUMMYFUNCTION("""COMPUTED_VALUE"""),3916.55)</f>
        <v>3916.55</v>
      </c>
      <c r="L2873" s="4">
        <f>IFERROR(__xludf.DUMMYFUNCTION("""COMPUTED_VALUE"""),12.0)</f>
        <v>12</v>
      </c>
      <c r="M2873" s="4">
        <f>IFERROR(__xludf.DUMMYFUNCTION("""COMPUTED_VALUE"""),88.0)</f>
        <v>88</v>
      </c>
      <c r="N2873" s="2" t="b">
        <f>IFERROR(__xludf.DUMMYFUNCTION("""COMPUTED_VALUE"""),FALSE)</f>
        <v>0</v>
      </c>
    </row>
    <row r="2874">
      <c r="A2874" s="2">
        <f>IFERROR(__xludf.DUMMYFUNCTION("""COMPUTED_VALUE"""),2873.0)</f>
        <v>2873</v>
      </c>
      <c r="B2874" s="2" t="str">
        <f>IFERROR(__xludf.DUMMYFUNCTION("""COMPUTED_VALUE"""),"Anneliese Mattia")</f>
        <v>Anneliese Mattia</v>
      </c>
      <c r="C2874" s="2"/>
      <c r="D2874" s="4">
        <f>IFERROR(__xludf.DUMMYFUNCTION("""COMPUTED_VALUE"""),17.0)</f>
        <v>17</v>
      </c>
      <c r="E2874" s="4">
        <f>IFERROR(__xludf.DUMMYFUNCTION("""COMPUTED_VALUE"""),76.0)</f>
        <v>76</v>
      </c>
      <c r="F2874" s="4">
        <f>IFERROR(__xludf.DUMMYFUNCTION("""COMPUTED_VALUE"""),3.0)</f>
        <v>3</v>
      </c>
      <c r="G2874" s="4">
        <f>IFERROR(__xludf.DUMMYFUNCTION("""COMPUTED_VALUE"""),1113.0)</f>
        <v>1113</v>
      </c>
      <c r="H2874" s="5">
        <f>IFERROR(__xludf.DUMMYFUNCTION("""COMPUTED_VALUE"""),5412.71)</f>
        <v>5412.71</v>
      </c>
      <c r="I2874" s="5">
        <f>IFERROR(__xludf.DUMMYFUNCTION("""COMPUTED_VALUE"""),5256.99)</f>
        <v>5256.99</v>
      </c>
      <c r="J2874" s="5">
        <f>IFERROR(__xludf.DUMMYFUNCTION("""COMPUTED_VALUE"""),1071.91)</f>
        <v>1071.91</v>
      </c>
      <c r="K2874" s="5">
        <f>IFERROR(__xludf.DUMMYFUNCTION("""COMPUTED_VALUE"""),9652.51)</f>
        <v>9652.51</v>
      </c>
      <c r="L2874" s="4">
        <f>IFERROR(__xludf.DUMMYFUNCTION("""COMPUTED_VALUE"""),13.0)</f>
        <v>13</v>
      </c>
      <c r="M2874" s="4">
        <f>IFERROR(__xludf.DUMMYFUNCTION("""COMPUTED_VALUE"""),50.0)</f>
        <v>50</v>
      </c>
      <c r="N2874" s="2" t="b">
        <f>IFERROR(__xludf.DUMMYFUNCTION("""COMPUTED_VALUE"""),FALSE)</f>
        <v>0</v>
      </c>
    </row>
    <row r="2875">
      <c r="A2875" s="2">
        <f>IFERROR(__xludf.DUMMYFUNCTION("""COMPUTED_VALUE"""),2874.0)</f>
        <v>2874</v>
      </c>
      <c r="B2875" s="2" t="str">
        <f>IFERROR(__xludf.DUMMYFUNCTION("""COMPUTED_VALUE"""),"Gelya Daymond")</f>
        <v>Gelya Daymond</v>
      </c>
      <c r="C2875" s="2"/>
      <c r="D2875" s="4">
        <f>IFERROR(__xludf.DUMMYFUNCTION("""COMPUTED_VALUE"""),136.0)</f>
        <v>136</v>
      </c>
      <c r="E2875" s="4">
        <f>IFERROR(__xludf.DUMMYFUNCTION("""COMPUTED_VALUE"""),72.0)</f>
        <v>72</v>
      </c>
      <c r="F2875" s="4">
        <f>IFERROR(__xludf.DUMMYFUNCTION("""COMPUTED_VALUE"""),8.0)</f>
        <v>8</v>
      </c>
      <c r="G2875" s="4">
        <f>IFERROR(__xludf.DUMMYFUNCTION("""COMPUTED_VALUE"""),539.0)</f>
        <v>539</v>
      </c>
      <c r="H2875" s="5">
        <f>IFERROR(__xludf.DUMMYFUNCTION("""COMPUTED_VALUE"""),3860.2)</f>
        <v>3860.2</v>
      </c>
      <c r="I2875" s="5">
        <f>IFERROR(__xludf.DUMMYFUNCTION("""COMPUTED_VALUE"""),399.23)</f>
        <v>399.23</v>
      </c>
      <c r="J2875" s="5">
        <f>IFERROR(__xludf.DUMMYFUNCTION("""COMPUTED_VALUE"""),7954.17)</f>
        <v>7954.17</v>
      </c>
      <c r="K2875" s="5">
        <f>IFERROR(__xludf.DUMMYFUNCTION("""COMPUTED_VALUE"""),2359.05)</f>
        <v>2359.05</v>
      </c>
      <c r="L2875" s="4">
        <f>IFERROR(__xludf.DUMMYFUNCTION("""COMPUTED_VALUE"""),20.0)</f>
        <v>20</v>
      </c>
      <c r="M2875" s="4">
        <f>IFERROR(__xludf.DUMMYFUNCTION("""COMPUTED_VALUE"""),38.0)</f>
        <v>38</v>
      </c>
      <c r="N2875" s="2" t="b">
        <f>IFERROR(__xludf.DUMMYFUNCTION("""COMPUTED_VALUE"""),FALSE)</f>
        <v>0</v>
      </c>
    </row>
    <row r="2876">
      <c r="A2876" s="2">
        <f>IFERROR(__xludf.DUMMYFUNCTION("""COMPUTED_VALUE"""),2875.0)</f>
        <v>2875</v>
      </c>
      <c r="B2876" s="2" t="str">
        <f>IFERROR(__xludf.DUMMYFUNCTION("""COMPUTED_VALUE"""),"Grant Umpleby")</f>
        <v>Grant Umpleby</v>
      </c>
      <c r="C2876" s="2"/>
      <c r="D2876" s="4">
        <f>IFERROR(__xludf.DUMMYFUNCTION("""COMPUTED_VALUE"""),113.0)</f>
        <v>113</v>
      </c>
      <c r="E2876" s="4">
        <f>IFERROR(__xludf.DUMMYFUNCTION("""COMPUTED_VALUE"""),108.0)</f>
        <v>108</v>
      </c>
      <c r="F2876" s="4">
        <f>IFERROR(__xludf.DUMMYFUNCTION("""COMPUTED_VALUE"""),9.0)</f>
        <v>9</v>
      </c>
      <c r="G2876" s="4">
        <f>IFERROR(__xludf.DUMMYFUNCTION("""COMPUTED_VALUE"""),710.0)</f>
        <v>710</v>
      </c>
      <c r="H2876" s="5">
        <f>IFERROR(__xludf.DUMMYFUNCTION("""COMPUTED_VALUE"""),6119.25)</f>
        <v>6119.25</v>
      </c>
      <c r="I2876" s="5">
        <f>IFERROR(__xludf.DUMMYFUNCTION("""COMPUTED_VALUE"""),1344.81)</f>
        <v>1344.81</v>
      </c>
      <c r="J2876" s="5">
        <f>IFERROR(__xludf.DUMMYFUNCTION("""COMPUTED_VALUE"""),5040.65)</f>
        <v>5040.65</v>
      </c>
      <c r="K2876" s="5">
        <f>IFERROR(__xludf.DUMMYFUNCTION("""COMPUTED_VALUE"""),576.02)</f>
        <v>576.02</v>
      </c>
      <c r="L2876" s="4">
        <f>IFERROR(__xludf.DUMMYFUNCTION("""COMPUTED_VALUE"""),2.0)</f>
        <v>2</v>
      </c>
      <c r="M2876" s="4">
        <f>IFERROR(__xludf.DUMMYFUNCTION("""COMPUTED_VALUE"""),96.0)</f>
        <v>96</v>
      </c>
      <c r="N2876" s="2" t="b">
        <f>IFERROR(__xludf.DUMMYFUNCTION("""COMPUTED_VALUE"""),FALSE)</f>
        <v>0</v>
      </c>
    </row>
    <row r="2877">
      <c r="A2877" s="2">
        <f>IFERROR(__xludf.DUMMYFUNCTION("""COMPUTED_VALUE"""),2876.0)</f>
        <v>2876</v>
      </c>
      <c r="B2877" s="2" t="str">
        <f>IFERROR(__xludf.DUMMYFUNCTION("""COMPUTED_VALUE"""),"Clarke Tothacot")</f>
        <v>Clarke Tothacot</v>
      </c>
      <c r="C2877" s="2" t="str">
        <f>IFERROR(__xludf.DUMMYFUNCTION("""COMPUTED_VALUE"""),"ctothacotoc@bandcamp.com")</f>
        <v>ctothacotoc@bandcamp.com</v>
      </c>
      <c r="D2877" s="4">
        <f>IFERROR(__xludf.DUMMYFUNCTION("""COMPUTED_VALUE"""),13.0)</f>
        <v>13</v>
      </c>
      <c r="E2877" s="4">
        <f>IFERROR(__xludf.DUMMYFUNCTION("""COMPUTED_VALUE"""),96.0)</f>
        <v>96</v>
      </c>
      <c r="F2877" s="4">
        <f>IFERROR(__xludf.DUMMYFUNCTION("""COMPUTED_VALUE"""),6.0)</f>
        <v>6</v>
      </c>
      <c r="G2877" s="4">
        <f>IFERROR(__xludf.DUMMYFUNCTION("""COMPUTED_VALUE"""),739.0)</f>
        <v>739</v>
      </c>
      <c r="H2877" s="5">
        <f>IFERROR(__xludf.DUMMYFUNCTION("""COMPUTED_VALUE"""),1079.48)</f>
        <v>1079.48</v>
      </c>
      <c r="I2877" s="5">
        <f>IFERROR(__xludf.DUMMYFUNCTION("""COMPUTED_VALUE"""),5592.36)</f>
        <v>5592.36</v>
      </c>
      <c r="J2877" s="5">
        <f>IFERROR(__xludf.DUMMYFUNCTION("""COMPUTED_VALUE"""),8340.66)</f>
        <v>8340.66</v>
      </c>
      <c r="K2877" s="5">
        <f>IFERROR(__xludf.DUMMYFUNCTION("""COMPUTED_VALUE"""),4496.58)</f>
        <v>4496.58</v>
      </c>
      <c r="L2877" s="4">
        <f>IFERROR(__xludf.DUMMYFUNCTION("""COMPUTED_VALUE"""),16.0)</f>
        <v>16</v>
      </c>
      <c r="M2877" s="4">
        <f>IFERROR(__xludf.DUMMYFUNCTION("""COMPUTED_VALUE"""),82.0)</f>
        <v>82</v>
      </c>
      <c r="N2877" s="2" t="b">
        <f>IFERROR(__xludf.DUMMYFUNCTION("""COMPUTED_VALUE"""),TRUE)</f>
        <v>1</v>
      </c>
    </row>
    <row r="2878">
      <c r="A2878" s="2">
        <f>IFERROR(__xludf.DUMMYFUNCTION("""COMPUTED_VALUE"""),2877.0)</f>
        <v>2877</v>
      </c>
      <c r="B2878" s="2" t="str">
        <f>IFERROR(__xludf.DUMMYFUNCTION("""COMPUTED_VALUE"""),"York Sillett")</f>
        <v>York Sillett</v>
      </c>
      <c r="C2878" s="2"/>
      <c r="D2878" s="4">
        <f>IFERROR(__xludf.DUMMYFUNCTION("""COMPUTED_VALUE"""),50.0)</f>
        <v>50</v>
      </c>
      <c r="E2878" s="4">
        <f>IFERROR(__xludf.DUMMYFUNCTION("""COMPUTED_VALUE"""),108.0)</f>
        <v>108</v>
      </c>
      <c r="F2878" s="4">
        <f>IFERROR(__xludf.DUMMYFUNCTION("""COMPUTED_VALUE"""),1.0)</f>
        <v>1</v>
      </c>
      <c r="G2878" s="4">
        <f>IFERROR(__xludf.DUMMYFUNCTION("""COMPUTED_VALUE"""),1384.0)</f>
        <v>1384</v>
      </c>
      <c r="H2878" s="5">
        <f>IFERROR(__xludf.DUMMYFUNCTION("""COMPUTED_VALUE"""),8302.49)</f>
        <v>8302.49</v>
      </c>
      <c r="I2878" s="5">
        <f>IFERROR(__xludf.DUMMYFUNCTION("""COMPUTED_VALUE"""),599.03)</f>
        <v>599.03</v>
      </c>
      <c r="J2878" s="5">
        <f>IFERROR(__xludf.DUMMYFUNCTION("""COMPUTED_VALUE"""),4563.67)</f>
        <v>4563.67</v>
      </c>
      <c r="K2878" s="5">
        <f>IFERROR(__xludf.DUMMYFUNCTION("""COMPUTED_VALUE"""),2723.79)</f>
        <v>2723.79</v>
      </c>
      <c r="L2878" s="4">
        <f>IFERROR(__xludf.DUMMYFUNCTION("""COMPUTED_VALUE"""),14.0)</f>
        <v>14</v>
      </c>
      <c r="M2878" s="4">
        <f>IFERROR(__xludf.DUMMYFUNCTION("""COMPUTED_VALUE"""),12.0)</f>
        <v>12</v>
      </c>
      <c r="N2878" s="2" t="b">
        <f>IFERROR(__xludf.DUMMYFUNCTION("""COMPUTED_VALUE"""),FALSE)</f>
        <v>0</v>
      </c>
    </row>
    <row r="2879">
      <c r="A2879" s="2">
        <f>IFERROR(__xludf.DUMMYFUNCTION("""COMPUTED_VALUE"""),2878.0)</f>
        <v>2878</v>
      </c>
      <c r="B2879" s="2" t="str">
        <f>IFERROR(__xludf.DUMMYFUNCTION("""COMPUTED_VALUE"""),"Haleigh Jannaway")</f>
        <v>Haleigh Jannaway</v>
      </c>
      <c r="C2879" s="2" t="str">
        <f>IFERROR(__xludf.DUMMYFUNCTION("""COMPUTED_VALUE"""),"hjannawayoe@berkeley.edu")</f>
        <v>hjannawayoe@berkeley.edu</v>
      </c>
      <c r="D2879" s="4">
        <f>IFERROR(__xludf.DUMMYFUNCTION("""COMPUTED_VALUE"""),92.0)</f>
        <v>92</v>
      </c>
      <c r="E2879" s="4">
        <f>IFERROR(__xludf.DUMMYFUNCTION("""COMPUTED_VALUE"""),56.0)</f>
        <v>56</v>
      </c>
      <c r="F2879" s="4">
        <f>IFERROR(__xludf.DUMMYFUNCTION("""COMPUTED_VALUE"""),2.0)</f>
        <v>2</v>
      </c>
      <c r="G2879" s="4">
        <f>IFERROR(__xludf.DUMMYFUNCTION("""COMPUTED_VALUE"""),273.0)</f>
        <v>273</v>
      </c>
      <c r="H2879" s="5">
        <f>IFERROR(__xludf.DUMMYFUNCTION("""COMPUTED_VALUE"""),8189.46)</f>
        <v>8189.46</v>
      </c>
      <c r="I2879" s="5">
        <f>IFERROR(__xludf.DUMMYFUNCTION("""COMPUTED_VALUE"""),8743.2)</f>
        <v>8743.2</v>
      </c>
      <c r="J2879" s="5">
        <f>IFERROR(__xludf.DUMMYFUNCTION("""COMPUTED_VALUE"""),7651.58)</f>
        <v>7651.58</v>
      </c>
      <c r="K2879" s="5">
        <f>IFERROR(__xludf.DUMMYFUNCTION("""COMPUTED_VALUE"""),3375.19)</f>
        <v>3375.19</v>
      </c>
      <c r="L2879" s="4">
        <f>IFERROR(__xludf.DUMMYFUNCTION("""COMPUTED_VALUE"""),10.0)</f>
        <v>10</v>
      </c>
      <c r="M2879" s="4">
        <f>IFERROR(__xludf.DUMMYFUNCTION("""COMPUTED_VALUE"""),15.0)</f>
        <v>15</v>
      </c>
      <c r="N2879" s="2" t="b">
        <f>IFERROR(__xludf.DUMMYFUNCTION("""COMPUTED_VALUE"""),TRUE)</f>
        <v>1</v>
      </c>
    </row>
    <row r="2880">
      <c r="A2880" s="2">
        <f>IFERROR(__xludf.DUMMYFUNCTION("""COMPUTED_VALUE"""),2879.0)</f>
        <v>2879</v>
      </c>
      <c r="B2880" s="2" t="str">
        <f>IFERROR(__xludf.DUMMYFUNCTION("""COMPUTED_VALUE"""),"Emmalee Bastow")</f>
        <v>Emmalee Bastow</v>
      </c>
      <c r="C2880" s="2"/>
      <c r="D2880" s="4">
        <f>IFERROR(__xludf.DUMMYFUNCTION("""COMPUTED_VALUE"""),134.0)</f>
        <v>134</v>
      </c>
      <c r="E2880" s="4">
        <f>IFERROR(__xludf.DUMMYFUNCTION("""COMPUTED_VALUE"""),120.0)</f>
        <v>120</v>
      </c>
      <c r="F2880" s="4">
        <f>IFERROR(__xludf.DUMMYFUNCTION("""COMPUTED_VALUE"""),1.0)</f>
        <v>1</v>
      </c>
      <c r="G2880" s="4">
        <f>IFERROR(__xludf.DUMMYFUNCTION("""COMPUTED_VALUE"""),146.0)</f>
        <v>146</v>
      </c>
      <c r="H2880" s="5">
        <f>IFERROR(__xludf.DUMMYFUNCTION("""COMPUTED_VALUE"""),8202.44)</f>
        <v>8202.44</v>
      </c>
      <c r="I2880" s="5">
        <f>IFERROR(__xludf.DUMMYFUNCTION("""COMPUTED_VALUE"""),4439.39)</f>
        <v>4439.39</v>
      </c>
      <c r="J2880" s="5">
        <f>IFERROR(__xludf.DUMMYFUNCTION("""COMPUTED_VALUE"""),2618.07)</f>
        <v>2618.07</v>
      </c>
      <c r="K2880" s="5">
        <f>IFERROR(__xludf.DUMMYFUNCTION("""COMPUTED_VALUE"""),5904.72)</f>
        <v>5904.72</v>
      </c>
      <c r="L2880" s="4">
        <f>IFERROR(__xludf.DUMMYFUNCTION("""COMPUTED_VALUE"""),8.0)</f>
        <v>8</v>
      </c>
      <c r="M2880" s="4">
        <f>IFERROR(__xludf.DUMMYFUNCTION("""COMPUTED_VALUE"""),24.0)</f>
        <v>24</v>
      </c>
      <c r="N2880" s="2" t="b">
        <f>IFERROR(__xludf.DUMMYFUNCTION("""COMPUTED_VALUE"""),FALSE)</f>
        <v>0</v>
      </c>
    </row>
    <row r="2881">
      <c r="A2881" s="2">
        <f>IFERROR(__xludf.DUMMYFUNCTION("""COMPUTED_VALUE"""),2880.0)</f>
        <v>2880</v>
      </c>
      <c r="B2881" s="2" t="str">
        <f>IFERROR(__xludf.DUMMYFUNCTION("""COMPUTED_VALUE"""),"Margareta Gabriely")</f>
        <v>Margareta Gabriely</v>
      </c>
      <c r="C2881" s="2" t="str">
        <f>IFERROR(__xludf.DUMMYFUNCTION("""COMPUTED_VALUE"""),"mgabrielyog@msn.com")</f>
        <v>mgabrielyog@msn.com</v>
      </c>
      <c r="D2881" s="4">
        <f>IFERROR(__xludf.DUMMYFUNCTION("""COMPUTED_VALUE"""),68.0)</f>
        <v>68</v>
      </c>
      <c r="E2881" s="4">
        <f>IFERROR(__xludf.DUMMYFUNCTION("""COMPUTED_VALUE"""),85.0)</f>
        <v>85</v>
      </c>
      <c r="F2881" s="4">
        <f>IFERROR(__xludf.DUMMYFUNCTION("""COMPUTED_VALUE"""),2.0)</f>
        <v>2</v>
      </c>
      <c r="G2881" s="4">
        <f>IFERROR(__xludf.DUMMYFUNCTION("""COMPUTED_VALUE"""),888.0)</f>
        <v>888</v>
      </c>
      <c r="H2881" s="5">
        <f>IFERROR(__xludf.DUMMYFUNCTION("""COMPUTED_VALUE"""),836.63)</f>
        <v>836.63</v>
      </c>
      <c r="I2881" s="5">
        <f>IFERROR(__xludf.DUMMYFUNCTION("""COMPUTED_VALUE"""),9902.1)</f>
        <v>9902.1</v>
      </c>
      <c r="J2881" s="5">
        <f>IFERROR(__xludf.DUMMYFUNCTION("""COMPUTED_VALUE"""),8600.76)</f>
        <v>8600.76</v>
      </c>
      <c r="K2881" s="5">
        <f>IFERROR(__xludf.DUMMYFUNCTION("""COMPUTED_VALUE"""),979.68)</f>
        <v>979.68</v>
      </c>
      <c r="L2881" s="4">
        <f>IFERROR(__xludf.DUMMYFUNCTION("""COMPUTED_VALUE"""),8.0)</f>
        <v>8</v>
      </c>
      <c r="M2881" s="4">
        <f>IFERROR(__xludf.DUMMYFUNCTION("""COMPUTED_VALUE"""),26.0)</f>
        <v>26</v>
      </c>
      <c r="N2881" s="2" t="b">
        <f>IFERROR(__xludf.DUMMYFUNCTION("""COMPUTED_VALUE"""),TRUE)</f>
        <v>1</v>
      </c>
    </row>
    <row r="2882">
      <c r="A2882" s="2">
        <f>IFERROR(__xludf.DUMMYFUNCTION("""COMPUTED_VALUE"""),2881.0)</f>
        <v>2881</v>
      </c>
      <c r="B2882" s="2" t="str">
        <f>IFERROR(__xludf.DUMMYFUNCTION("""COMPUTED_VALUE"""),"Ario Rippon")</f>
        <v>Ario Rippon</v>
      </c>
      <c r="C2882" s="2"/>
      <c r="D2882" s="4">
        <f>IFERROR(__xludf.DUMMYFUNCTION("""COMPUTED_VALUE"""),67.0)</f>
        <v>67</v>
      </c>
      <c r="E2882" s="4">
        <f>IFERROR(__xludf.DUMMYFUNCTION("""COMPUTED_VALUE"""),118.0)</f>
        <v>118</v>
      </c>
      <c r="F2882" s="4">
        <f>IFERROR(__xludf.DUMMYFUNCTION("""COMPUTED_VALUE"""),1.0)</f>
        <v>1</v>
      </c>
      <c r="G2882" s="4">
        <f>IFERROR(__xludf.DUMMYFUNCTION("""COMPUTED_VALUE"""),920.0)</f>
        <v>920</v>
      </c>
      <c r="H2882" s="5">
        <f>IFERROR(__xludf.DUMMYFUNCTION("""COMPUTED_VALUE"""),2589.28)</f>
        <v>2589.28</v>
      </c>
      <c r="I2882" s="5">
        <f>IFERROR(__xludf.DUMMYFUNCTION("""COMPUTED_VALUE"""),3759.41)</f>
        <v>3759.41</v>
      </c>
      <c r="J2882" s="5">
        <f>IFERROR(__xludf.DUMMYFUNCTION("""COMPUTED_VALUE"""),7451.78)</f>
        <v>7451.78</v>
      </c>
      <c r="K2882" s="5">
        <f>IFERROR(__xludf.DUMMYFUNCTION("""COMPUTED_VALUE"""),2455.36)</f>
        <v>2455.36</v>
      </c>
      <c r="L2882" s="4">
        <f>IFERROR(__xludf.DUMMYFUNCTION("""COMPUTED_VALUE"""),4.0)</f>
        <v>4</v>
      </c>
      <c r="M2882" s="4">
        <f>IFERROR(__xludf.DUMMYFUNCTION("""COMPUTED_VALUE"""),89.0)</f>
        <v>89</v>
      </c>
      <c r="N2882" s="2" t="b">
        <f>IFERROR(__xludf.DUMMYFUNCTION("""COMPUTED_VALUE"""),TRUE)</f>
        <v>1</v>
      </c>
    </row>
    <row r="2883">
      <c r="A2883" s="2">
        <f>IFERROR(__xludf.DUMMYFUNCTION("""COMPUTED_VALUE"""),2882.0)</f>
        <v>2882</v>
      </c>
      <c r="B2883" s="2" t="str">
        <f>IFERROR(__xludf.DUMMYFUNCTION("""COMPUTED_VALUE"""),"Danny Chasmer")</f>
        <v>Danny Chasmer</v>
      </c>
      <c r="C2883" s="2"/>
      <c r="D2883" s="4">
        <f>IFERROR(__xludf.DUMMYFUNCTION("""COMPUTED_VALUE"""),153.0)</f>
        <v>153</v>
      </c>
      <c r="E2883" s="4">
        <f>IFERROR(__xludf.DUMMYFUNCTION("""COMPUTED_VALUE"""),66.0)</f>
        <v>66</v>
      </c>
      <c r="F2883" s="4">
        <f>IFERROR(__xludf.DUMMYFUNCTION("""COMPUTED_VALUE"""),6.0)</f>
        <v>6</v>
      </c>
      <c r="G2883" s="4">
        <f>IFERROR(__xludf.DUMMYFUNCTION("""COMPUTED_VALUE"""),716.0)</f>
        <v>716</v>
      </c>
      <c r="H2883" s="5">
        <f>IFERROR(__xludf.DUMMYFUNCTION("""COMPUTED_VALUE"""),1511.46)</f>
        <v>1511.46</v>
      </c>
      <c r="I2883" s="5">
        <f>IFERROR(__xludf.DUMMYFUNCTION("""COMPUTED_VALUE"""),2200.53)</f>
        <v>2200.53</v>
      </c>
      <c r="J2883" s="5">
        <f>IFERROR(__xludf.DUMMYFUNCTION("""COMPUTED_VALUE"""),8786.85)</f>
        <v>8786.85</v>
      </c>
      <c r="K2883" s="5">
        <f>IFERROR(__xludf.DUMMYFUNCTION("""COMPUTED_VALUE"""),8154.51)</f>
        <v>8154.51</v>
      </c>
      <c r="L2883" s="4">
        <f>IFERROR(__xludf.DUMMYFUNCTION("""COMPUTED_VALUE"""),17.0)</f>
        <v>17</v>
      </c>
      <c r="M2883" s="4">
        <f>IFERROR(__xludf.DUMMYFUNCTION("""COMPUTED_VALUE"""),69.0)</f>
        <v>69</v>
      </c>
      <c r="N2883" s="2" t="b">
        <f>IFERROR(__xludf.DUMMYFUNCTION("""COMPUTED_VALUE"""),FALSE)</f>
        <v>0</v>
      </c>
    </row>
    <row r="2884">
      <c r="A2884" s="2">
        <f>IFERROR(__xludf.DUMMYFUNCTION("""COMPUTED_VALUE"""),2883.0)</f>
        <v>2883</v>
      </c>
      <c r="B2884" s="2" t="str">
        <f>IFERROR(__xludf.DUMMYFUNCTION("""COMPUTED_VALUE"""),"Irv Scotchmer")</f>
        <v>Irv Scotchmer</v>
      </c>
      <c r="C2884" s="2" t="str">
        <f>IFERROR(__xludf.DUMMYFUNCTION("""COMPUTED_VALUE"""),"iscotchmeroj@boston.com")</f>
        <v>iscotchmeroj@boston.com</v>
      </c>
      <c r="D2884" s="4">
        <f>IFERROR(__xludf.DUMMYFUNCTION("""COMPUTED_VALUE"""),109.0)</f>
        <v>109</v>
      </c>
      <c r="E2884" s="4">
        <f>IFERROR(__xludf.DUMMYFUNCTION("""COMPUTED_VALUE"""),114.0)</f>
        <v>114</v>
      </c>
      <c r="F2884" s="4">
        <f>IFERROR(__xludf.DUMMYFUNCTION("""COMPUTED_VALUE"""),3.0)</f>
        <v>3</v>
      </c>
      <c r="G2884" s="4">
        <f>IFERROR(__xludf.DUMMYFUNCTION("""COMPUTED_VALUE"""),544.0)</f>
        <v>544</v>
      </c>
      <c r="H2884" s="5">
        <f>IFERROR(__xludf.DUMMYFUNCTION("""COMPUTED_VALUE"""),7809.2)</f>
        <v>7809.2</v>
      </c>
      <c r="I2884" s="5">
        <f>IFERROR(__xludf.DUMMYFUNCTION("""COMPUTED_VALUE"""),1097.56)</f>
        <v>1097.56</v>
      </c>
      <c r="J2884" s="5">
        <f>IFERROR(__xludf.DUMMYFUNCTION("""COMPUTED_VALUE"""),3901.44)</f>
        <v>3901.44</v>
      </c>
      <c r="K2884" s="5">
        <f>IFERROR(__xludf.DUMMYFUNCTION("""COMPUTED_VALUE"""),7452.94)</f>
        <v>7452.94</v>
      </c>
      <c r="L2884" s="4">
        <f>IFERROR(__xludf.DUMMYFUNCTION("""COMPUTED_VALUE"""),20.0)</f>
        <v>20</v>
      </c>
      <c r="M2884" s="4">
        <f>IFERROR(__xludf.DUMMYFUNCTION("""COMPUTED_VALUE"""),47.0)</f>
        <v>47</v>
      </c>
      <c r="N2884" s="2" t="b">
        <f>IFERROR(__xludf.DUMMYFUNCTION("""COMPUTED_VALUE"""),TRUE)</f>
        <v>1</v>
      </c>
    </row>
    <row r="2885">
      <c r="A2885" s="2">
        <f>IFERROR(__xludf.DUMMYFUNCTION("""COMPUTED_VALUE"""),2884.0)</f>
        <v>2884</v>
      </c>
      <c r="B2885" s="2" t="str">
        <f>IFERROR(__xludf.DUMMYFUNCTION("""COMPUTED_VALUE"""),"Elroy Massei")</f>
        <v>Elroy Massei</v>
      </c>
      <c r="C2885" s="2" t="str">
        <f>IFERROR(__xludf.DUMMYFUNCTION("""COMPUTED_VALUE"""),"emasseiok@nps.gov")</f>
        <v>emasseiok@nps.gov</v>
      </c>
      <c r="D2885" s="4">
        <f>IFERROR(__xludf.DUMMYFUNCTION("""COMPUTED_VALUE"""),111.0)</f>
        <v>111</v>
      </c>
      <c r="E2885" s="4">
        <f>IFERROR(__xludf.DUMMYFUNCTION("""COMPUTED_VALUE"""),3.0)</f>
        <v>3</v>
      </c>
      <c r="F2885" s="4">
        <f>IFERROR(__xludf.DUMMYFUNCTION("""COMPUTED_VALUE"""),9.0)</f>
        <v>9</v>
      </c>
      <c r="G2885" s="4">
        <f>IFERROR(__xludf.DUMMYFUNCTION("""COMPUTED_VALUE"""),928.0)</f>
        <v>928</v>
      </c>
      <c r="H2885" s="5">
        <f>IFERROR(__xludf.DUMMYFUNCTION("""COMPUTED_VALUE"""),9036.38)</f>
        <v>9036.38</v>
      </c>
      <c r="I2885" s="5">
        <f>IFERROR(__xludf.DUMMYFUNCTION("""COMPUTED_VALUE"""),1968.44)</f>
        <v>1968.44</v>
      </c>
      <c r="J2885" s="5">
        <f>IFERROR(__xludf.DUMMYFUNCTION("""COMPUTED_VALUE"""),8746.5)</f>
        <v>8746.5</v>
      </c>
      <c r="K2885" s="5">
        <f>IFERROR(__xludf.DUMMYFUNCTION("""COMPUTED_VALUE"""),6513.63)</f>
        <v>6513.63</v>
      </c>
      <c r="L2885" s="4">
        <f>IFERROR(__xludf.DUMMYFUNCTION("""COMPUTED_VALUE"""),19.0)</f>
        <v>19</v>
      </c>
      <c r="M2885" s="4">
        <f>IFERROR(__xludf.DUMMYFUNCTION("""COMPUTED_VALUE"""),24.0)</f>
        <v>24</v>
      </c>
      <c r="N2885" s="2" t="b">
        <f>IFERROR(__xludf.DUMMYFUNCTION("""COMPUTED_VALUE"""),TRUE)</f>
        <v>1</v>
      </c>
    </row>
    <row r="2886">
      <c r="A2886" s="2">
        <f>IFERROR(__xludf.DUMMYFUNCTION("""COMPUTED_VALUE"""),2885.0)</f>
        <v>2885</v>
      </c>
      <c r="B2886" s="2" t="str">
        <f>IFERROR(__xludf.DUMMYFUNCTION("""COMPUTED_VALUE"""),"Ev Marcoolyn")</f>
        <v>Ev Marcoolyn</v>
      </c>
      <c r="C2886" s="2"/>
      <c r="D2886" s="4">
        <f>IFERROR(__xludf.DUMMYFUNCTION("""COMPUTED_VALUE"""),55.0)</f>
        <v>55</v>
      </c>
      <c r="E2886" s="4">
        <f>IFERROR(__xludf.DUMMYFUNCTION("""COMPUTED_VALUE"""),85.0)</f>
        <v>85</v>
      </c>
      <c r="F2886" s="4">
        <f>IFERROR(__xludf.DUMMYFUNCTION("""COMPUTED_VALUE"""),5.0)</f>
        <v>5</v>
      </c>
      <c r="G2886" s="4">
        <f>IFERROR(__xludf.DUMMYFUNCTION("""COMPUTED_VALUE"""),1345.0)</f>
        <v>1345</v>
      </c>
      <c r="H2886" s="5">
        <f>IFERROR(__xludf.DUMMYFUNCTION("""COMPUTED_VALUE"""),5799.01)</f>
        <v>5799.01</v>
      </c>
      <c r="I2886" s="5">
        <f>IFERROR(__xludf.DUMMYFUNCTION("""COMPUTED_VALUE"""),5822.98)</f>
        <v>5822.98</v>
      </c>
      <c r="J2886" s="5">
        <f>IFERROR(__xludf.DUMMYFUNCTION("""COMPUTED_VALUE"""),4511.96)</f>
        <v>4511.96</v>
      </c>
      <c r="K2886" s="5">
        <f>IFERROR(__xludf.DUMMYFUNCTION("""COMPUTED_VALUE"""),3275.58)</f>
        <v>3275.58</v>
      </c>
      <c r="L2886" s="4">
        <f>IFERROR(__xludf.DUMMYFUNCTION("""COMPUTED_VALUE"""),1.0)</f>
        <v>1</v>
      </c>
      <c r="M2886" s="4">
        <f>IFERROR(__xludf.DUMMYFUNCTION("""COMPUTED_VALUE"""),64.0)</f>
        <v>64</v>
      </c>
      <c r="N2886" s="2" t="b">
        <f>IFERROR(__xludf.DUMMYFUNCTION("""COMPUTED_VALUE"""),FALSE)</f>
        <v>0</v>
      </c>
    </row>
    <row r="2887">
      <c r="A2887" s="2">
        <f>IFERROR(__xludf.DUMMYFUNCTION("""COMPUTED_VALUE"""),2886.0)</f>
        <v>2886</v>
      </c>
      <c r="B2887" s="2" t="str">
        <f>IFERROR(__xludf.DUMMYFUNCTION("""COMPUTED_VALUE"""),"Leoline Riglar")</f>
        <v>Leoline Riglar</v>
      </c>
      <c r="C2887" s="2"/>
      <c r="D2887" s="4">
        <f>IFERROR(__xludf.DUMMYFUNCTION("""COMPUTED_VALUE"""),144.0)</f>
        <v>144</v>
      </c>
      <c r="E2887" s="4">
        <f>IFERROR(__xludf.DUMMYFUNCTION("""COMPUTED_VALUE"""),92.0)</f>
        <v>92</v>
      </c>
      <c r="F2887" s="4">
        <f>IFERROR(__xludf.DUMMYFUNCTION("""COMPUTED_VALUE"""),8.0)</f>
        <v>8</v>
      </c>
      <c r="G2887" s="4">
        <f>IFERROR(__xludf.DUMMYFUNCTION("""COMPUTED_VALUE"""),843.0)</f>
        <v>843</v>
      </c>
      <c r="H2887" s="5">
        <f>IFERROR(__xludf.DUMMYFUNCTION("""COMPUTED_VALUE"""),3002.33)</f>
        <v>3002.33</v>
      </c>
      <c r="I2887" s="5">
        <f>IFERROR(__xludf.DUMMYFUNCTION("""COMPUTED_VALUE"""),5469.23)</f>
        <v>5469.23</v>
      </c>
      <c r="J2887" s="5">
        <f>IFERROR(__xludf.DUMMYFUNCTION("""COMPUTED_VALUE"""),8305.09)</f>
        <v>8305.09</v>
      </c>
      <c r="K2887" s="5">
        <f>IFERROR(__xludf.DUMMYFUNCTION("""COMPUTED_VALUE"""),7943.17)</f>
        <v>7943.17</v>
      </c>
      <c r="L2887" s="4">
        <f>IFERROR(__xludf.DUMMYFUNCTION("""COMPUTED_VALUE"""),6.0)</f>
        <v>6</v>
      </c>
      <c r="M2887" s="4">
        <f>IFERROR(__xludf.DUMMYFUNCTION("""COMPUTED_VALUE"""),24.0)</f>
        <v>24</v>
      </c>
      <c r="N2887" s="2" t="b">
        <f>IFERROR(__xludf.DUMMYFUNCTION("""COMPUTED_VALUE"""),FALSE)</f>
        <v>0</v>
      </c>
    </row>
    <row r="2888">
      <c r="A2888" s="2">
        <f>IFERROR(__xludf.DUMMYFUNCTION("""COMPUTED_VALUE"""),2887.0)</f>
        <v>2887</v>
      </c>
      <c r="B2888" s="2" t="str">
        <f>IFERROR(__xludf.DUMMYFUNCTION("""COMPUTED_VALUE"""),"Keenan Sherwin")</f>
        <v>Keenan Sherwin</v>
      </c>
      <c r="C2888" s="2" t="str">
        <f>IFERROR(__xludf.DUMMYFUNCTION("""COMPUTED_VALUE"""),"ksherwinon@altervista.org")</f>
        <v>ksherwinon@altervista.org</v>
      </c>
      <c r="D2888" s="4">
        <f>IFERROR(__xludf.DUMMYFUNCTION("""COMPUTED_VALUE"""),89.0)</f>
        <v>89</v>
      </c>
      <c r="E2888" s="4">
        <f>IFERROR(__xludf.DUMMYFUNCTION("""COMPUTED_VALUE"""),10.0)</f>
        <v>10</v>
      </c>
      <c r="F2888" s="4">
        <f>IFERROR(__xludf.DUMMYFUNCTION("""COMPUTED_VALUE"""),2.0)</f>
        <v>2</v>
      </c>
      <c r="G2888" s="4">
        <f>IFERROR(__xludf.DUMMYFUNCTION("""COMPUTED_VALUE"""),270.0)</f>
        <v>270</v>
      </c>
      <c r="H2888" s="5">
        <f>IFERROR(__xludf.DUMMYFUNCTION("""COMPUTED_VALUE"""),5909.94)</f>
        <v>5909.94</v>
      </c>
      <c r="I2888" s="5">
        <f>IFERROR(__xludf.DUMMYFUNCTION("""COMPUTED_VALUE"""),5952.98)</f>
        <v>5952.98</v>
      </c>
      <c r="J2888" s="5">
        <f>IFERROR(__xludf.DUMMYFUNCTION("""COMPUTED_VALUE"""),7371.56)</f>
        <v>7371.56</v>
      </c>
      <c r="K2888" s="5">
        <f>IFERROR(__xludf.DUMMYFUNCTION("""COMPUTED_VALUE"""),2993.48)</f>
        <v>2993.48</v>
      </c>
      <c r="L2888" s="4">
        <f>IFERROR(__xludf.DUMMYFUNCTION("""COMPUTED_VALUE"""),10.0)</f>
        <v>10</v>
      </c>
      <c r="M2888" s="4">
        <f>IFERROR(__xludf.DUMMYFUNCTION("""COMPUTED_VALUE"""),41.0)</f>
        <v>41</v>
      </c>
      <c r="N2888" s="2" t="b">
        <f>IFERROR(__xludf.DUMMYFUNCTION("""COMPUTED_VALUE"""),FALSE)</f>
        <v>0</v>
      </c>
    </row>
    <row r="2889">
      <c r="A2889" s="2">
        <f>IFERROR(__xludf.DUMMYFUNCTION("""COMPUTED_VALUE"""),2888.0)</f>
        <v>2888</v>
      </c>
      <c r="B2889" s="2" t="str">
        <f>IFERROR(__xludf.DUMMYFUNCTION("""COMPUTED_VALUE"""),"Noach Bounds")</f>
        <v>Noach Bounds</v>
      </c>
      <c r="C2889" s="2" t="str">
        <f>IFERROR(__xludf.DUMMYFUNCTION("""COMPUTED_VALUE"""),"nboundsoo@engadget.com")</f>
        <v>nboundsoo@engadget.com</v>
      </c>
      <c r="D2889" s="4">
        <f>IFERROR(__xludf.DUMMYFUNCTION("""COMPUTED_VALUE"""),119.0)</f>
        <v>119</v>
      </c>
      <c r="E2889" s="4">
        <f>IFERROR(__xludf.DUMMYFUNCTION("""COMPUTED_VALUE"""),110.0)</f>
        <v>110</v>
      </c>
      <c r="F2889" s="4">
        <f>IFERROR(__xludf.DUMMYFUNCTION("""COMPUTED_VALUE"""),11.0)</f>
        <v>11</v>
      </c>
      <c r="G2889" s="4">
        <f>IFERROR(__xludf.DUMMYFUNCTION("""COMPUTED_VALUE"""),686.0)</f>
        <v>686</v>
      </c>
      <c r="H2889" s="5">
        <f>IFERROR(__xludf.DUMMYFUNCTION("""COMPUTED_VALUE"""),4647.8)</f>
        <v>4647.8</v>
      </c>
      <c r="I2889" s="5">
        <f>IFERROR(__xludf.DUMMYFUNCTION("""COMPUTED_VALUE"""),2238.89)</f>
        <v>2238.89</v>
      </c>
      <c r="J2889" s="5">
        <f>IFERROR(__xludf.DUMMYFUNCTION("""COMPUTED_VALUE"""),6432.19)</f>
        <v>6432.19</v>
      </c>
      <c r="K2889" s="5">
        <f>IFERROR(__xludf.DUMMYFUNCTION("""COMPUTED_VALUE"""),9121.91)</f>
        <v>9121.91</v>
      </c>
      <c r="L2889" s="4">
        <f>IFERROR(__xludf.DUMMYFUNCTION("""COMPUTED_VALUE"""),18.0)</f>
        <v>18</v>
      </c>
      <c r="M2889" s="4">
        <f>IFERROR(__xludf.DUMMYFUNCTION("""COMPUTED_VALUE"""),89.0)</f>
        <v>89</v>
      </c>
      <c r="N2889" s="2" t="b">
        <f>IFERROR(__xludf.DUMMYFUNCTION("""COMPUTED_VALUE"""),FALSE)</f>
        <v>0</v>
      </c>
    </row>
    <row r="2890">
      <c r="A2890" s="2">
        <f>IFERROR(__xludf.DUMMYFUNCTION("""COMPUTED_VALUE"""),2889.0)</f>
        <v>2889</v>
      </c>
      <c r="B2890" s="2" t="str">
        <f>IFERROR(__xludf.DUMMYFUNCTION("""COMPUTED_VALUE"""),"Koral Westover")</f>
        <v>Koral Westover</v>
      </c>
      <c r="C2890" s="2" t="str">
        <f>IFERROR(__xludf.DUMMYFUNCTION("""COMPUTED_VALUE"""),"kwestoverop@washington.edu")</f>
        <v>kwestoverop@washington.edu</v>
      </c>
      <c r="D2890" s="4">
        <f>IFERROR(__xludf.DUMMYFUNCTION("""COMPUTED_VALUE"""),153.0)</f>
        <v>153</v>
      </c>
      <c r="E2890" s="4">
        <f>IFERROR(__xludf.DUMMYFUNCTION("""COMPUTED_VALUE"""),14.0)</f>
        <v>14</v>
      </c>
      <c r="F2890" s="4">
        <f>IFERROR(__xludf.DUMMYFUNCTION("""COMPUTED_VALUE"""),1.0)</f>
        <v>1</v>
      </c>
      <c r="G2890" s="4">
        <f>IFERROR(__xludf.DUMMYFUNCTION("""COMPUTED_VALUE"""),1107.0)</f>
        <v>1107</v>
      </c>
      <c r="H2890" s="5">
        <f>IFERROR(__xludf.DUMMYFUNCTION("""COMPUTED_VALUE"""),7525.95)</f>
        <v>7525.95</v>
      </c>
      <c r="I2890" s="5">
        <f>IFERROR(__xludf.DUMMYFUNCTION("""COMPUTED_VALUE"""),3296.1)</f>
        <v>3296.1</v>
      </c>
      <c r="J2890" s="5">
        <f>IFERROR(__xludf.DUMMYFUNCTION("""COMPUTED_VALUE"""),3894.66)</f>
        <v>3894.66</v>
      </c>
      <c r="K2890" s="5">
        <f>IFERROR(__xludf.DUMMYFUNCTION("""COMPUTED_VALUE"""),6563.86)</f>
        <v>6563.86</v>
      </c>
      <c r="L2890" s="4">
        <f>IFERROR(__xludf.DUMMYFUNCTION("""COMPUTED_VALUE"""),5.0)</f>
        <v>5</v>
      </c>
      <c r="M2890" s="4">
        <f>IFERROR(__xludf.DUMMYFUNCTION("""COMPUTED_VALUE"""),100.0)</f>
        <v>100</v>
      </c>
      <c r="N2890" s="2" t="b">
        <f>IFERROR(__xludf.DUMMYFUNCTION("""COMPUTED_VALUE"""),TRUE)</f>
        <v>1</v>
      </c>
    </row>
    <row r="2891">
      <c r="A2891" s="2">
        <f>IFERROR(__xludf.DUMMYFUNCTION("""COMPUTED_VALUE"""),2890.0)</f>
        <v>2890</v>
      </c>
      <c r="B2891" s="2" t="str">
        <f>IFERROR(__xludf.DUMMYFUNCTION("""COMPUTED_VALUE"""),"Hortense Kubik")</f>
        <v>Hortense Kubik</v>
      </c>
      <c r="C2891" s="2" t="str">
        <f>IFERROR(__xludf.DUMMYFUNCTION("""COMPUTED_VALUE"""),"hkubikoq@is.gd")</f>
        <v>hkubikoq@is.gd</v>
      </c>
      <c r="D2891" s="4">
        <f>IFERROR(__xludf.DUMMYFUNCTION("""COMPUTED_VALUE"""),131.0)</f>
        <v>131</v>
      </c>
      <c r="E2891" s="4">
        <f>IFERROR(__xludf.DUMMYFUNCTION("""COMPUTED_VALUE"""),100.0)</f>
        <v>100</v>
      </c>
      <c r="F2891" s="4">
        <f>IFERROR(__xludf.DUMMYFUNCTION("""COMPUTED_VALUE"""),12.0)</f>
        <v>12</v>
      </c>
      <c r="G2891" s="4">
        <f>IFERROR(__xludf.DUMMYFUNCTION("""COMPUTED_VALUE"""),1105.0)</f>
        <v>1105</v>
      </c>
      <c r="H2891" s="5">
        <f>IFERROR(__xludf.DUMMYFUNCTION("""COMPUTED_VALUE"""),6366.07)</f>
        <v>6366.07</v>
      </c>
      <c r="I2891" s="5">
        <f>IFERROR(__xludf.DUMMYFUNCTION("""COMPUTED_VALUE"""),2251.69)</f>
        <v>2251.69</v>
      </c>
      <c r="J2891" s="5">
        <f>IFERROR(__xludf.DUMMYFUNCTION("""COMPUTED_VALUE"""),267.09)</f>
        <v>267.09</v>
      </c>
      <c r="K2891" s="5">
        <f>IFERROR(__xludf.DUMMYFUNCTION("""COMPUTED_VALUE"""),7420.56)</f>
        <v>7420.56</v>
      </c>
      <c r="L2891" s="4">
        <f>IFERROR(__xludf.DUMMYFUNCTION("""COMPUTED_VALUE"""),20.0)</f>
        <v>20</v>
      </c>
      <c r="M2891" s="4">
        <f>IFERROR(__xludf.DUMMYFUNCTION("""COMPUTED_VALUE"""),11.0)</f>
        <v>11</v>
      </c>
      <c r="N2891" s="2" t="b">
        <f>IFERROR(__xludf.DUMMYFUNCTION("""COMPUTED_VALUE"""),TRUE)</f>
        <v>1</v>
      </c>
    </row>
    <row r="2892">
      <c r="A2892" s="2">
        <f>IFERROR(__xludf.DUMMYFUNCTION("""COMPUTED_VALUE"""),2891.0)</f>
        <v>2891</v>
      </c>
      <c r="B2892" s="2" t="str">
        <f>IFERROR(__xludf.DUMMYFUNCTION("""COMPUTED_VALUE"""),"Harrie Garmon")</f>
        <v>Harrie Garmon</v>
      </c>
      <c r="C2892" s="2" t="str">
        <f>IFERROR(__xludf.DUMMYFUNCTION("""COMPUTED_VALUE"""),"hgarmonor@ucla.edu")</f>
        <v>hgarmonor@ucla.edu</v>
      </c>
      <c r="D2892" s="4">
        <f>IFERROR(__xludf.DUMMYFUNCTION("""COMPUTED_VALUE"""),73.0)</f>
        <v>73</v>
      </c>
      <c r="E2892" s="4">
        <f>IFERROR(__xludf.DUMMYFUNCTION("""COMPUTED_VALUE"""),71.0)</f>
        <v>71</v>
      </c>
      <c r="F2892" s="4">
        <f>IFERROR(__xludf.DUMMYFUNCTION("""COMPUTED_VALUE"""),8.0)</f>
        <v>8</v>
      </c>
      <c r="G2892" s="4">
        <f>IFERROR(__xludf.DUMMYFUNCTION("""COMPUTED_VALUE"""),75.0)</f>
        <v>75</v>
      </c>
      <c r="H2892" s="5">
        <f>IFERROR(__xludf.DUMMYFUNCTION("""COMPUTED_VALUE"""),1018.01)</f>
        <v>1018.01</v>
      </c>
      <c r="I2892" s="5">
        <f>IFERROR(__xludf.DUMMYFUNCTION("""COMPUTED_VALUE"""),2568.73)</f>
        <v>2568.73</v>
      </c>
      <c r="J2892" s="5">
        <f>IFERROR(__xludf.DUMMYFUNCTION("""COMPUTED_VALUE"""),5887.73)</f>
        <v>5887.73</v>
      </c>
      <c r="K2892" s="5">
        <f>IFERROR(__xludf.DUMMYFUNCTION("""COMPUTED_VALUE"""),2112.02)</f>
        <v>2112.02</v>
      </c>
      <c r="L2892" s="4">
        <f>IFERROR(__xludf.DUMMYFUNCTION("""COMPUTED_VALUE"""),10.0)</f>
        <v>10</v>
      </c>
      <c r="M2892" s="4">
        <f>IFERROR(__xludf.DUMMYFUNCTION("""COMPUTED_VALUE"""),36.0)</f>
        <v>36</v>
      </c>
      <c r="N2892" s="2" t="b">
        <f>IFERROR(__xludf.DUMMYFUNCTION("""COMPUTED_VALUE"""),FALSE)</f>
        <v>0</v>
      </c>
    </row>
    <row r="2893">
      <c r="A2893" s="2">
        <f>IFERROR(__xludf.DUMMYFUNCTION("""COMPUTED_VALUE"""),2892.0)</f>
        <v>2892</v>
      </c>
      <c r="B2893" s="2" t="str">
        <f>IFERROR(__xludf.DUMMYFUNCTION("""COMPUTED_VALUE"""),"Gaylord Quincey")</f>
        <v>Gaylord Quincey</v>
      </c>
      <c r="C2893" s="2"/>
      <c r="D2893" s="4">
        <f>IFERROR(__xludf.DUMMYFUNCTION("""COMPUTED_VALUE"""),16.0)</f>
        <v>16</v>
      </c>
      <c r="E2893" s="4">
        <f>IFERROR(__xludf.DUMMYFUNCTION("""COMPUTED_VALUE"""),23.0)</f>
        <v>23</v>
      </c>
      <c r="F2893" s="4">
        <f>IFERROR(__xludf.DUMMYFUNCTION("""COMPUTED_VALUE"""),5.0)</f>
        <v>5</v>
      </c>
      <c r="G2893" s="4">
        <f>IFERROR(__xludf.DUMMYFUNCTION("""COMPUTED_VALUE"""),869.0)</f>
        <v>869</v>
      </c>
      <c r="H2893" s="5">
        <f>IFERROR(__xludf.DUMMYFUNCTION("""COMPUTED_VALUE"""),6897.7)</f>
        <v>6897.7</v>
      </c>
      <c r="I2893" s="5">
        <f>IFERROR(__xludf.DUMMYFUNCTION("""COMPUTED_VALUE"""),1616.33)</f>
        <v>1616.33</v>
      </c>
      <c r="J2893" s="5">
        <f>IFERROR(__xludf.DUMMYFUNCTION("""COMPUTED_VALUE"""),6732.82)</f>
        <v>6732.82</v>
      </c>
      <c r="K2893" s="5">
        <f>IFERROR(__xludf.DUMMYFUNCTION("""COMPUTED_VALUE"""),1586.7)</f>
        <v>1586.7</v>
      </c>
      <c r="L2893" s="4">
        <f>IFERROR(__xludf.DUMMYFUNCTION("""COMPUTED_VALUE"""),13.0)</f>
        <v>13</v>
      </c>
      <c r="M2893" s="4">
        <f>IFERROR(__xludf.DUMMYFUNCTION("""COMPUTED_VALUE"""),70.0)</f>
        <v>70</v>
      </c>
      <c r="N2893" s="2" t="b">
        <f>IFERROR(__xludf.DUMMYFUNCTION("""COMPUTED_VALUE"""),TRUE)</f>
        <v>1</v>
      </c>
    </row>
    <row r="2894">
      <c r="A2894" s="2">
        <f>IFERROR(__xludf.DUMMYFUNCTION("""COMPUTED_VALUE"""),2893.0)</f>
        <v>2893</v>
      </c>
      <c r="B2894" s="2" t="str">
        <f>IFERROR(__xludf.DUMMYFUNCTION("""COMPUTED_VALUE"""),"Torre MacCart")</f>
        <v>Torre MacCart</v>
      </c>
      <c r="C2894" s="2"/>
      <c r="D2894" s="4">
        <f>IFERROR(__xludf.DUMMYFUNCTION("""COMPUTED_VALUE"""),127.0)</f>
        <v>127</v>
      </c>
      <c r="E2894" s="4">
        <f>IFERROR(__xludf.DUMMYFUNCTION("""COMPUTED_VALUE"""),47.0)</f>
        <v>47</v>
      </c>
      <c r="F2894" s="4">
        <f>IFERROR(__xludf.DUMMYFUNCTION("""COMPUTED_VALUE"""),2.0)</f>
        <v>2</v>
      </c>
      <c r="G2894" s="4">
        <f>IFERROR(__xludf.DUMMYFUNCTION("""COMPUTED_VALUE"""),508.0)</f>
        <v>508</v>
      </c>
      <c r="H2894" s="5">
        <f>IFERROR(__xludf.DUMMYFUNCTION("""COMPUTED_VALUE"""),9409.76)</f>
        <v>9409.76</v>
      </c>
      <c r="I2894" s="5">
        <f>IFERROR(__xludf.DUMMYFUNCTION("""COMPUTED_VALUE"""),5983.04)</f>
        <v>5983.04</v>
      </c>
      <c r="J2894" s="5">
        <f>IFERROR(__xludf.DUMMYFUNCTION("""COMPUTED_VALUE"""),2176.19)</f>
        <v>2176.19</v>
      </c>
      <c r="K2894" s="5">
        <f>IFERROR(__xludf.DUMMYFUNCTION("""COMPUTED_VALUE"""),3437.39)</f>
        <v>3437.39</v>
      </c>
      <c r="L2894" s="4">
        <f>IFERROR(__xludf.DUMMYFUNCTION("""COMPUTED_VALUE"""),14.0)</f>
        <v>14</v>
      </c>
      <c r="M2894" s="4">
        <f>IFERROR(__xludf.DUMMYFUNCTION("""COMPUTED_VALUE"""),62.0)</f>
        <v>62</v>
      </c>
      <c r="N2894" s="2" t="b">
        <f>IFERROR(__xludf.DUMMYFUNCTION("""COMPUTED_VALUE"""),FALSE)</f>
        <v>0</v>
      </c>
    </row>
    <row r="2895">
      <c r="A2895" s="2">
        <f>IFERROR(__xludf.DUMMYFUNCTION("""COMPUTED_VALUE"""),2894.0)</f>
        <v>2894</v>
      </c>
      <c r="B2895" s="2" t="str">
        <f>IFERROR(__xludf.DUMMYFUNCTION("""COMPUTED_VALUE"""),"Maryann Pheby")</f>
        <v>Maryann Pheby</v>
      </c>
      <c r="C2895" s="2" t="str">
        <f>IFERROR(__xludf.DUMMYFUNCTION("""COMPUTED_VALUE"""),"mphebyou@miitbeian.gov.cn")</f>
        <v>mphebyou@miitbeian.gov.cn</v>
      </c>
      <c r="D2895" s="4">
        <f>IFERROR(__xludf.DUMMYFUNCTION("""COMPUTED_VALUE"""),102.0)</f>
        <v>102</v>
      </c>
      <c r="E2895" s="4">
        <f>IFERROR(__xludf.DUMMYFUNCTION("""COMPUTED_VALUE"""),18.0)</f>
        <v>18</v>
      </c>
      <c r="F2895" s="4">
        <f>IFERROR(__xludf.DUMMYFUNCTION("""COMPUTED_VALUE"""),6.0)</f>
        <v>6</v>
      </c>
      <c r="G2895" s="4">
        <f>IFERROR(__xludf.DUMMYFUNCTION("""COMPUTED_VALUE"""),1202.0)</f>
        <v>1202</v>
      </c>
      <c r="H2895" s="5">
        <f>IFERROR(__xludf.DUMMYFUNCTION("""COMPUTED_VALUE"""),5026.68)</f>
        <v>5026.68</v>
      </c>
      <c r="I2895" s="5">
        <f>IFERROR(__xludf.DUMMYFUNCTION("""COMPUTED_VALUE"""),1857.0)</f>
        <v>1857</v>
      </c>
      <c r="J2895" s="5">
        <f>IFERROR(__xludf.DUMMYFUNCTION("""COMPUTED_VALUE"""),8346.1)</f>
        <v>8346.1</v>
      </c>
      <c r="K2895" s="5">
        <f>IFERROR(__xludf.DUMMYFUNCTION("""COMPUTED_VALUE"""),5472.86)</f>
        <v>5472.86</v>
      </c>
      <c r="L2895" s="4">
        <f>IFERROR(__xludf.DUMMYFUNCTION("""COMPUTED_VALUE"""),2.0)</f>
        <v>2</v>
      </c>
      <c r="M2895" s="4">
        <f>IFERROR(__xludf.DUMMYFUNCTION("""COMPUTED_VALUE"""),86.0)</f>
        <v>86</v>
      </c>
      <c r="N2895" s="2" t="b">
        <f>IFERROR(__xludf.DUMMYFUNCTION("""COMPUTED_VALUE"""),FALSE)</f>
        <v>0</v>
      </c>
    </row>
    <row r="2896">
      <c r="A2896" s="2">
        <f>IFERROR(__xludf.DUMMYFUNCTION("""COMPUTED_VALUE"""),2895.0)</f>
        <v>2895</v>
      </c>
      <c r="B2896" s="2" t="str">
        <f>IFERROR(__xludf.DUMMYFUNCTION("""COMPUTED_VALUE"""),"Gerald Laughnan")</f>
        <v>Gerald Laughnan</v>
      </c>
      <c r="C2896" s="2"/>
      <c r="D2896" s="4">
        <f>IFERROR(__xludf.DUMMYFUNCTION("""COMPUTED_VALUE"""),149.0)</f>
        <v>149</v>
      </c>
      <c r="E2896" s="4">
        <f>IFERROR(__xludf.DUMMYFUNCTION("""COMPUTED_VALUE"""),83.0)</f>
        <v>83</v>
      </c>
      <c r="F2896" s="4">
        <f>IFERROR(__xludf.DUMMYFUNCTION("""COMPUTED_VALUE"""),11.0)</f>
        <v>11</v>
      </c>
      <c r="G2896" s="4">
        <f>IFERROR(__xludf.DUMMYFUNCTION("""COMPUTED_VALUE"""),1319.0)</f>
        <v>1319</v>
      </c>
      <c r="H2896" s="5">
        <f>IFERROR(__xludf.DUMMYFUNCTION("""COMPUTED_VALUE"""),7380.88)</f>
        <v>7380.88</v>
      </c>
      <c r="I2896" s="5">
        <f>IFERROR(__xludf.DUMMYFUNCTION("""COMPUTED_VALUE"""),908.09)</f>
        <v>908.09</v>
      </c>
      <c r="J2896" s="5">
        <f>IFERROR(__xludf.DUMMYFUNCTION("""COMPUTED_VALUE"""),8388.61)</f>
        <v>8388.61</v>
      </c>
      <c r="K2896" s="5">
        <f>IFERROR(__xludf.DUMMYFUNCTION("""COMPUTED_VALUE"""),8044.35)</f>
        <v>8044.35</v>
      </c>
      <c r="L2896" s="4">
        <f>IFERROR(__xludf.DUMMYFUNCTION("""COMPUTED_VALUE"""),20.0)</f>
        <v>20</v>
      </c>
      <c r="M2896" s="4">
        <f>IFERROR(__xludf.DUMMYFUNCTION("""COMPUTED_VALUE"""),42.0)</f>
        <v>42</v>
      </c>
      <c r="N2896" s="2" t="b">
        <f>IFERROR(__xludf.DUMMYFUNCTION("""COMPUTED_VALUE"""),TRUE)</f>
        <v>1</v>
      </c>
    </row>
    <row r="2897">
      <c r="A2897" s="2">
        <f>IFERROR(__xludf.DUMMYFUNCTION("""COMPUTED_VALUE"""),2896.0)</f>
        <v>2896</v>
      </c>
      <c r="B2897" s="2" t="str">
        <f>IFERROR(__xludf.DUMMYFUNCTION("""COMPUTED_VALUE"""),"Roth Vondrys")</f>
        <v>Roth Vondrys</v>
      </c>
      <c r="C2897" s="2"/>
      <c r="D2897" s="4">
        <f>IFERROR(__xludf.DUMMYFUNCTION("""COMPUTED_VALUE"""),94.0)</f>
        <v>94</v>
      </c>
      <c r="E2897" s="4">
        <f>IFERROR(__xludf.DUMMYFUNCTION("""COMPUTED_VALUE"""),25.0)</f>
        <v>25</v>
      </c>
      <c r="F2897" s="4">
        <f>IFERROR(__xludf.DUMMYFUNCTION("""COMPUTED_VALUE"""),3.0)</f>
        <v>3</v>
      </c>
      <c r="G2897" s="4">
        <f>IFERROR(__xludf.DUMMYFUNCTION("""COMPUTED_VALUE"""),934.0)</f>
        <v>934</v>
      </c>
      <c r="H2897" s="5">
        <f>IFERROR(__xludf.DUMMYFUNCTION("""COMPUTED_VALUE"""),2197.92)</f>
        <v>2197.92</v>
      </c>
      <c r="I2897" s="5">
        <f>IFERROR(__xludf.DUMMYFUNCTION("""COMPUTED_VALUE"""),4421.82)</f>
        <v>4421.82</v>
      </c>
      <c r="J2897" s="5">
        <f>IFERROR(__xludf.DUMMYFUNCTION("""COMPUTED_VALUE"""),9413.03)</f>
        <v>9413.03</v>
      </c>
      <c r="K2897" s="5">
        <f>IFERROR(__xludf.DUMMYFUNCTION("""COMPUTED_VALUE"""),85.45)</f>
        <v>85.45</v>
      </c>
      <c r="L2897" s="4">
        <f>IFERROR(__xludf.DUMMYFUNCTION("""COMPUTED_VALUE"""),3.0)</f>
        <v>3</v>
      </c>
      <c r="M2897" s="4">
        <f>IFERROR(__xludf.DUMMYFUNCTION("""COMPUTED_VALUE"""),88.0)</f>
        <v>88</v>
      </c>
      <c r="N2897" s="2" t="b">
        <f>IFERROR(__xludf.DUMMYFUNCTION("""COMPUTED_VALUE"""),TRUE)</f>
        <v>1</v>
      </c>
    </row>
    <row r="2898">
      <c r="A2898" s="2">
        <f>IFERROR(__xludf.DUMMYFUNCTION("""COMPUTED_VALUE"""),2897.0)</f>
        <v>2897</v>
      </c>
      <c r="B2898" s="2" t="str">
        <f>IFERROR(__xludf.DUMMYFUNCTION("""COMPUTED_VALUE"""),"Winonah Carlozzi")</f>
        <v>Winonah Carlozzi</v>
      </c>
      <c r="C2898" s="2"/>
      <c r="D2898" s="4">
        <f>IFERROR(__xludf.DUMMYFUNCTION("""COMPUTED_VALUE"""),22.0)</f>
        <v>22</v>
      </c>
      <c r="E2898" s="4">
        <f>IFERROR(__xludf.DUMMYFUNCTION("""COMPUTED_VALUE"""),72.0)</f>
        <v>72</v>
      </c>
      <c r="F2898" s="4">
        <f>IFERROR(__xludf.DUMMYFUNCTION("""COMPUTED_VALUE"""),12.0)</f>
        <v>12</v>
      </c>
      <c r="G2898" s="4">
        <f>IFERROR(__xludf.DUMMYFUNCTION("""COMPUTED_VALUE"""),1315.0)</f>
        <v>1315</v>
      </c>
      <c r="H2898" s="5">
        <f>IFERROR(__xludf.DUMMYFUNCTION("""COMPUTED_VALUE"""),1429.93)</f>
        <v>1429.93</v>
      </c>
      <c r="I2898" s="5">
        <f>IFERROR(__xludf.DUMMYFUNCTION("""COMPUTED_VALUE"""),9517.35)</f>
        <v>9517.35</v>
      </c>
      <c r="J2898" s="5">
        <f>IFERROR(__xludf.DUMMYFUNCTION("""COMPUTED_VALUE"""),4698.47)</f>
        <v>4698.47</v>
      </c>
      <c r="K2898" s="5">
        <f>IFERROR(__xludf.DUMMYFUNCTION("""COMPUTED_VALUE"""),2660.48)</f>
        <v>2660.48</v>
      </c>
      <c r="L2898" s="4">
        <f>IFERROR(__xludf.DUMMYFUNCTION("""COMPUTED_VALUE"""),13.0)</f>
        <v>13</v>
      </c>
      <c r="M2898" s="4">
        <f>IFERROR(__xludf.DUMMYFUNCTION("""COMPUTED_VALUE"""),54.0)</f>
        <v>54</v>
      </c>
      <c r="N2898" s="2" t="b">
        <f>IFERROR(__xludf.DUMMYFUNCTION("""COMPUTED_VALUE"""),TRUE)</f>
        <v>1</v>
      </c>
    </row>
    <row r="2899">
      <c r="A2899" s="2">
        <f>IFERROR(__xludf.DUMMYFUNCTION("""COMPUTED_VALUE"""),2898.0)</f>
        <v>2898</v>
      </c>
      <c r="B2899" s="2" t="str">
        <f>IFERROR(__xludf.DUMMYFUNCTION("""COMPUTED_VALUE"""),"Olly Dell'Abbate")</f>
        <v>Olly Dell'Abbate</v>
      </c>
      <c r="C2899" s="2"/>
      <c r="D2899" s="4">
        <f>IFERROR(__xludf.DUMMYFUNCTION("""COMPUTED_VALUE"""),148.0)</f>
        <v>148</v>
      </c>
      <c r="E2899" s="4">
        <f>IFERROR(__xludf.DUMMYFUNCTION("""COMPUTED_VALUE"""),109.0)</f>
        <v>109</v>
      </c>
      <c r="F2899" s="4">
        <f>IFERROR(__xludf.DUMMYFUNCTION("""COMPUTED_VALUE"""),8.0)</f>
        <v>8</v>
      </c>
      <c r="G2899" s="4">
        <f>IFERROR(__xludf.DUMMYFUNCTION("""COMPUTED_VALUE"""),1470.0)</f>
        <v>1470</v>
      </c>
      <c r="H2899" s="5">
        <f>IFERROR(__xludf.DUMMYFUNCTION("""COMPUTED_VALUE"""),9867.58)</f>
        <v>9867.58</v>
      </c>
      <c r="I2899" s="5">
        <f>IFERROR(__xludf.DUMMYFUNCTION("""COMPUTED_VALUE"""),9853.37)</f>
        <v>9853.37</v>
      </c>
      <c r="J2899" s="5">
        <f>IFERROR(__xludf.DUMMYFUNCTION("""COMPUTED_VALUE"""),1655.81)</f>
        <v>1655.81</v>
      </c>
      <c r="K2899" s="5">
        <f>IFERROR(__xludf.DUMMYFUNCTION("""COMPUTED_VALUE"""),9026.94)</f>
        <v>9026.94</v>
      </c>
      <c r="L2899" s="4">
        <f>IFERROR(__xludf.DUMMYFUNCTION("""COMPUTED_VALUE"""),19.0)</f>
        <v>19</v>
      </c>
      <c r="M2899" s="4">
        <f>IFERROR(__xludf.DUMMYFUNCTION("""COMPUTED_VALUE"""),84.0)</f>
        <v>84</v>
      </c>
      <c r="N2899" s="2" t="b">
        <f>IFERROR(__xludf.DUMMYFUNCTION("""COMPUTED_VALUE"""),FALSE)</f>
        <v>0</v>
      </c>
    </row>
    <row r="2900">
      <c r="A2900" s="2">
        <f>IFERROR(__xludf.DUMMYFUNCTION("""COMPUTED_VALUE"""),2899.0)</f>
        <v>2899</v>
      </c>
      <c r="B2900" s="2" t="str">
        <f>IFERROR(__xludf.DUMMYFUNCTION("""COMPUTED_VALUE"""),"Marigold Shedden")</f>
        <v>Marigold Shedden</v>
      </c>
      <c r="C2900" s="2" t="str">
        <f>IFERROR(__xludf.DUMMYFUNCTION("""COMPUTED_VALUE"""),"msheddenoz@opensource.org")</f>
        <v>msheddenoz@opensource.org</v>
      </c>
      <c r="D2900" s="4">
        <f>IFERROR(__xludf.DUMMYFUNCTION("""COMPUTED_VALUE"""),80.0)</f>
        <v>80</v>
      </c>
      <c r="E2900" s="4">
        <f>IFERROR(__xludf.DUMMYFUNCTION("""COMPUTED_VALUE"""),125.0)</f>
        <v>125</v>
      </c>
      <c r="F2900" s="4">
        <f>IFERROR(__xludf.DUMMYFUNCTION("""COMPUTED_VALUE"""),1.0)</f>
        <v>1</v>
      </c>
      <c r="G2900" s="4">
        <f>IFERROR(__xludf.DUMMYFUNCTION("""COMPUTED_VALUE"""),319.0)</f>
        <v>319</v>
      </c>
      <c r="H2900" s="5">
        <f>IFERROR(__xludf.DUMMYFUNCTION("""COMPUTED_VALUE"""),5806.36)</f>
        <v>5806.36</v>
      </c>
      <c r="I2900" s="5">
        <f>IFERROR(__xludf.DUMMYFUNCTION("""COMPUTED_VALUE"""),5519.32)</f>
        <v>5519.32</v>
      </c>
      <c r="J2900" s="5">
        <f>IFERROR(__xludf.DUMMYFUNCTION("""COMPUTED_VALUE"""),3209.75)</f>
        <v>3209.75</v>
      </c>
      <c r="K2900" s="5">
        <f>IFERROR(__xludf.DUMMYFUNCTION("""COMPUTED_VALUE"""),4332.63)</f>
        <v>4332.63</v>
      </c>
      <c r="L2900" s="4">
        <f>IFERROR(__xludf.DUMMYFUNCTION("""COMPUTED_VALUE"""),13.0)</f>
        <v>13</v>
      </c>
      <c r="M2900" s="4">
        <f>IFERROR(__xludf.DUMMYFUNCTION("""COMPUTED_VALUE"""),21.0)</f>
        <v>21</v>
      </c>
      <c r="N2900" s="2" t="b">
        <f>IFERROR(__xludf.DUMMYFUNCTION("""COMPUTED_VALUE"""),FALSE)</f>
        <v>0</v>
      </c>
    </row>
    <row r="2901">
      <c r="A2901" s="2">
        <f>IFERROR(__xludf.DUMMYFUNCTION("""COMPUTED_VALUE"""),2900.0)</f>
        <v>2900</v>
      </c>
      <c r="B2901" s="2" t="str">
        <f>IFERROR(__xludf.DUMMYFUNCTION("""COMPUTED_VALUE"""),"Dorothee Wilsdon")</f>
        <v>Dorothee Wilsdon</v>
      </c>
      <c r="C2901" s="2" t="str">
        <f>IFERROR(__xludf.DUMMYFUNCTION("""COMPUTED_VALUE"""),"dwilsdonp0@sina.com.cn")</f>
        <v>dwilsdonp0@sina.com.cn</v>
      </c>
      <c r="D2901" s="4">
        <f>IFERROR(__xludf.DUMMYFUNCTION("""COMPUTED_VALUE"""),105.0)</f>
        <v>105</v>
      </c>
      <c r="E2901" s="4">
        <f>IFERROR(__xludf.DUMMYFUNCTION("""COMPUTED_VALUE"""),85.0)</f>
        <v>85</v>
      </c>
      <c r="F2901" s="4">
        <f>IFERROR(__xludf.DUMMYFUNCTION("""COMPUTED_VALUE"""),2.0)</f>
        <v>2</v>
      </c>
      <c r="G2901" s="4">
        <f>IFERROR(__xludf.DUMMYFUNCTION("""COMPUTED_VALUE"""),992.0)</f>
        <v>992</v>
      </c>
      <c r="H2901" s="5">
        <f>IFERROR(__xludf.DUMMYFUNCTION("""COMPUTED_VALUE"""),8464.13)</f>
        <v>8464.13</v>
      </c>
      <c r="I2901" s="5">
        <f>IFERROR(__xludf.DUMMYFUNCTION("""COMPUTED_VALUE"""),8130.24)</f>
        <v>8130.24</v>
      </c>
      <c r="J2901" s="5">
        <f>IFERROR(__xludf.DUMMYFUNCTION("""COMPUTED_VALUE"""),2342.77)</f>
        <v>2342.77</v>
      </c>
      <c r="K2901" s="5">
        <f>IFERROR(__xludf.DUMMYFUNCTION("""COMPUTED_VALUE"""),6539.45)</f>
        <v>6539.45</v>
      </c>
      <c r="L2901" s="4">
        <f>IFERROR(__xludf.DUMMYFUNCTION("""COMPUTED_VALUE"""),17.0)</f>
        <v>17</v>
      </c>
      <c r="M2901" s="4">
        <f>IFERROR(__xludf.DUMMYFUNCTION("""COMPUTED_VALUE"""),60.0)</f>
        <v>60</v>
      </c>
      <c r="N2901" s="2" t="b">
        <f>IFERROR(__xludf.DUMMYFUNCTION("""COMPUTED_VALUE"""),FALSE)</f>
        <v>0</v>
      </c>
    </row>
    <row r="2902">
      <c r="A2902" s="2">
        <f>IFERROR(__xludf.DUMMYFUNCTION("""COMPUTED_VALUE"""),2901.0)</f>
        <v>2901</v>
      </c>
      <c r="B2902" s="2" t="str">
        <f>IFERROR(__xludf.DUMMYFUNCTION("""COMPUTED_VALUE"""),"Hamnet Drage")</f>
        <v>Hamnet Drage</v>
      </c>
      <c r="C2902" s="2" t="str">
        <f>IFERROR(__xludf.DUMMYFUNCTION("""COMPUTED_VALUE"""),"hdragep1@gmpg.org")</f>
        <v>hdragep1@gmpg.org</v>
      </c>
      <c r="D2902" s="4">
        <f>IFERROR(__xludf.DUMMYFUNCTION("""COMPUTED_VALUE"""),98.0)</f>
        <v>98</v>
      </c>
      <c r="E2902" s="4">
        <f>IFERROR(__xludf.DUMMYFUNCTION("""COMPUTED_VALUE"""),17.0)</f>
        <v>17</v>
      </c>
      <c r="F2902" s="4">
        <f>IFERROR(__xludf.DUMMYFUNCTION("""COMPUTED_VALUE"""),7.0)</f>
        <v>7</v>
      </c>
      <c r="G2902" s="4">
        <f>IFERROR(__xludf.DUMMYFUNCTION("""COMPUTED_VALUE"""),1170.0)</f>
        <v>1170</v>
      </c>
      <c r="H2902" s="5">
        <f>IFERROR(__xludf.DUMMYFUNCTION("""COMPUTED_VALUE"""),2259.28)</f>
        <v>2259.28</v>
      </c>
      <c r="I2902" s="5">
        <f>IFERROR(__xludf.DUMMYFUNCTION("""COMPUTED_VALUE"""),4594.9)</f>
        <v>4594.9</v>
      </c>
      <c r="J2902" s="5">
        <f>IFERROR(__xludf.DUMMYFUNCTION("""COMPUTED_VALUE"""),3376.55)</f>
        <v>3376.55</v>
      </c>
      <c r="K2902" s="5">
        <f>IFERROR(__xludf.DUMMYFUNCTION("""COMPUTED_VALUE"""),9576.23)</f>
        <v>9576.23</v>
      </c>
      <c r="L2902" s="4">
        <f>IFERROR(__xludf.DUMMYFUNCTION("""COMPUTED_VALUE"""),15.0)</f>
        <v>15</v>
      </c>
      <c r="M2902" s="4">
        <f>IFERROR(__xludf.DUMMYFUNCTION("""COMPUTED_VALUE"""),57.0)</f>
        <v>57</v>
      </c>
      <c r="N2902" s="2" t="b">
        <f>IFERROR(__xludf.DUMMYFUNCTION("""COMPUTED_VALUE"""),FALSE)</f>
        <v>0</v>
      </c>
    </row>
    <row r="2903">
      <c r="A2903" s="2">
        <f>IFERROR(__xludf.DUMMYFUNCTION("""COMPUTED_VALUE"""),2902.0)</f>
        <v>2902</v>
      </c>
      <c r="B2903" s="2" t="str">
        <f>IFERROR(__xludf.DUMMYFUNCTION("""COMPUTED_VALUE"""),"Anton Screas")</f>
        <v>Anton Screas</v>
      </c>
      <c r="C2903" s="2" t="str">
        <f>IFERROR(__xludf.DUMMYFUNCTION("""COMPUTED_VALUE"""),"ascreasp2@moonfruit.com")</f>
        <v>ascreasp2@moonfruit.com</v>
      </c>
      <c r="D2903" s="4">
        <f>IFERROR(__xludf.DUMMYFUNCTION("""COMPUTED_VALUE"""),160.0)</f>
        <v>160</v>
      </c>
      <c r="E2903" s="4">
        <f>IFERROR(__xludf.DUMMYFUNCTION("""COMPUTED_VALUE"""),116.0)</f>
        <v>116</v>
      </c>
      <c r="F2903" s="4">
        <f>IFERROR(__xludf.DUMMYFUNCTION("""COMPUTED_VALUE"""),1.0)</f>
        <v>1</v>
      </c>
      <c r="G2903" s="4">
        <f>IFERROR(__xludf.DUMMYFUNCTION("""COMPUTED_VALUE"""),272.0)</f>
        <v>272</v>
      </c>
      <c r="H2903" s="5">
        <f>IFERROR(__xludf.DUMMYFUNCTION("""COMPUTED_VALUE"""),3123.46)</f>
        <v>3123.46</v>
      </c>
      <c r="I2903" s="5">
        <f>IFERROR(__xludf.DUMMYFUNCTION("""COMPUTED_VALUE"""),7958.41)</f>
        <v>7958.41</v>
      </c>
      <c r="J2903" s="5">
        <f>IFERROR(__xludf.DUMMYFUNCTION("""COMPUTED_VALUE"""),8988.6)</f>
        <v>8988.6</v>
      </c>
      <c r="K2903" s="5">
        <f>IFERROR(__xludf.DUMMYFUNCTION("""COMPUTED_VALUE"""),189.59)</f>
        <v>189.59</v>
      </c>
      <c r="L2903" s="4">
        <f>IFERROR(__xludf.DUMMYFUNCTION("""COMPUTED_VALUE"""),18.0)</f>
        <v>18</v>
      </c>
      <c r="M2903" s="4">
        <f>IFERROR(__xludf.DUMMYFUNCTION("""COMPUTED_VALUE"""),62.0)</f>
        <v>62</v>
      </c>
      <c r="N2903" s="2" t="b">
        <f>IFERROR(__xludf.DUMMYFUNCTION("""COMPUTED_VALUE"""),FALSE)</f>
        <v>0</v>
      </c>
    </row>
    <row r="2904">
      <c r="A2904" s="2">
        <f>IFERROR(__xludf.DUMMYFUNCTION("""COMPUTED_VALUE"""),2903.0)</f>
        <v>2903</v>
      </c>
      <c r="B2904" s="2" t="str">
        <f>IFERROR(__xludf.DUMMYFUNCTION("""COMPUTED_VALUE"""),"Bertram Chezelle")</f>
        <v>Bertram Chezelle</v>
      </c>
      <c r="C2904" s="2"/>
      <c r="D2904" s="4">
        <f>IFERROR(__xludf.DUMMYFUNCTION("""COMPUTED_VALUE"""),107.0)</f>
        <v>107</v>
      </c>
      <c r="E2904" s="4">
        <f>IFERROR(__xludf.DUMMYFUNCTION("""COMPUTED_VALUE"""),53.0)</f>
        <v>53</v>
      </c>
      <c r="F2904" s="4">
        <f>IFERROR(__xludf.DUMMYFUNCTION("""COMPUTED_VALUE"""),1.0)</f>
        <v>1</v>
      </c>
      <c r="G2904" s="4">
        <f>IFERROR(__xludf.DUMMYFUNCTION("""COMPUTED_VALUE"""),718.0)</f>
        <v>718</v>
      </c>
      <c r="H2904" s="5">
        <f>IFERROR(__xludf.DUMMYFUNCTION("""COMPUTED_VALUE"""),4370.73)</f>
        <v>4370.73</v>
      </c>
      <c r="I2904" s="5">
        <f>IFERROR(__xludf.DUMMYFUNCTION("""COMPUTED_VALUE"""),920.07)</f>
        <v>920.07</v>
      </c>
      <c r="J2904" s="5">
        <f>IFERROR(__xludf.DUMMYFUNCTION("""COMPUTED_VALUE"""),5739.0)</f>
        <v>5739</v>
      </c>
      <c r="K2904" s="5">
        <f>IFERROR(__xludf.DUMMYFUNCTION("""COMPUTED_VALUE"""),2939.66)</f>
        <v>2939.66</v>
      </c>
      <c r="L2904" s="4">
        <f>IFERROR(__xludf.DUMMYFUNCTION("""COMPUTED_VALUE"""),13.0)</f>
        <v>13</v>
      </c>
      <c r="M2904" s="4">
        <f>IFERROR(__xludf.DUMMYFUNCTION("""COMPUTED_VALUE"""),89.0)</f>
        <v>89</v>
      </c>
      <c r="N2904" s="2" t="b">
        <f>IFERROR(__xludf.DUMMYFUNCTION("""COMPUTED_VALUE"""),FALSE)</f>
        <v>0</v>
      </c>
    </row>
    <row r="2905">
      <c r="A2905" s="2">
        <f>IFERROR(__xludf.DUMMYFUNCTION("""COMPUTED_VALUE"""),2904.0)</f>
        <v>2904</v>
      </c>
      <c r="B2905" s="2" t="str">
        <f>IFERROR(__xludf.DUMMYFUNCTION("""COMPUTED_VALUE"""),"Wenona Melendez")</f>
        <v>Wenona Melendez</v>
      </c>
      <c r="C2905" s="2" t="str">
        <f>IFERROR(__xludf.DUMMYFUNCTION("""COMPUTED_VALUE"""),"wmelendezp4@amazon.co.jp")</f>
        <v>wmelendezp4@amazon.co.jp</v>
      </c>
      <c r="D2905" s="4">
        <f>IFERROR(__xludf.DUMMYFUNCTION("""COMPUTED_VALUE"""),24.0)</f>
        <v>24</v>
      </c>
      <c r="E2905" s="4">
        <f>IFERROR(__xludf.DUMMYFUNCTION("""COMPUTED_VALUE"""),56.0)</f>
        <v>56</v>
      </c>
      <c r="F2905" s="4">
        <f>IFERROR(__xludf.DUMMYFUNCTION("""COMPUTED_VALUE"""),1.0)</f>
        <v>1</v>
      </c>
      <c r="G2905" s="4">
        <f>IFERROR(__xludf.DUMMYFUNCTION("""COMPUTED_VALUE"""),194.0)</f>
        <v>194</v>
      </c>
      <c r="H2905" s="5">
        <f>IFERROR(__xludf.DUMMYFUNCTION("""COMPUTED_VALUE"""),198.07)</f>
        <v>198.07</v>
      </c>
      <c r="I2905" s="5">
        <f>IFERROR(__xludf.DUMMYFUNCTION("""COMPUTED_VALUE"""),6959.04)</f>
        <v>6959.04</v>
      </c>
      <c r="J2905" s="5">
        <f>IFERROR(__xludf.DUMMYFUNCTION("""COMPUTED_VALUE"""),3181.33)</f>
        <v>3181.33</v>
      </c>
      <c r="K2905" s="5">
        <f>IFERROR(__xludf.DUMMYFUNCTION("""COMPUTED_VALUE"""),5135.37)</f>
        <v>5135.37</v>
      </c>
      <c r="L2905" s="4">
        <f>IFERROR(__xludf.DUMMYFUNCTION("""COMPUTED_VALUE"""),5.0)</f>
        <v>5</v>
      </c>
      <c r="M2905" s="4">
        <f>IFERROR(__xludf.DUMMYFUNCTION("""COMPUTED_VALUE"""),38.0)</f>
        <v>38</v>
      </c>
      <c r="N2905" s="2" t="b">
        <f>IFERROR(__xludf.DUMMYFUNCTION("""COMPUTED_VALUE"""),FALSE)</f>
        <v>0</v>
      </c>
    </row>
    <row r="2906">
      <c r="A2906" s="2">
        <f>IFERROR(__xludf.DUMMYFUNCTION("""COMPUTED_VALUE"""),2905.0)</f>
        <v>2905</v>
      </c>
      <c r="B2906" s="2" t="str">
        <f>IFERROR(__xludf.DUMMYFUNCTION("""COMPUTED_VALUE"""),"Leland Bisterfeld")</f>
        <v>Leland Bisterfeld</v>
      </c>
      <c r="C2906" s="2" t="str">
        <f>IFERROR(__xludf.DUMMYFUNCTION("""COMPUTED_VALUE"""),"lbisterfeldp5@hexun.com")</f>
        <v>lbisterfeldp5@hexun.com</v>
      </c>
      <c r="D2906" s="4">
        <f>IFERROR(__xludf.DUMMYFUNCTION("""COMPUTED_VALUE"""),46.0)</f>
        <v>46</v>
      </c>
      <c r="E2906" s="4">
        <f>IFERROR(__xludf.DUMMYFUNCTION("""COMPUTED_VALUE"""),51.0)</f>
        <v>51</v>
      </c>
      <c r="F2906" s="4">
        <f>IFERROR(__xludf.DUMMYFUNCTION("""COMPUTED_VALUE"""),7.0)</f>
        <v>7</v>
      </c>
      <c r="G2906" s="4">
        <f>IFERROR(__xludf.DUMMYFUNCTION("""COMPUTED_VALUE"""),732.0)</f>
        <v>732</v>
      </c>
      <c r="H2906" s="5">
        <f>IFERROR(__xludf.DUMMYFUNCTION("""COMPUTED_VALUE"""),4406.43)</f>
        <v>4406.43</v>
      </c>
      <c r="I2906" s="5">
        <f>IFERROR(__xludf.DUMMYFUNCTION("""COMPUTED_VALUE"""),8269.75)</f>
        <v>8269.75</v>
      </c>
      <c r="J2906" s="5">
        <f>IFERROR(__xludf.DUMMYFUNCTION("""COMPUTED_VALUE"""),5109.01)</f>
        <v>5109.01</v>
      </c>
      <c r="K2906" s="5">
        <f>IFERROR(__xludf.DUMMYFUNCTION("""COMPUTED_VALUE"""),9037.98)</f>
        <v>9037.98</v>
      </c>
      <c r="L2906" s="4">
        <f>IFERROR(__xludf.DUMMYFUNCTION("""COMPUTED_VALUE"""),17.0)</f>
        <v>17</v>
      </c>
      <c r="M2906" s="4">
        <f>IFERROR(__xludf.DUMMYFUNCTION("""COMPUTED_VALUE"""),74.0)</f>
        <v>74</v>
      </c>
      <c r="N2906" s="2" t="b">
        <f>IFERROR(__xludf.DUMMYFUNCTION("""COMPUTED_VALUE"""),TRUE)</f>
        <v>1</v>
      </c>
    </row>
    <row r="2907">
      <c r="A2907" s="2">
        <f>IFERROR(__xludf.DUMMYFUNCTION("""COMPUTED_VALUE"""),2906.0)</f>
        <v>2906</v>
      </c>
      <c r="B2907" s="2" t="str">
        <f>IFERROR(__xludf.DUMMYFUNCTION("""COMPUTED_VALUE"""),"Lin Shambroke")</f>
        <v>Lin Shambroke</v>
      </c>
      <c r="C2907" s="2"/>
      <c r="D2907" s="4">
        <f>IFERROR(__xludf.DUMMYFUNCTION("""COMPUTED_VALUE"""),5.0)</f>
        <v>5</v>
      </c>
      <c r="E2907" s="4">
        <f>IFERROR(__xludf.DUMMYFUNCTION("""COMPUTED_VALUE"""),27.0)</f>
        <v>27</v>
      </c>
      <c r="F2907" s="4">
        <f>IFERROR(__xludf.DUMMYFUNCTION("""COMPUTED_VALUE"""),9.0)</f>
        <v>9</v>
      </c>
      <c r="G2907" s="4">
        <f>IFERROR(__xludf.DUMMYFUNCTION("""COMPUTED_VALUE"""),1190.0)</f>
        <v>1190</v>
      </c>
      <c r="H2907" s="5">
        <f>IFERROR(__xludf.DUMMYFUNCTION("""COMPUTED_VALUE"""),2263.24)</f>
        <v>2263.24</v>
      </c>
      <c r="I2907" s="5">
        <f>IFERROR(__xludf.DUMMYFUNCTION("""COMPUTED_VALUE"""),5054.41)</f>
        <v>5054.41</v>
      </c>
      <c r="J2907" s="5">
        <f>IFERROR(__xludf.DUMMYFUNCTION("""COMPUTED_VALUE"""),1243.35)</f>
        <v>1243.35</v>
      </c>
      <c r="K2907" s="5">
        <f>IFERROR(__xludf.DUMMYFUNCTION("""COMPUTED_VALUE"""),7268.62)</f>
        <v>7268.62</v>
      </c>
      <c r="L2907" s="4">
        <f>IFERROR(__xludf.DUMMYFUNCTION("""COMPUTED_VALUE"""),3.0)</f>
        <v>3</v>
      </c>
      <c r="M2907" s="4">
        <f>IFERROR(__xludf.DUMMYFUNCTION("""COMPUTED_VALUE"""),15.0)</f>
        <v>15</v>
      </c>
      <c r="N2907" s="2" t="b">
        <f>IFERROR(__xludf.DUMMYFUNCTION("""COMPUTED_VALUE"""),FALSE)</f>
        <v>0</v>
      </c>
    </row>
    <row r="2908">
      <c r="A2908" s="2">
        <f>IFERROR(__xludf.DUMMYFUNCTION("""COMPUTED_VALUE"""),2907.0)</f>
        <v>2907</v>
      </c>
      <c r="B2908" s="2" t="str">
        <f>IFERROR(__xludf.DUMMYFUNCTION("""COMPUTED_VALUE"""),"Gasparo Ledes")</f>
        <v>Gasparo Ledes</v>
      </c>
      <c r="C2908" s="2"/>
      <c r="D2908" s="4">
        <f>IFERROR(__xludf.DUMMYFUNCTION("""COMPUTED_VALUE"""),70.0)</f>
        <v>70</v>
      </c>
      <c r="E2908" s="4">
        <f>IFERROR(__xludf.DUMMYFUNCTION("""COMPUTED_VALUE"""),78.0)</f>
        <v>78</v>
      </c>
      <c r="F2908" s="4">
        <f>IFERROR(__xludf.DUMMYFUNCTION("""COMPUTED_VALUE"""),8.0)</f>
        <v>8</v>
      </c>
      <c r="G2908" s="4">
        <f>IFERROR(__xludf.DUMMYFUNCTION("""COMPUTED_VALUE"""),150.0)</f>
        <v>150</v>
      </c>
      <c r="H2908" s="5">
        <f>IFERROR(__xludf.DUMMYFUNCTION("""COMPUTED_VALUE"""),8068.86)</f>
        <v>8068.86</v>
      </c>
      <c r="I2908" s="5">
        <f>IFERROR(__xludf.DUMMYFUNCTION("""COMPUTED_VALUE"""),1942.17)</f>
        <v>1942.17</v>
      </c>
      <c r="J2908" s="5">
        <f>IFERROR(__xludf.DUMMYFUNCTION("""COMPUTED_VALUE"""),6218.89)</f>
        <v>6218.89</v>
      </c>
      <c r="K2908" s="5">
        <f>IFERROR(__xludf.DUMMYFUNCTION("""COMPUTED_VALUE"""),859.64)</f>
        <v>859.64</v>
      </c>
      <c r="L2908" s="4">
        <f>IFERROR(__xludf.DUMMYFUNCTION("""COMPUTED_VALUE"""),14.0)</f>
        <v>14</v>
      </c>
      <c r="M2908" s="4">
        <f>IFERROR(__xludf.DUMMYFUNCTION("""COMPUTED_VALUE"""),59.0)</f>
        <v>59</v>
      </c>
      <c r="N2908" s="2" t="b">
        <f>IFERROR(__xludf.DUMMYFUNCTION("""COMPUTED_VALUE"""),TRUE)</f>
        <v>1</v>
      </c>
    </row>
    <row r="2909">
      <c r="A2909" s="2">
        <f>IFERROR(__xludf.DUMMYFUNCTION("""COMPUTED_VALUE"""),2908.0)</f>
        <v>2908</v>
      </c>
      <c r="B2909" s="2" t="str">
        <f>IFERROR(__xludf.DUMMYFUNCTION("""COMPUTED_VALUE"""),"Daniella Gierek")</f>
        <v>Daniella Gierek</v>
      </c>
      <c r="C2909" s="2" t="str">
        <f>IFERROR(__xludf.DUMMYFUNCTION("""COMPUTED_VALUE"""),"dgierekp8@bbb.org")</f>
        <v>dgierekp8@bbb.org</v>
      </c>
      <c r="D2909" s="4">
        <f>IFERROR(__xludf.DUMMYFUNCTION("""COMPUTED_VALUE"""),53.0)</f>
        <v>53</v>
      </c>
      <c r="E2909" s="4">
        <f>IFERROR(__xludf.DUMMYFUNCTION("""COMPUTED_VALUE"""),62.0)</f>
        <v>62</v>
      </c>
      <c r="F2909" s="4">
        <f>IFERROR(__xludf.DUMMYFUNCTION("""COMPUTED_VALUE"""),8.0)</f>
        <v>8</v>
      </c>
      <c r="G2909" s="4">
        <f>IFERROR(__xludf.DUMMYFUNCTION("""COMPUTED_VALUE"""),803.0)</f>
        <v>803</v>
      </c>
      <c r="H2909" s="5">
        <f>IFERROR(__xludf.DUMMYFUNCTION("""COMPUTED_VALUE"""),9453.78)</f>
        <v>9453.78</v>
      </c>
      <c r="I2909" s="5">
        <f>IFERROR(__xludf.DUMMYFUNCTION("""COMPUTED_VALUE"""),2559.11)</f>
        <v>2559.11</v>
      </c>
      <c r="J2909" s="5">
        <f>IFERROR(__xludf.DUMMYFUNCTION("""COMPUTED_VALUE"""),7873.25)</f>
        <v>7873.25</v>
      </c>
      <c r="K2909" s="5">
        <f>IFERROR(__xludf.DUMMYFUNCTION("""COMPUTED_VALUE"""),548.12)</f>
        <v>548.12</v>
      </c>
      <c r="L2909" s="4">
        <f>IFERROR(__xludf.DUMMYFUNCTION("""COMPUTED_VALUE"""),2.0)</f>
        <v>2</v>
      </c>
      <c r="M2909" s="4">
        <f>IFERROR(__xludf.DUMMYFUNCTION("""COMPUTED_VALUE"""),82.0)</f>
        <v>82</v>
      </c>
      <c r="N2909" s="2" t="b">
        <f>IFERROR(__xludf.DUMMYFUNCTION("""COMPUTED_VALUE"""),TRUE)</f>
        <v>1</v>
      </c>
    </row>
    <row r="2910">
      <c r="A2910" s="2">
        <f>IFERROR(__xludf.DUMMYFUNCTION("""COMPUTED_VALUE"""),2909.0)</f>
        <v>2909</v>
      </c>
      <c r="B2910" s="2" t="str">
        <f>IFERROR(__xludf.DUMMYFUNCTION("""COMPUTED_VALUE"""),"Patten Sharpley")</f>
        <v>Patten Sharpley</v>
      </c>
      <c r="C2910" s="2"/>
      <c r="D2910" s="4">
        <f>IFERROR(__xludf.DUMMYFUNCTION("""COMPUTED_VALUE"""),28.0)</f>
        <v>28</v>
      </c>
      <c r="E2910" s="4">
        <f>IFERROR(__xludf.DUMMYFUNCTION("""COMPUTED_VALUE"""),80.0)</f>
        <v>80</v>
      </c>
      <c r="F2910" s="4">
        <f>IFERROR(__xludf.DUMMYFUNCTION("""COMPUTED_VALUE"""),6.0)</f>
        <v>6</v>
      </c>
      <c r="G2910" s="4">
        <f>IFERROR(__xludf.DUMMYFUNCTION("""COMPUTED_VALUE"""),746.0)</f>
        <v>746</v>
      </c>
      <c r="H2910" s="5">
        <f>IFERROR(__xludf.DUMMYFUNCTION("""COMPUTED_VALUE"""),1054.01)</f>
        <v>1054.01</v>
      </c>
      <c r="I2910" s="5">
        <f>IFERROR(__xludf.DUMMYFUNCTION("""COMPUTED_VALUE"""),3148.89)</f>
        <v>3148.89</v>
      </c>
      <c r="J2910" s="5">
        <f>IFERROR(__xludf.DUMMYFUNCTION("""COMPUTED_VALUE"""),4187.06)</f>
        <v>4187.06</v>
      </c>
      <c r="K2910" s="5">
        <f>IFERROR(__xludf.DUMMYFUNCTION("""COMPUTED_VALUE"""),9922.2)</f>
        <v>9922.2</v>
      </c>
      <c r="L2910" s="4">
        <f>IFERROR(__xludf.DUMMYFUNCTION("""COMPUTED_VALUE"""),1.0)</f>
        <v>1</v>
      </c>
      <c r="M2910" s="4">
        <f>IFERROR(__xludf.DUMMYFUNCTION("""COMPUTED_VALUE"""),85.0)</f>
        <v>85</v>
      </c>
      <c r="N2910" s="2" t="b">
        <f>IFERROR(__xludf.DUMMYFUNCTION("""COMPUTED_VALUE"""),FALSE)</f>
        <v>0</v>
      </c>
    </row>
    <row r="2911">
      <c r="A2911" s="2">
        <f>IFERROR(__xludf.DUMMYFUNCTION("""COMPUTED_VALUE"""),2910.0)</f>
        <v>2910</v>
      </c>
      <c r="B2911" s="2" t="str">
        <f>IFERROR(__xludf.DUMMYFUNCTION("""COMPUTED_VALUE"""),"Samuele Jost")</f>
        <v>Samuele Jost</v>
      </c>
      <c r="C2911" s="2"/>
      <c r="D2911" s="4">
        <f>IFERROR(__xludf.DUMMYFUNCTION("""COMPUTED_VALUE"""),57.0)</f>
        <v>57</v>
      </c>
      <c r="E2911" s="4">
        <f>IFERROR(__xludf.DUMMYFUNCTION("""COMPUTED_VALUE"""),101.0)</f>
        <v>101</v>
      </c>
      <c r="F2911" s="4">
        <f>IFERROR(__xludf.DUMMYFUNCTION("""COMPUTED_VALUE"""),11.0)</f>
        <v>11</v>
      </c>
      <c r="G2911" s="4">
        <f>IFERROR(__xludf.DUMMYFUNCTION("""COMPUTED_VALUE"""),1064.0)</f>
        <v>1064</v>
      </c>
      <c r="H2911" s="5">
        <f>IFERROR(__xludf.DUMMYFUNCTION("""COMPUTED_VALUE"""),7938.62)</f>
        <v>7938.62</v>
      </c>
      <c r="I2911" s="5">
        <f>IFERROR(__xludf.DUMMYFUNCTION("""COMPUTED_VALUE"""),5655.5)</f>
        <v>5655.5</v>
      </c>
      <c r="J2911" s="5">
        <f>IFERROR(__xludf.DUMMYFUNCTION("""COMPUTED_VALUE"""),5440.77)</f>
        <v>5440.77</v>
      </c>
      <c r="K2911" s="5">
        <f>IFERROR(__xludf.DUMMYFUNCTION("""COMPUTED_VALUE"""),501.79)</f>
        <v>501.79</v>
      </c>
      <c r="L2911" s="4">
        <f>IFERROR(__xludf.DUMMYFUNCTION("""COMPUTED_VALUE"""),13.0)</f>
        <v>13</v>
      </c>
      <c r="M2911" s="4">
        <f>IFERROR(__xludf.DUMMYFUNCTION("""COMPUTED_VALUE"""),49.0)</f>
        <v>49</v>
      </c>
      <c r="N2911" s="2" t="b">
        <f>IFERROR(__xludf.DUMMYFUNCTION("""COMPUTED_VALUE"""),TRUE)</f>
        <v>1</v>
      </c>
    </row>
    <row r="2912">
      <c r="A2912" s="2">
        <f>IFERROR(__xludf.DUMMYFUNCTION("""COMPUTED_VALUE"""),2911.0)</f>
        <v>2911</v>
      </c>
      <c r="B2912" s="2" t="str">
        <f>IFERROR(__xludf.DUMMYFUNCTION("""COMPUTED_VALUE"""),"Barnabe Morphew")</f>
        <v>Barnabe Morphew</v>
      </c>
      <c r="C2912" s="2"/>
      <c r="D2912" s="4">
        <f>IFERROR(__xludf.DUMMYFUNCTION("""COMPUTED_VALUE"""),102.0)</f>
        <v>102</v>
      </c>
      <c r="E2912" s="4">
        <f>IFERROR(__xludf.DUMMYFUNCTION("""COMPUTED_VALUE"""),38.0)</f>
        <v>38</v>
      </c>
      <c r="F2912" s="4">
        <f>IFERROR(__xludf.DUMMYFUNCTION("""COMPUTED_VALUE"""),12.0)</f>
        <v>12</v>
      </c>
      <c r="G2912" s="4">
        <f>IFERROR(__xludf.DUMMYFUNCTION("""COMPUTED_VALUE"""),1541.0)</f>
        <v>1541</v>
      </c>
      <c r="H2912" s="5">
        <f>IFERROR(__xludf.DUMMYFUNCTION("""COMPUTED_VALUE"""),6512.87)</f>
        <v>6512.87</v>
      </c>
      <c r="I2912" s="5">
        <f>IFERROR(__xludf.DUMMYFUNCTION("""COMPUTED_VALUE"""),2639.36)</f>
        <v>2639.36</v>
      </c>
      <c r="J2912" s="5">
        <f>IFERROR(__xludf.DUMMYFUNCTION("""COMPUTED_VALUE"""),4344.71)</f>
        <v>4344.71</v>
      </c>
      <c r="K2912" s="5">
        <f>IFERROR(__xludf.DUMMYFUNCTION("""COMPUTED_VALUE"""),526.11)</f>
        <v>526.11</v>
      </c>
      <c r="L2912" s="4">
        <f>IFERROR(__xludf.DUMMYFUNCTION("""COMPUTED_VALUE"""),2.0)</f>
        <v>2</v>
      </c>
      <c r="M2912" s="4">
        <f>IFERROR(__xludf.DUMMYFUNCTION("""COMPUTED_VALUE"""),32.0)</f>
        <v>32</v>
      </c>
      <c r="N2912" s="2" t="b">
        <f>IFERROR(__xludf.DUMMYFUNCTION("""COMPUTED_VALUE"""),TRUE)</f>
        <v>1</v>
      </c>
    </row>
    <row r="2913">
      <c r="A2913" s="2">
        <f>IFERROR(__xludf.DUMMYFUNCTION("""COMPUTED_VALUE"""),2912.0)</f>
        <v>2912</v>
      </c>
      <c r="B2913" s="2" t="str">
        <f>IFERROR(__xludf.DUMMYFUNCTION("""COMPUTED_VALUE"""),"Roderich Jouen")</f>
        <v>Roderich Jouen</v>
      </c>
      <c r="C2913" s="2"/>
      <c r="D2913" s="4">
        <f>IFERROR(__xludf.DUMMYFUNCTION("""COMPUTED_VALUE"""),118.0)</f>
        <v>118</v>
      </c>
      <c r="E2913" s="4">
        <f>IFERROR(__xludf.DUMMYFUNCTION("""COMPUTED_VALUE"""),4.0)</f>
        <v>4</v>
      </c>
      <c r="F2913" s="4">
        <f>IFERROR(__xludf.DUMMYFUNCTION("""COMPUTED_VALUE"""),6.0)</f>
        <v>6</v>
      </c>
      <c r="G2913" s="4">
        <f>IFERROR(__xludf.DUMMYFUNCTION("""COMPUTED_VALUE"""),1235.0)</f>
        <v>1235</v>
      </c>
      <c r="H2913" s="5">
        <f>IFERROR(__xludf.DUMMYFUNCTION("""COMPUTED_VALUE"""),1099.12)</f>
        <v>1099.12</v>
      </c>
      <c r="I2913" s="5">
        <f>IFERROR(__xludf.DUMMYFUNCTION("""COMPUTED_VALUE"""),28.62)</f>
        <v>28.62</v>
      </c>
      <c r="J2913" s="5">
        <f>IFERROR(__xludf.DUMMYFUNCTION("""COMPUTED_VALUE"""),3333.4)</f>
        <v>3333.4</v>
      </c>
      <c r="K2913" s="5">
        <f>IFERROR(__xludf.DUMMYFUNCTION("""COMPUTED_VALUE"""),154.84)</f>
        <v>154.84</v>
      </c>
      <c r="L2913" s="4">
        <f>IFERROR(__xludf.DUMMYFUNCTION("""COMPUTED_VALUE"""),11.0)</f>
        <v>11</v>
      </c>
      <c r="M2913" s="4">
        <f>IFERROR(__xludf.DUMMYFUNCTION("""COMPUTED_VALUE"""),2.0)</f>
        <v>2</v>
      </c>
      <c r="N2913" s="2" t="b">
        <f>IFERROR(__xludf.DUMMYFUNCTION("""COMPUTED_VALUE"""),TRUE)</f>
        <v>1</v>
      </c>
    </row>
    <row r="2914">
      <c r="A2914" s="2">
        <f>IFERROR(__xludf.DUMMYFUNCTION("""COMPUTED_VALUE"""),2913.0)</f>
        <v>2913</v>
      </c>
      <c r="B2914" s="2" t="str">
        <f>IFERROR(__xludf.DUMMYFUNCTION("""COMPUTED_VALUE"""),"Jemima Ipsley")</f>
        <v>Jemima Ipsley</v>
      </c>
      <c r="C2914" s="2"/>
      <c r="D2914" s="4">
        <f>IFERROR(__xludf.DUMMYFUNCTION("""COMPUTED_VALUE"""),25.0)</f>
        <v>25</v>
      </c>
      <c r="E2914" s="4">
        <f>IFERROR(__xludf.DUMMYFUNCTION("""COMPUTED_VALUE"""),73.0)</f>
        <v>73</v>
      </c>
      <c r="F2914" s="4">
        <f>IFERROR(__xludf.DUMMYFUNCTION("""COMPUTED_VALUE"""),5.0)</f>
        <v>5</v>
      </c>
      <c r="G2914" s="4">
        <f>IFERROR(__xludf.DUMMYFUNCTION("""COMPUTED_VALUE"""),763.0)</f>
        <v>763</v>
      </c>
      <c r="H2914" s="5">
        <f>IFERROR(__xludf.DUMMYFUNCTION("""COMPUTED_VALUE"""),2746.0)</f>
        <v>2746</v>
      </c>
      <c r="I2914" s="5">
        <f>IFERROR(__xludf.DUMMYFUNCTION("""COMPUTED_VALUE"""),3318.33)</f>
        <v>3318.33</v>
      </c>
      <c r="J2914" s="5">
        <f>IFERROR(__xludf.DUMMYFUNCTION("""COMPUTED_VALUE"""),3153.17)</f>
        <v>3153.17</v>
      </c>
      <c r="K2914" s="5">
        <f>IFERROR(__xludf.DUMMYFUNCTION("""COMPUTED_VALUE"""),9149.64)</f>
        <v>9149.64</v>
      </c>
      <c r="L2914" s="4">
        <f>IFERROR(__xludf.DUMMYFUNCTION("""COMPUTED_VALUE"""),5.0)</f>
        <v>5</v>
      </c>
      <c r="M2914" s="4">
        <f>IFERROR(__xludf.DUMMYFUNCTION("""COMPUTED_VALUE"""),90.0)</f>
        <v>90</v>
      </c>
      <c r="N2914" s="2" t="b">
        <f>IFERROR(__xludf.DUMMYFUNCTION("""COMPUTED_VALUE"""),FALSE)</f>
        <v>0</v>
      </c>
    </row>
    <row r="2915">
      <c r="A2915" s="2">
        <f>IFERROR(__xludf.DUMMYFUNCTION("""COMPUTED_VALUE"""),2914.0)</f>
        <v>2914</v>
      </c>
      <c r="B2915" s="2" t="str">
        <f>IFERROR(__xludf.DUMMYFUNCTION("""COMPUTED_VALUE"""),"Sasha Stubbings")</f>
        <v>Sasha Stubbings</v>
      </c>
      <c r="C2915" s="2" t="str">
        <f>IFERROR(__xludf.DUMMYFUNCTION("""COMPUTED_VALUE"""),"sstubbingspe@earthlink.net")</f>
        <v>sstubbingspe@earthlink.net</v>
      </c>
      <c r="D2915" s="4">
        <f>IFERROR(__xludf.DUMMYFUNCTION("""COMPUTED_VALUE"""),76.0)</f>
        <v>76</v>
      </c>
      <c r="E2915" s="4">
        <f>IFERROR(__xludf.DUMMYFUNCTION("""COMPUTED_VALUE"""),9.0)</f>
        <v>9</v>
      </c>
      <c r="F2915" s="4">
        <f>IFERROR(__xludf.DUMMYFUNCTION("""COMPUTED_VALUE"""),3.0)</f>
        <v>3</v>
      </c>
      <c r="G2915" s="4">
        <f>IFERROR(__xludf.DUMMYFUNCTION("""COMPUTED_VALUE"""),212.0)</f>
        <v>212</v>
      </c>
      <c r="H2915" s="5">
        <f>IFERROR(__xludf.DUMMYFUNCTION("""COMPUTED_VALUE"""),2097.24)</f>
        <v>2097.24</v>
      </c>
      <c r="I2915" s="5">
        <f>IFERROR(__xludf.DUMMYFUNCTION("""COMPUTED_VALUE"""),3816.96)</f>
        <v>3816.96</v>
      </c>
      <c r="J2915" s="5">
        <f>IFERROR(__xludf.DUMMYFUNCTION("""COMPUTED_VALUE"""),7095.74)</f>
        <v>7095.74</v>
      </c>
      <c r="K2915" s="5">
        <f>IFERROR(__xludf.DUMMYFUNCTION("""COMPUTED_VALUE"""),5221.35)</f>
        <v>5221.35</v>
      </c>
      <c r="L2915" s="4">
        <f>IFERROR(__xludf.DUMMYFUNCTION("""COMPUTED_VALUE"""),19.0)</f>
        <v>19</v>
      </c>
      <c r="M2915" s="4">
        <f>IFERROR(__xludf.DUMMYFUNCTION("""COMPUTED_VALUE"""),62.0)</f>
        <v>62</v>
      </c>
      <c r="N2915" s="2" t="b">
        <f>IFERROR(__xludf.DUMMYFUNCTION("""COMPUTED_VALUE"""),TRUE)</f>
        <v>1</v>
      </c>
    </row>
    <row r="2916">
      <c r="A2916" s="2">
        <f>IFERROR(__xludf.DUMMYFUNCTION("""COMPUTED_VALUE"""),2915.0)</f>
        <v>2915</v>
      </c>
      <c r="B2916" s="2" t="str">
        <f>IFERROR(__xludf.DUMMYFUNCTION("""COMPUTED_VALUE"""),"Alta Sponder")</f>
        <v>Alta Sponder</v>
      </c>
      <c r="C2916" s="2" t="str">
        <f>IFERROR(__xludf.DUMMYFUNCTION("""COMPUTED_VALUE"""),"asponderpf@dailymail.co.uk")</f>
        <v>asponderpf@dailymail.co.uk</v>
      </c>
      <c r="D2916" s="4">
        <f>IFERROR(__xludf.DUMMYFUNCTION("""COMPUTED_VALUE"""),51.0)</f>
        <v>51</v>
      </c>
      <c r="E2916" s="4">
        <f>IFERROR(__xludf.DUMMYFUNCTION("""COMPUTED_VALUE"""),42.0)</f>
        <v>42</v>
      </c>
      <c r="F2916" s="4">
        <f>IFERROR(__xludf.DUMMYFUNCTION("""COMPUTED_VALUE"""),6.0)</f>
        <v>6</v>
      </c>
      <c r="G2916" s="4">
        <f>IFERROR(__xludf.DUMMYFUNCTION("""COMPUTED_VALUE"""),384.0)</f>
        <v>384</v>
      </c>
      <c r="H2916" s="5">
        <f>IFERROR(__xludf.DUMMYFUNCTION("""COMPUTED_VALUE"""),626.37)</f>
        <v>626.37</v>
      </c>
      <c r="I2916" s="5">
        <f>IFERROR(__xludf.DUMMYFUNCTION("""COMPUTED_VALUE"""),6057.77)</f>
        <v>6057.77</v>
      </c>
      <c r="J2916" s="5">
        <f>IFERROR(__xludf.DUMMYFUNCTION("""COMPUTED_VALUE"""),2637.69)</f>
        <v>2637.69</v>
      </c>
      <c r="K2916" s="5">
        <f>IFERROR(__xludf.DUMMYFUNCTION("""COMPUTED_VALUE"""),2432.05)</f>
        <v>2432.05</v>
      </c>
      <c r="L2916" s="4">
        <f>IFERROR(__xludf.DUMMYFUNCTION("""COMPUTED_VALUE"""),5.0)</f>
        <v>5</v>
      </c>
      <c r="M2916" s="4">
        <f>IFERROR(__xludf.DUMMYFUNCTION("""COMPUTED_VALUE"""),7.0)</f>
        <v>7</v>
      </c>
      <c r="N2916" s="2" t="b">
        <f>IFERROR(__xludf.DUMMYFUNCTION("""COMPUTED_VALUE"""),TRUE)</f>
        <v>1</v>
      </c>
    </row>
    <row r="2917">
      <c r="A2917" s="2">
        <f>IFERROR(__xludf.DUMMYFUNCTION("""COMPUTED_VALUE"""),2916.0)</f>
        <v>2916</v>
      </c>
      <c r="B2917" s="2" t="str">
        <f>IFERROR(__xludf.DUMMYFUNCTION("""COMPUTED_VALUE"""),"Moore Vigors")</f>
        <v>Moore Vigors</v>
      </c>
      <c r="C2917" s="2"/>
      <c r="D2917" s="4">
        <f>IFERROR(__xludf.DUMMYFUNCTION("""COMPUTED_VALUE"""),45.0)</f>
        <v>45</v>
      </c>
      <c r="E2917" s="4">
        <f>IFERROR(__xludf.DUMMYFUNCTION("""COMPUTED_VALUE"""),18.0)</f>
        <v>18</v>
      </c>
      <c r="F2917" s="4">
        <f>IFERROR(__xludf.DUMMYFUNCTION("""COMPUTED_VALUE"""),5.0)</f>
        <v>5</v>
      </c>
      <c r="G2917" s="4">
        <f>IFERROR(__xludf.DUMMYFUNCTION("""COMPUTED_VALUE"""),13.0)</f>
        <v>13</v>
      </c>
      <c r="H2917" s="5">
        <f>IFERROR(__xludf.DUMMYFUNCTION("""COMPUTED_VALUE"""),8617.25)</f>
        <v>8617.25</v>
      </c>
      <c r="I2917" s="5">
        <f>IFERROR(__xludf.DUMMYFUNCTION("""COMPUTED_VALUE"""),2967.59)</f>
        <v>2967.59</v>
      </c>
      <c r="J2917" s="5">
        <f>IFERROR(__xludf.DUMMYFUNCTION("""COMPUTED_VALUE"""),9756.67)</f>
        <v>9756.67</v>
      </c>
      <c r="K2917" s="5">
        <f>IFERROR(__xludf.DUMMYFUNCTION("""COMPUTED_VALUE"""),7476.25)</f>
        <v>7476.25</v>
      </c>
      <c r="L2917" s="4">
        <f>IFERROR(__xludf.DUMMYFUNCTION("""COMPUTED_VALUE"""),16.0)</f>
        <v>16</v>
      </c>
      <c r="M2917" s="4">
        <f>IFERROR(__xludf.DUMMYFUNCTION("""COMPUTED_VALUE"""),63.0)</f>
        <v>63</v>
      </c>
      <c r="N2917" s="2" t="b">
        <f>IFERROR(__xludf.DUMMYFUNCTION("""COMPUTED_VALUE"""),FALSE)</f>
        <v>0</v>
      </c>
    </row>
    <row r="2918">
      <c r="A2918" s="2">
        <f>IFERROR(__xludf.DUMMYFUNCTION("""COMPUTED_VALUE"""),2917.0)</f>
        <v>2917</v>
      </c>
      <c r="B2918" s="2" t="str">
        <f>IFERROR(__xludf.DUMMYFUNCTION("""COMPUTED_VALUE"""),"Reinwald Kopta")</f>
        <v>Reinwald Kopta</v>
      </c>
      <c r="C2918" s="2"/>
      <c r="D2918" s="4">
        <f>IFERROR(__xludf.DUMMYFUNCTION("""COMPUTED_VALUE"""),27.0)</f>
        <v>27</v>
      </c>
      <c r="E2918" s="4">
        <f>IFERROR(__xludf.DUMMYFUNCTION("""COMPUTED_VALUE"""),34.0)</f>
        <v>34</v>
      </c>
      <c r="F2918" s="4">
        <f>IFERROR(__xludf.DUMMYFUNCTION("""COMPUTED_VALUE"""),6.0)</f>
        <v>6</v>
      </c>
      <c r="G2918" s="4">
        <f>IFERROR(__xludf.DUMMYFUNCTION("""COMPUTED_VALUE"""),105.0)</f>
        <v>105</v>
      </c>
      <c r="H2918" s="5">
        <f>IFERROR(__xludf.DUMMYFUNCTION("""COMPUTED_VALUE"""),8087.81)</f>
        <v>8087.81</v>
      </c>
      <c r="I2918" s="5">
        <f>IFERROR(__xludf.DUMMYFUNCTION("""COMPUTED_VALUE"""),1653.84)</f>
        <v>1653.84</v>
      </c>
      <c r="J2918" s="5">
        <f>IFERROR(__xludf.DUMMYFUNCTION("""COMPUTED_VALUE"""),6428.66)</f>
        <v>6428.66</v>
      </c>
      <c r="K2918" s="5">
        <f>IFERROR(__xludf.DUMMYFUNCTION("""COMPUTED_VALUE"""),8209.61)</f>
        <v>8209.61</v>
      </c>
      <c r="L2918" s="4">
        <f>IFERROR(__xludf.DUMMYFUNCTION("""COMPUTED_VALUE"""),9.0)</f>
        <v>9</v>
      </c>
      <c r="M2918" s="4">
        <f>IFERROR(__xludf.DUMMYFUNCTION("""COMPUTED_VALUE"""),6.0)</f>
        <v>6</v>
      </c>
      <c r="N2918" s="2" t="b">
        <f>IFERROR(__xludf.DUMMYFUNCTION("""COMPUTED_VALUE"""),TRUE)</f>
        <v>1</v>
      </c>
    </row>
    <row r="2919">
      <c r="A2919" s="2">
        <f>IFERROR(__xludf.DUMMYFUNCTION("""COMPUTED_VALUE"""),2918.0)</f>
        <v>2918</v>
      </c>
      <c r="B2919" s="2" t="str">
        <f>IFERROR(__xludf.DUMMYFUNCTION("""COMPUTED_VALUE"""),"Jacquelynn Hadden")</f>
        <v>Jacquelynn Hadden</v>
      </c>
      <c r="C2919" s="2" t="str">
        <f>IFERROR(__xludf.DUMMYFUNCTION("""COMPUTED_VALUE"""),"jhaddenpi@eventbrite.com")</f>
        <v>jhaddenpi@eventbrite.com</v>
      </c>
      <c r="D2919" s="4">
        <f>IFERROR(__xludf.DUMMYFUNCTION("""COMPUTED_VALUE"""),28.0)</f>
        <v>28</v>
      </c>
      <c r="E2919" s="4">
        <f>IFERROR(__xludf.DUMMYFUNCTION("""COMPUTED_VALUE"""),82.0)</f>
        <v>82</v>
      </c>
      <c r="F2919" s="4">
        <f>IFERROR(__xludf.DUMMYFUNCTION("""COMPUTED_VALUE"""),1.0)</f>
        <v>1</v>
      </c>
      <c r="G2919" s="4">
        <f>IFERROR(__xludf.DUMMYFUNCTION("""COMPUTED_VALUE"""),344.0)</f>
        <v>344</v>
      </c>
      <c r="H2919" s="5">
        <f>IFERROR(__xludf.DUMMYFUNCTION("""COMPUTED_VALUE"""),7854.28)</f>
        <v>7854.28</v>
      </c>
      <c r="I2919" s="5">
        <f>IFERROR(__xludf.DUMMYFUNCTION("""COMPUTED_VALUE"""),8901.08)</f>
        <v>8901.08</v>
      </c>
      <c r="J2919" s="5">
        <f>IFERROR(__xludf.DUMMYFUNCTION("""COMPUTED_VALUE"""),1629.37)</f>
        <v>1629.37</v>
      </c>
      <c r="K2919" s="5">
        <f>IFERROR(__xludf.DUMMYFUNCTION("""COMPUTED_VALUE"""),3650.35)</f>
        <v>3650.35</v>
      </c>
      <c r="L2919" s="4">
        <f>IFERROR(__xludf.DUMMYFUNCTION("""COMPUTED_VALUE"""),16.0)</f>
        <v>16</v>
      </c>
      <c r="M2919" s="4">
        <f>IFERROR(__xludf.DUMMYFUNCTION("""COMPUTED_VALUE"""),39.0)</f>
        <v>39</v>
      </c>
      <c r="N2919" s="2" t="b">
        <f>IFERROR(__xludf.DUMMYFUNCTION("""COMPUTED_VALUE"""),TRUE)</f>
        <v>1</v>
      </c>
    </row>
    <row r="2920">
      <c r="A2920" s="2">
        <f>IFERROR(__xludf.DUMMYFUNCTION("""COMPUTED_VALUE"""),2919.0)</f>
        <v>2919</v>
      </c>
      <c r="B2920" s="2" t="str">
        <f>IFERROR(__xludf.DUMMYFUNCTION("""COMPUTED_VALUE"""),"Janie McGroarty")</f>
        <v>Janie McGroarty</v>
      </c>
      <c r="C2920" s="2"/>
      <c r="D2920" s="4">
        <f>IFERROR(__xludf.DUMMYFUNCTION("""COMPUTED_VALUE"""),38.0)</f>
        <v>38</v>
      </c>
      <c r="E2920" s="4">
        <f>IFERROR(__xludf.DUMMYFUNCTION("""COMPUTED_VALUE"""),2.0)</f>
        <v>2</v>
      </c>
      <c r="F2920" s="4">
        <f>IFERROR(__xludf.DUMMYFUNCTION("""COMPUTED_VALUE"""),3.0)</f>
        <v>3</v>
      </c>
      <c r="G2920" s="4">
        <f>IFERROR(__xludf.DUMMYFUNCTION("""COMPUTED_VALUE"""),1565.0)</f>
        <v>1565</v>
      </c>
      <c r="H2920" s="5">
        <f>IFERROR(__xludf.DUMMYFUNCTION("""COMPUTED_VALUE"""),7470.2)</f>
        <v>7470.2</v>
      </c>
      <c r="I2920" s="5">
        <f>IFERROR(__xludf.DUMMYFUNCTION("""COMPUTED_VALUE"""),8266.23)</f>
        <v>8266.23</v>
      </c>
      <c r="J2920" s="5">
        <f>IFERROR(__xludf.DUMMYFUNCTION("""COMPUTED_VALUE"""),2719.24)</f>
        <v>2719.24</v>
      </c>
      <c r="K2920" s="5">
        <f>IFERROR(__xludf.DUMMYFUNCTION("""COMPUTED_VALUE"""),845.73)</f>
        <v>845.73</v>
      </c>
      <c r="L2920" s="4">
        <f>IFERROR(__xludf.DUMMYFUNCTION("""COMPUTED_VALUE"""),14.0)</f>
        <v>14</v>
      </c>
      <c r="M2920" s="4">
        <f>IFERROR(__xludf.DUMMYFUNCTION("""COMPUTED_VALUE"""),59.0)</f>
        <v>59</v>
      </c>
      <c r="N2920" s="2" t="b">
        <f>IFERROR(__xludf.DUMMYFUNCTION("""COMPUTED_VALUE"""),FALSE)</f>
        <v>0</v>
      </c>
    </row>
    <row r="2921">
      <c r="A2921" s="2">
        <f>IFERROR(__xludf.DUMMYFUNCTION("""COMPUTED_VALUE"""),2920.0)</f>
        <v>2920</v>
      </c>
      <c r="B2921" s="2" t="str">
        <f>IFERROR(__xludf.DUMMYFUNCTION("""COMPUTED_VALUE"""),"Marwin Bounde")</f>
        <v>Marwin Bounde</v>
      </c>
      <c r="C2921" s="2" t="str">
        <f>IFERROR(__xludf.DUMMYFUNCTION("""COMPUTED_VALUE"""),"mboundepk@thetimes.co.uk")</f>
        <v>mboundepk@thetimes.co.uk</v>
      </c>
      <c r="D2921" s="4">
        <f>IFERROR(__xludf.DUMMYFUNCTION("""COMPUTED_VALUE"""),158.0)</f>
        <v>158</v>
      </c>
      <c r="E2921" s="4">
        <f>IFERROR(__xludf.DUMMYFUNCTION("""COMPUTED_VALUE"""),124.0)</f>
        <v>124</v>
      </c>
      <c r="F2921" s="4">
        <f>IFERROR(__xludf.DUMMYFUNCTION("""COMPUTED_VALUE"""),8.0)</f>
        <v>8</v>
      </c>
      <c r="G2921" s="4">
        <f>IFERROR(__xludf.DUMMYFUNCTION("""COMPUTED_VALUE"""),1033.0)</f>
        <v>1033</v>
      </c>
      <c r="H2921" s="5">
        <f>IFERROR(__xludf.DUMMYFUNCTION("""COMPUTED_VALUE"""),3692.66)</f>
        <v>3692.66</v>
      </c>
      <c r="I2921" s="5">
        <f>IFERROR(__xludf.DUMMYFUNCTION("""COMPUTED_VALUE"""),5464.54)</f>
        <v>5464.54</v>
      </c>
      <c r="J2921" s="5">
        <f>IFERROR(__xludf.DUMMYFUNCTION("""COMPUTED_VALUE"""),5189.06)</f>
        <v>5189.06</v>
      </c>
      <c r="K2921" s="5">
        <f>IFERROR(__xludf.DUMMYFUNCTION("""COMPUTED_VALUE"""),1983.21)</f>
        <v>1983.21</v>
      </c>
      <c r="L2921" s="4">
        <f>IFERROR(__xludf.DUMMYFUNCTION("""COMPUTED_VALUE"""),13.0)</f>
        <v>13</v>
      </c>
      <c r="M2921" s="4">
        <f>IFERROR(__xludf.DUMMYFUNCTION("""COMPUTED_VALUE"""),19.0)</f>
        <v>19</v>
      </c>
      <c r="N2921" s="2" t="b">
        <f>IFERROR(__xludf.DUMMYFUNCTION("""COMPUTED_VALUE"""),FALSE)</f>
        <v>0</v>
      </c>
    </row>
    <row r="2922">
      <c r="A2922" s="2">
        <f>IFERROR(__xludf.DUMMYFUNCTION("""COMPUTED_VALUE"""),2921.0)</f>
        <v>2921</v>
      </c>
      <c r="B2922" s="2" t="str">
        <f>IFERROR(__xludf.DUMMYFUNCTION("""COMPUTED_VALUE"""),"Llywellyn Dreng")</f>
        <v>Llywellyn Dreng</v>
      </c>
      <c r="C2922" s="2"/>
      <c r="D2922" s="4">
        <f>IFERROR(__xludf.DUMMYFUNCTION("""COMPUTED_VALUE"""),35.0)</f>
        <v>35</v>
      </c>
      <c r="E2922" s="4">
        <f>IFERROR(__xludf.DUMMYFUNCTION("""COMPUTED_VALUE"""),62.0)</f>
        <v>62</v>
      </c>
      <c r="F2922" s="4">
        <f>IFERROR(__xludf.DUMMYFUNCTION("""COMPUTED_VALUE"""),11.0)</f>
        <v>11</v>
      </c>
      <c r="G2922" s="4">
        <f>IFERROR(__xludf.DUMMYFUNCTION("""COMPUTED_VALUE"""),863.0)</f>
        <v>863</v>
      </c>
      <c r="H2922" s="5">
        <f>IFERROR(__xludf.DUMMYFUNCTION("""COMPUTED_VALUE"""),3995.83)</f>
        <v>3995.83</v>
      </c>
      <c r="I2922" s="5">
        <f>IFERROR(__xludf.DUMMYFUNCTION("""COMPUTED_VALUE"""),8507.99)</f>
        <v>8507.99</v>
      </c>
      <c r="J2922" s="5">
        <f>IFERROR(__xludf.DUMMYFUNCTION("""COMPUTED_VALUE"""),987.77)</f>
        <v>987.77</v>
      </c>
      <c r="K2922" s="5">
        <f>IFERROR(__xludf.DUMMYFUNCTION("""COMPUTED_VALUE"""),3048.8)</f>
        <v>3048.8</v>
      </c>
      <c r="L2922" s="4">
        <f>IFERROR(__xludf.DUMMYFUNCTION("""COMPUTED_VALUE"""),11.0)</f>
        <v>11</v>
      </c>
      <c r="M2922" s="4">
        <f>IFERROR(__xludf.DUMMYFUNCTION("""COMPUTED_VALUE"""),68.0)</f>
        <v>68</v>
      </c>
      <c r="N2922" s="2" t="b">
        <f>IFERROR(__xludf.DUMMYFUNCTION("""COMPUTED_VALUE"""),FALSE)</f>
        <v>0</v>
      </c>
    </row>
    <row r="2923">
      <c r="A2923" s="2">
        <f>IFERROR(__xludf.DUMMYFUNCTION("""COMPUTED_VALUE"""),2922.0)</f>
        <v>2922</v>
      </c>
      <c r="B2923" s="2" t="str">
        <f>IFERROR(__xludf.DUMMYFUNCTION("""COMPUTED_VALUE"""),"Rudyard Blakiston")</f>
        <v>Rudyard Blakiston</v>
      </c>
      <c r="C2923" s="2" t="str">
        <f>IFERROR(__xludf.DUMMYFUNCTION("""COMPUTED_VALUE"""),"rblakistonpm@webs.com")</f>
        <v>rblakistonpm@webs.com</v>
      </c>
      <c r="D2923" s="4">
        <f>IFERROR(__xludf.DUMMYFUNCTION("""COMPUTED_VALUE"""),36.0)</f>
        <v>36</v>
      </c>
      <c r="E2923" s="4">
        <f>IFERROR(__xludf.DUMMYFUNCTION("""COMPUTED_VALUE"""),90.0)</f>
        <v>90</v>
      </c>
      <c r="F2923" s="4">
        <f>IFERROR(__xludf.DUMMYFUNCTION("""COMPUTED_VALUE"""),9.0)</f>
        <v>9</v>
      </c>
      <c r="G2923" s="4">
        <f>IFERROR(__xludf.DUMMYFUNCTION("""COMPUTED_VALUE"""),1380.0)</f>
        <v>1380</v>
      </c>
      <c r="H2923" s="5">
        <f>IFERROR(__xludf.DUMMYFUNCTION("""COMPUTED_VALUE"""),5603.66)</f>
        <v>5603.66</v>
      </c>
      <c r="I2923" s="5">
        <f>IFERROR(__xludf.DUMMYFUNCTION("""COMPUTED_VALUE"""),1056.39)</f>
        <v>1056.39</v>
      </c>
      <c r="J2923" s="5">
        <f>IFERROR(__xludf.DUMMYFUNCTION("""COMPUTED_VALUE"""),5050.95)</f>
        <v>5050.95</v>
      </c>
      <c r="K2923" s="5">
        <f>IFERROR(__xludf.DUMMYFUNCTION("""COMPUTED_VALUE"""),3563.65)</f>
        <v>3563.65</v>
      </c>
      <c r="L2923" s="4">
        <f>IFERROR(__xludf.DUMMYFUNCTION("""COMPUTED_VALUE"""),4.0)</f>
        <v>4</v>
      </c>
      <c r="M2923" s="4">
        <f>IFERROR(__xludf.DUMMYFUNCTION("""COMPUTED_VALUE"""),11.0)</f>
        <v>11</v>
      </c>
      <c r="N2923" s="2" t="b">
        <f>IFERROR(__xludf.DUMMYFUNCTION("""COMPUTED_VALUE"""),TRUE)</f>
        <v>1</v>
      </c>
    </row>
    <row r="2924">
      <c r="A2924" s="2">
        <f>IFERROR(__xludf.DUMMYFUNCTION("""COMPUTED_VALUE"""),2923.0)</f>
        <v>2923</v>
      </c>
      <c r="B2924" s="2" t="str">
        <f>IFERROR(__xludf.DUMMYFUNCTION("""COMPUTED_VALUE"""),"Cooper Clendinning")</f>
        <v>Cooper Clendinning</v>
      </c>
      <c r="C2924" s="2"/>
      <c r="D2924" s="4">
        <f>IFERROR(__xludf.DUMMYFUNCTION("""COMPUTED_VALUE"""),81.0)</f>
        <v>81</v>
      </c>
      <c r="E2924" s="4">
        <f>IFERROR(__xludf.DUMMYFUNCTION("""COMPUTED_VALUE"""),58.0)</f>
        <v>58</v>
      </c>
      <c r="F2924" s="4">
        <f>IFERROR(__xludf.DUMMYFUNCTION("""COMPUTED_VALUE"""),3.0)</f>
        <v>3</v>
      </c>
      <c r="G2924" s="4">
        <f>IFERROR(__xludf.DUMMYFUNCTION("""COMPUTED_VALUE"""),8.0)</f>
        <v>8</v>
      </c>
      <c r="H2924" s="5">
        <f>IFERROR(__xludf.DUMMYFUNCTION("""COMPUTED_VALUE"""),7406.61)</f>
        <v>7406.61</v>
      </c>
      <c r="I2924" s="5">
        <f>IFERROR(__xludf.DUMMYFUNCTION("""COMPUTED_VALUE"""),7862.85)</f>
        <v>7862.85</v>
      </c>
      <c r="J2924" s="5">
        <f>IFERROR(__xludf.DUMMYFUNCTION("""COMPUTED_VALUE"""),341.44)</f>
        <v>341.44</v>
      </c>
      <c r="K2924" s="5">
        <f>IFERROR(__xludf.DUMMYFUNCTION("""COMPUTED_VALUE"""),2451.36)</f>
        <v>2451.36</v>
      </c>
      <c r="L2924" s="4">
        <f>IFERROR(__xludf.DUMMYFUNCTION("""COMPUTED_VALUE"""),18.0)</f>
        <v>18</v>
      </c>
      <c r="M2924" s="4">
        <f>IFERROR(__xludf.DUMMYFUNCTION("""COMPUTED_VALUE"""),67.0)</f>
        <v>67</v>
      </c>
      <c r="N2924" s="2" t="b">
        <f>IFERROR(__xludf.DUMMYFUNCTION("""COMPUTED_VALUE"""),TRUE)</f>
        <v>1</v>
      </c>
    </row>
    <row r="2925">
      <c r="A2925" s="2">
        <f>IFERROR(__xludf.DUMMYFUNCTION("""COMPUTED_VALUE"""),2924.0)</f>
        <v>2924</v>
      </c>
      <c r="B2925" s="2" t="str">
        <f>IFERROR(__xludf.DUMMYFUNCTION("""COMPUTED_VALUE"""),"Townie Phillcock")</f>
        <v>Townie Phillcock</v>
      </c>
      <c r="C2925" s="2"/>
      <c r="D2925" s="4">
        <f>IFERROR(__xludf.DUMMYFUNCTION("""COMPUTED_VALUE"""),32.0)</f>
        <v>32</v>
      </c>
      <c r="E2925" s="4">
        <f>IFERROR(__xludf.DUMMYFUNCTION("""COMPUTED_VALUE"""),77.0)</f>
        <v>77</v>
      </c>
      <c r="F2925" s="4">
        <f>IFERROR(__xludf.DUMMYFUNCTION("""COMPUTED_VALUE"""),2.0)</f>
        <v>2</v>
      </c>
      <c r="G2925" s="4">
        <f>IFERROR(__xludf.DUMMYFUNCTION("""COMPUTED_VALUE"""),942.0)</f>
        <v>942</v>
      </c>
      <c r="H2925" s="5">
        <f>IFERROR(__xludf.DUMMYFUNCTION("""COMPUTED_VALUE"""),6985.77)</f>
        <v>6985.77</v>
      </c>
      <c r="I2925" s="5">
        <f>IFERROR(__xludf.DUMMYFUNCTION("""COMPUTED_VALUE"""),7903.51)</f>
        <v>7903.51</v>
      </c>
      <c r="J2925" s="5">
        <f>IFERROR(__xludf.DUMMYFUNCTION("""COMPUTED_VALUE"""),3364.45)</f>
        <v>3364.45</v>
      </c>
      <c r="K2925" s="5">
        <f>IFERROR(__xludf.DUMMYFUNCTION("""COMPUTED_VALUE"""),1342.76)</f>
        <v>1342.76</v>
      </c>
      <c r="L2925" s="4">
        <f>IFERROR(__xludf.DUMMYFUNCTION("""COMPUTED_VALUE"""),7.0)</f>
        <v>7</v>
      </c>
      <c r="M2925" s="4">
        <f>IFERROR(__xludf.DUMMYFUNCTION("""COMPUTED_VALUE"""),98.0)</f>
        <v>98</v>
      </c>
      <c r="N2925" s="2" t="b">
        <f>IFERROR(__xludf.DUMMYFUNCTION("""COMPUTED_VALUE"""),FALSE)</f>
        <v>0</v>
      </c>
    </row>
    <row r="2926">
      <c r="A2926" s="2">
        <f>IFERROR(__xludf.DUMMYFUNCTION("""COMPUTED_VALUE"""),2925.0)</f>
        <v>2925</v>
      </c>
      <c r="B2926" s="2" t="str">
        <f>IFERROR(__xludf.DUMMYFUNCTION("""COMPUTED_VALUE"""),"Boycie Kamen")</f>
        <v>Boycie Kamen</v>
      </c>
      <c r="C2926" s="2" t="str">
        <f>IFERROR(__xludf.DUMMYFUNCTION("""COMPUTED_VALUE"""),"bkamenpp@hostgator.com")</f>
        <v>bkamenpp@hostgator.com</v>
      </c>
      <c r="D2926" s="4">
        <f>IFERROR(__xludf.DUMMYFUNCTION("""COMPUTED_VALUE"""),42.0)</f>
        <v>42</v>
      </c>
      <c r="E2926" s="4">
        <f>IFERROR(__xludf.DUMMYFUNCTION("""COMPUTED_VALUE"""),21.0)</f>
        <v>21</v>
      </c>
      <c r="F2926" s="4">
        <f>IFERROR(__xludf.DUMMYFUNCTION("""COMPUTED_VALUE"""),3.0)</f>
        <v>3</v>
      </c>
      <c r="G2926" s="4">
        <f>IFERROR(__xludf.DUMMYFUNCTION("""COMPUTED_VALUE"""),1467.0)</f>
        <v>1467</v>
      </c>
      <c r="H2926" s="5">
        <f>IFERROR(__xludf.DUMMYFUNCTION("""COMPUTED_VALUE"""),3997.68)</f>
        <v>3997.68</v>
      </c>
      <c r="I2926" s="5">
        <f>IFERROR(__xludf.DUMMYFUNCTION("""COMPUTED_VALUE"""),2857.28)</f>
        <v>2857.28</v>
      </c>
      <c r="J2926" s="5">
        <f>IFERROR(__xludf.DUMMYFUNCTION("""COMPUTED_VALUE"""),9356.34)</f>
        <v>9356.34</v>
      </c>
      <c r="K2926" s="5">
        <f>IFERROR(__xludf.DUMMYFUNCTION("""COMPUTED_VALUE"""),4243.3)</f>
        <v>4243.3</v>
      </c>
      <c r="L2926" s="4">
        <f>IFERROR(__xludf.DUMMYFUNCTION("""COMPUTED_VALUE"""),2.0)</f>
        <v>2</v>
      </c>
      <c r="M2926" s="4">
        <f>IFERROR(__xludf.DUMMYFUNCTION("""COMPUTED_VALUE"""),54.0)</f>
        <v>54</v>
      </c>
      <c r="N2926" s="2" t="b">
        <f>IFERROR(__xludf.DUMMYFUNCTION("""COMPUTED_VALUE"""),FALSE)</f>
        <v>0</v>
      </c>
    </row>
    <row r="2927">
      <c r="A2927" s="2">
        <f>IFERROR(__xludf.DUMMYFUNCTION("""COMPUTED_VALUE"""),2926.0)</f>
        <v>2926</v>
      </c>
      <c r="B2927" s="2" t="str">
        <f>IFERROR(__xludf.DUMMYFUNCTION("""COMPUTED_VALUE"""),"Bibbie Carefull")</f>
        <v>Bibbie Carefull</v>
      </c>
      <c r="C2927" s="2" t="str">
        <f>IFERROR(__xludf.DUMMYFUNCTION("""COMPUTED_VALUE"""),"bcarefullpq@pcworld.com")</f>
        <v>bcarefullpq@pcworld.com</v>
      </c>
      <c r="D2927" s="4">
        <f>IFERROR(__xludf.DUMMYFUNCTION("""COMPUTED_VALUE"""),152.0)</f>
        <v>152</v>
      </c>
      <c r="E2927" s="4">
        <f>IFERROR(__xludf.DUMMYFUNCTION("""COMPUTED_VALUE"""),86.0)</f>
        <v>86</v>
      </c>
      <c r="F2927" s="4">
        <f>IFERROR(__xludf.DUMMYFUNCTION("""COMPUTED_VALUE"""),11.0)</f>
        <v>11</v>
      </c>
      <c r="G2927" s="4">
        <f>IFERROR(__xludf.DUMMYFUNCTION("""COMPUTED_VALUE"""),1571.0)</f>
        <v>1571</v>
      </c>
      <c r="H2927" s="5">
        <f>IFERROR(__xludf.DUMMYFUNCTION("""COMPUTED_VALUE"""),3795.09)</f>
        <v>3795.09</v>
      </c>
      <c r="I2927" s="5">
        <f>IFERROR(__xludf.DUMMYFUNCTION("""COMPUTED_VALUE"""),3401.71)</f>
        <v>3401.71</v>
      </c>
      <c r="J2927" s="5">
        <f>IFERROR(__xludf.DUMMYFUNCTION("""COMPUTED_VALUE"""),512.9)</f>
        <v>512.9</v>
      </c>
      <c r="K2927" s="5">
        <f>IFERROR(__xludf.DUMMYFUNCTION("""COMPUTED_VALUE"""),6076.63)</f>
        <v>6076.63</v>
      </c>
      <c r="L2927" s="4">
        <f>IFERROR(__xludf.DUMMYFUNCTION("""COMPUTED_VALUE"""),1.0)</f>
        <v>1</v>
      </c>
      <c r="M2927" s="4">
        <f>IFERROR(__xludf.DUMMYFUNCTION("""COMPUTED_VALUE"""),100.0)</f>
        <v>100</v>
      </c>
      <c r="N2927" s="2" t="b">
        <f>IFERROR(__xludf.DUMMYFUNCTION("""COMPUTED_VALUE"""),TRUE)</f>
        <v>1</v>
      </c>
    </row>
    <row r="2928">
      <c r="A2928" s="2">
        <f>IFERROR(__xludf.DUMMYFUNCTION("""COMPUTED_VALUE"""),2927.0)</f>
        <v>2927</v>
      </c>
      <c r="B2928" s="2" t="str">
        <f>IFERROR(__xludf.DUMMYFUNCTION("""COMPUTED_VALUE"""),"Blinnie Reoch")</f>
        <v>Blinnie Reoch</v>
      </c>
      <c r="C2928" s="2" t="str">
        <f>IFERROR(__xludf.DUMMYFUNCTION("""COMPUTED_VALUE"""),"breochpr@cargocollective.com")</f>
        <v>breochpr@cargocollective.com</v>
      </c>
      <c r="D2928" s="4">
        <f>IFERROR(__xludf.DUMMYFUNCTION("""COMPUTED_VALUE"""),135.0)</f>
        <v>135</v>
      </c>
      <c r="E2928" s="4">
        <f>IFERROR(__xludf.DUMMYFUNCTION("""COMPUTED_VALUE"""),25.0)</f>
        <v>25</v>
      </c>
      <c r="F2928" s="4">
        <f>IFERROR(__xludf.DUMMYFUNCTION("""COMPUTED_VALUE"""),8.0)</f>
        <v>8</v>
      </c>
      <c r="G2928" s="4">
        <f>IFERROR(__xludf.DUMMYFUNCTION("""COMPUTED_VALUE"""),1122.0)</f>
        <v>1122</v>
      </c>
      <c r="H2928" s="5">
        <f>IFERROR(__xludf.DUMMYFUNCTION("""COMPUTED_VALUE"""),6490.31)</f>
        <v>6490.31</v>
      </c>
      <c r="I2928" s="5">
        <f>IFERROR(__xludf.DUMMYFUNCTION("""COMPUTED_VALUE"""),5876.34)</f>
        <v>5876.34</v>
      </c>
      <c r="J2928" s="5">
        <f>IFERROR(__xludf.DUMMYFUNCTION("""COMPUTED_VALUE"""),7466.4)</f>
        <v>7466.4</v>
      </c>
      <c r="K2928" s="5">
        <f>IFERROR(__xludf.DUMMYFUNCTION("""COMPUTED_VALUE"""),6749.96)</f>
        <v>6749.96</v>
      </c>
      <c r="L2928" s="4">
        <f>IFERROR(__xludf.DUMMYFUNCTION("""COMPUTED_VALUE"""),4.0)</f>
        <v>4</v>
      </c>
      <c r="M2928" s="4">
        <f>IFERROR(__xludf.DUMMYFUNCTION("""COMPUTED_VALUE"""),96.0)</f>
        <v>96</v>
      </c>
      <c r="N2928" s="2" t="b">
        <f>IFERROR(__xludf.DUMMYFUNCTION("""COMPUTED_VALUE"""),FALSE)</f>
        <v>0</v>
      </c>
    </row>
    <row r="2929">
      <c r="A2929" s="2">
        <f>IFERROR(__xludf.DUMMYFUNCTION("""COMPUTED_VALUE"""),2928.0)</f>
        <v>2928</v>
      </c>
      <c r="B2929" s="2" t="str">
        <f>IFERROR(__xludf.DUMMYFUNCTION("""COMPUTED_VALUE"""),"Herbert Vittel")</f>
        <v>Herbert Vittel</v>
      </c>
      <c r="C2929" s="2"/>
      <c r="D2929" s="4">
        <f>IFERROR(__xludf.DUMMYFUNCTION("""COMPUTED_VALUE"""),39.0)</f>
        <v>39</v>
      </c>
      <c r="E2929" s="4">
        <f>IFERROR(__xludf.DUMMYFUNCTION("""COMPUTED_VALUE"""),30.0)</f>
        <v>30</v>
      </c>
      <c r="F2929" s="4">
        <f>IFERROR(__xludf.DUMMYFUNCTION("""COMPUTED_VALUE"""),1.0)</f>
        <v>1</v>
      </c>
      <c r="G2929" s="4">
        <f>IFERROR(__xludf.DUMMYFUNCTION("""COMPUTED_VALUE"""),932.0)</f>
        <v>932</v>
      </c>
      <c r="H2929" s="5">
        <f>IFERROR(__xludf.DUMMYFUNCTION("""COMPUTED_VALUE"""),5717.9)</f>
        <v>5717.9</v>
      </c>
      <c r="I2929" s="5">
        <f>IFERROR(__xludf.DUMMYFUNCTION("""COMPUTED_VALUE"""),1971.57)</f>
        <v>1971.57</v>
      </c>
      <c r="J2929" s="5">
        <f>IFERROR(__xludf.DUMMYFUNCTION("""COMPUTED_VALUE"""),6482.81)</f>
        <v>6482.81</v>
      </c>
      <c r="K2929" s="5">
        <f>IFERROR(__xludf.DUMMYFUNCTION("""COMPUTED_VALUE"""),2308.46)</f>
        <v>2308.46</v>
      </c>
      <c r="L2929" s="4">
        <f>IFERROR(__xludf.DUMMYFUNCTION("""COMPUTED_VALUE"""),14.0)</f>
        <v>14</v>
      </c>
      <c r="M2929" s="4">
        <f>IFERROR(__xludf.DUMMYFUNCTION("""COMPUTED_VALUE"""),19.0)</f>
        <v>19</v>
      </c>
      <c r="N2929" s="2" t="b">
        <f>IFERROR(__xludf.DUMMYFUNCTION("""COMPUTED_VALUE"""),FALSE)</f>
        <v>0</v>
      </c>
    </row>
    <row r="2930">
      <c r="A2930" s="2">
        <f>IFERROR(__xludf.DUMMYFUNCTION("""COMPUTED_VALUE"""),2929.0)</f>
        <v>2929</v>
      </c>
      <c r="B2930" s="2" t="str">
        <f>IFERROR(__xludf.DUMMYFUNCTION("""COMPUTED_VALUE"""),"Bear Mont")</f>
        <v>Bear Mont</v>
      </c>
      <c r="C2930" s="2"/>
      <c r="D2930" s="4">
        <f>IFERROR(__xludf.DUMMYFUNCTION("""COMPUTED_VALUE"""),47.0)</f>
        <v>47</v>
      </c>
      <c r="E2930" s="4">
        <f>IFERROR(__xludf.DUMMYFUNCTION("""COMPUTED_VALUE"""),37.0)</f>
        <v>37</v>
      </c>
      <c r="F2930" s="4">
        <f>IFERROR(__xludf.DUMMYFUNCTION("""COMPUTED_VALUE"""),6.0)</f>
        <v>6</v>
      </c>
      <c r="G2930" s="4">
        <f>IFERROR(__xludf.DUMMYFUNCTION("""COMPUTED_VALUE"""),1323.0)</f>
        <v>1323</v>
      </c>
      <c r="H2930" s="5">
        <f>IFERROR(__xludf.DUMMYFUNCTION("""COMPUTED_VALUE"""),8198.23)</f>
        <v>8198.23</v>
      </c>
      <c r="I2930" s="5">
        <f>IFERROR(__xludf.DUMMYFUNCTION("""COMPUTED_VALUE"""),2467.16)</f>
        <v>2467.16</v>
      </c>
      <c r="J2930" s="5">
        <f>IFERROR(__xludf.DUMMYFUNCTION("""COMPUTED_VALUE"""),2539.52)</f>
        <v>2539.52</v>
      </c>
      <c r="K2930" s="5">
        <f>IFERROR(__xludf.DUMMYFUNCTION("""COMPUTED_VALUE"""),995.89)</f>
        <v>995.89</v>
      </c>
      <c r="L2930" s="4">
        <f>IFERROR(__xludf.DUMMYFUNCTION("""COMPUTED_VALUE"""),13.0)</f>
        <v>13</v>
      </c>
      <c r="M2930" s="4">
        <f>IFERROR(__xludf.DUMMYFUNCTION("""COMPUTED_VALUE"""),85.0)</f>
        <v>85</v>
      </c>
      <c r="N2930" s="2" t="b">
        <f>IFERROR(__xludf.DUMMYFUNCTION("""COMPUTED_VALUE"""),TRUE)</f>
        <v>1</v>
      </c>
    </row>
    <row r="2931">
      <c r="A2931" s="2">
        <f>IFERROR(__xludf.DUMMYFUNCTION("""COMPUTED_VALUE"""),2930.0)</f>
        <v>2930</v>
      </c>
      <c r="B2931" s="2" t="str">
        <f>IFERROR(__xludf.DUMMYFUNCTION("""COMPUTED_VALUE"""),"Harli Pedley")</f>
        <v>Harli Pedley</v>
      </c>
      <c r="C2931" s="2" t="str">
        <f>IFERROR(__xludf.DUMMYFUNCTION("""COMPUTED_VALUE"""),"hpedleypu@spiegel.de")</f>
        <v>hpedleypu@spiegel.de</v>
      </c>
      <c r="D2931" s="4">
        <f>IFERROR(__xludf.DUMMYFUNCTION("""COMPUTED_VALUE"""),28.0)</f>
        <v>28</v>
      </c>
      <c r="E2931" s="4">
        <f>IFERROR(__xludf.DUMMYFUNCTION("""COMPUTED_VALUE"""),32.0)</f>
        <v>32</v>
      </c>
      <c r="F2931" s="4">
        <f>IFERROR(__xludf.DUMMYFUNCTION("""COMPUTED_VALUE"""),3.0)</f>
        <v>3</v>
      </c>
      <c r="G2931" s="4">
        <f>IFERROR(__xludf.DUMMYFUNCTION("""COMPUTED_VALUE"""),885.0)</f>
        <v>885</v>
      </c>
      <c r="H2931" s="5">
        <f>IFERROR(__xludf.DUMMYFUNCTION("""COMPUTED_VALUE"""),7088.83)</f>
        <v>7088.83</v>
      </c>
      <c r="I2931" s="5">
        <f>IFERROR(__xludf.DUMMYFUNCTION("""COMPUTED_VALUE"""),8158.53)</f>
        <v>8158.53</v>
      </c>
      <c r="J2931" s="5">
        <f>IFERROR(__xludf.DUMMYFUNCTION("""COMPUTED_VALUE"""),4919.55)</f>
        <v>4919.55</v>
      </c>
      <c r="K2931" s="5">
        <f>IFERROR(__xludf.DUMMYFUNCTION("""COMPUTED_VALUE"""),3307.31)</f>
        <v>3307.31</v>
      </c>
      <c r="L2931" s="4">
        <f>IFERROR(__xludf.DUMMYFUNCTION("""COMPUTED_VALUE"""),14.0)</f>
        <v>14</v>
      </c>
      <c r="M2931" s="4">
        <f>IFERROR(__xludf.DUMMYFUNCTION("""COMPUTED_VALUE"""),87.0)</f>
        <v>87</v>
      </c>
      <c r="N2931" s="2" t="b">
        <f>IFERROR(__xludf.DUMMYFUNCTION("""COMPUTED_VALUE"""),TRUE)</f>
        <v>1</v>
      </c>
    </row>
    <row r="2932">
      <c r="A2932" s="2">
        <f>IFERROR(__xludf.DUMMYFUNCTION("""COMPUTED_VALUE"""),2931.0)</f>
        <v>2931</v>
      </c>
      <c r="B2932" s="2" t="str">
        <f>IFERROR(__xludf.DUMMYFUNCTION("""COMPUTED_VALUE"""),"Xenos Ferrino")</f>
        <v>Xenos Ferrino</v>
      </c>
      <c r="C2932" s="2" t="str">
        <f>IFERROR(__xludf.DUMMYFUNCTION("""COMPUTED_VALUE"""),"xferrinopv@nsw.gov.au")</f>
        <v>xferrinopv@nsw.gov.au</v>
      </c>
      <c r="D2932" s="4">
        <f>IFERROR(__xludf.DUMMYFUNCTION("""COMPUTED_VALUE"""),160.0)</f>
        <v>160</v>
      </c>
      <c r="E2932" s="4">
        <f>IFERROR(__xludf.DUMMYFUNCTION("""COMPUTED_VALUE"""),78.0)</f>
        <v>78</v>
      </c>
      <c r="F2932" s="4">
        <f>IFERROR(__xludf.DUMMYFUNCTION("""COMPUTED_VALUE"""),6.0)</f>
        <v>6</v>
      </c>
      <c r="G2932" s="4">
        <f>IFERROR(__xludf.DUMMYFUNCTION("""COMPUTED_VALUE"""),448.0)</f>
        <v>448</v>
      </c>
      <c r="H2932" s="5">
        <f>IFERROR(__xludf.DUMMYFUNCTION("""COMPUTED_VALUE"""),4697.87)</f>
        <v>4697.87</v>
      </c>
      <c r="I2932" s="5">
        <f>IFERROR(__xludf.DUMMYFUNCTION("""COMPUTED_VALUE"""),2468.31)</f>
        <v>2468.31</v>
      </c>
      <c r="J2932" s="5">
        <f>IFERROR(__xludf.DUMMYFUNCTION("""COMPUTED_VALUE"""),2703.2)</f>
        <v>2703.2</v>
      </c>
      <c r="K2932" s="5">
        <f>IFERROR(__xludf.DUMMYFUNCTION("""COMPUTED_VALUE"""),1266.72)</f>
        <v>1266.72</v>
      </c>
      <c r="L2932" s="4">
        <f>IFERROR(__xludf.DUMMYFUNCTION("""COMPUTED_VALUE"""),13.0)</f>
        <v>13</v>
      </c>
      <c r="M2932" s="4">
        <f>IFERROR(__xludf.DUMMYFUNCTION("""COMPUTED_VALUE"""),86.0)</f>
        <v>86</v>
      </c>
      <c r="N2932" s="2" t="b">
        <f>IFERROR(__xludf.DUMMYFUNCTION("""COMPUTED_VALUE"""),TRUE)</f>
        <v>1</v>
      </c>
    </row>
    <row r="2933">
      <c r="A2933" s="2">
        <f>IFERROR(__xludf.DUMMYFUNCTION("""COMPUTED_VALUE"""),2932.0)</f>
        <v>2932</v>
      </c>
      <c r="B2933" s="2" t="str">
        <f>IFERROR(__xludf.DUMMYFUNCTION("""COMPUTED_VALUE"""),"Lane Scothorne")</f>
        <v>Lane Scothorne</v>
      </c>
      <c r="C2933" s="2"/>
      <c r="D2933" s="4">
        <f>IFERROR(__xludf.DUMMYFUNCTION("""COMPUTED_VALUE"""),66.0)</f>
        <v>66</v>
      </c>
      <c r="E2933" s="4">
        <f>IFERROR(__xludf.DUMMYFUNCTION("""COMPUTED_VALUE"""),56.0)</f>
        <v>56</v>
      </c>
      <c r="F2933" s="4">
        <f>IFERROR(__xludf.DUMMYFUNCTION("""COMPUTED_VALUE"""),2.0)</f>
        <v>2</v>
      </c>
      <c r="G2933" s="4">
        <f>IFERROR(__xludf.DUMMYFUNCTION("""COMPUTED_VALUE"""),1551.0)</f>
        <v>1551</v>
      </c>
      <c r="H2933" s="5">
        <f>IFERROR(__xludf.DUMMYFUNCTION("""COMPUTED_VALUE"""),2004.65)</f>
        <v>2004.65</v>
      </c>
      <c r="I2933" s="5">
        <f>IFERROR(__xludf.DUMMYFUNCTION("""COMPUTED_VALUE"""),7392.34)</f>
        <v>7392.34</v>
      </c>
      <c r="J2933" s="5">
        <f>IFERROR(__xludf.DUMMYFUNCTION("""COMPUTED_VALUE"""),7157.4)</f>
        <v>7157.4</v>
      </c>
      <c r="K2933" s="5">
        <f>IFERROR(__xludf.DUMMYFUNCTION("""COMPUTED_VALUE"""),8937.75)</f>
        <v>8937.75</v>
      </c>
      <c r="L2933" s="4">
        <f>IFERROR(__xludf.DUMMYFUNCTION("""COMPUTED_VALUE"""),20.0)</f>
        <v>20</v>
      </c>
      <c r="M2933" s="4">
        <f>IFERROR(__xludf.DUMMYFUNCTION("""COMPUTED_VALUE"""),2.0)</f>
        <v>2</v>
      </c>
      <c r="N2933" s="2" t="b">
        <f>IFERROR(__xludf.DUMMYFUNCTION("""COMPUTED_VALUE"""),FALSE)</f>
        <v>0</v>
      </c>
    </row>
    <row r="2934">
      <c r="A2934" s="2">
        <f>IFERROR(__xludf.DUMMYFUNCTION("""COMPUTED_VALUE"""),2933.0)</f>
        <v>2933</v>
      </c>
      <c r="B2934" s="2" t="str">
        <f>IFERROR(__xludf.DUMMYFUNCTION("""COMPUTED_VALUE"""),"Robb Enga")</f>
        <v>Robb Enga</v>
      </c>
      <c r="C2934" s="2" t="str">
        <f>IFERROR(__xludf.DUMMYFUNCTION("""COMPUTED_VALUE"""),"rengapx@webnode.com")</f>
        <v>rengapx@webnode.com</v>
      </c>
      <c r="D2934" s="4">
        <f>IFERROR(__xludf.DUMMYFUNCTION("""COMPUTED_VALUE"""),99.0)</f>
        <v>99</v>
      </c>
      <c r="E2934" s="4">
        <f>IFERROR(__xludf.DUMMYFUNCTION("""COMPUTED_VALUE"""),96.0)</f>
        <v>96</v>
      </c>
      <c r="F2934" s="4">
        <f>IFERROR(__xludf.DUMMYFUNCTION("""COMPUTED_VALUE"""),1.0)</f>
        <v>1</v>
      </c>
      <c r="G2934" s="4">
        <f>IFERROR(__xludf.DUMMYFUNCTION("""COMPUTED_VALUE"""),1330.0)</f>
        <v>1330</v>
      </c>
      <c r="H2934" s="5">
        <f>IFERROR(__xludf.DUMMYFUNCTION("""COMPUTED_VALUE"""),6004.14)</f>
        <v>6004.14</v>
      </c>
      <c r="I2934" s="5">
        <f>IFERROR(__xludf.DUMMYFUNCTION("""COMPUTED_VALUE"""),8583.24)</f>
        <v>8583.24</v>
      </c>
      <c r="J2934" s="5">
        <f>IFERROR(__xludf.DUMMYFUNCTION("""COMPUTED_VALUE"""),1483.4)</f>
        <v>1483.4</v>
      </c>
      <c r="K2934" s="5">
        <f>IFERROR(__xludf.DUMMYFUNCTION("""COMPUTED_VALUE"""),8151.39)</f>
        <v>8151.39</v>
      </c>
      <c r="L2934" s="4">
        <f>IFERROR(__xludf.DUMMYFUNCTION("""COMPUTED_VALUE"""),16.0)</f>
        <v>16</v>
      </c>
      <c r="M2934" s="4">
        <f>IFERROR(__xludf.DUMMYFUNCTION("""COMPUTED_VALUE"""),4.0)</f>
        <v>4</v>
      </c>
      <c r="N2934" s="2" t="b">
        <f>IFERROR(__xludf.DUMMYFUNCTION("""COMPUTED_VALUE"""),FALSE)</f>
        <v>0</v>
      </c>
    </row>
    <row r="2935">
      <c r="A2935" s="2">
        <f>IFERROR(__xludf.DUMMYFUNCTION("""COMPUTED_VALUE"""),2934.0)</f>
        <v>2934</v>
      </c>
      <c r="B2935" s="2" t="str">
        <f>IFERROR(__xludf.DUMMYFUNCTION("""COMPUTED_VALUE"""),"Gasper Martschik")</f>
        <v>Gasper Martschik</v>
      </c>
      <c r="C2935" s="2" t="str">
        <f>IFERROR(__xludf.DUMMYFUNCTION("""COMPUTED_VALUE"""),"gmartschikpy@imageshack.us")</f>
        <v>gmartschikpy@imageshack.us</v>
      </c>
      <c r="D2935" s="4">
        <f>IFERROR(__xludf.DUMMYFUNCTION("""COMPUTED_VALUE"""),45.0)</f>
        <v>45</v>
      </c>
      <c r="E2935" s="4">
        <f>IFERROR(__xludf.DUMMYFUNCTION("""COMPUTED_VALUE"""),40.0)</f>
        <v>40</v>
      </c>
      <c r="F2935" s="4">
        <f>IFERROR(__xludf.DUMMYFUNCTION("""COMPUTED_VALUE"""),4.0)</f>
        <v>4</v>
      </c>
      <c r="G2935" s="4">
        <f>IFERROR(__xludf.DUMMYFUNCTION("""COMPUTED_VALUE"""),616.0)</f>
        <v>616</v>
      </c>
      <c r="H2935" s="5">
        <f>IFERROR(__xludf.DUMMYFUNCTION("""COMPUTED_VALUE"""),332.94)</f>
        <v>332.94</v>
      </c>
      <c r="I2935" s="5">
        <f>IFERROR(__xludf.DUMMYFUNCTION("""COMPUTED_VALUE"""),9944.38)</f>
        <v>9944.38</v>
      </c>
      <c r="J2935" s="5">
        <f>IFERROR(__xludf.DUMMYFUNCTION("""COMPUTED_VALUE"""),5283.41)</f>
        <v>5283.41</v>
      </c>
      <c r="K2935" s="5">
        <f>IFERROR(__xludf.DUMMYFUNCTION("""COMPUTED_VALUE"""),1902.3)</f>
        <v>1902.3</v>
      </c>
      <c r="L2935" s="4">
        <f>IFERROR(__xludf.DUMMYFUNCTION("""COMPUTED_VALUE"""),6.0)</f>
        <v>6</v>
      </c>
      <c r="M2935" s="4">
        <f>IFERROR(__xludf.DUMMYFUNCTION("""COMPUTED_VALUE"""),7.0)</f>
        <v>7</v>
      </c>
      <c r="N2935" s="2" t="b">
        <f>IFERROR(__xludf.DUMMYFUNCTION("""COMPUTED_VALUE"""),TRUE)</f>
        <v>1</v>
      </c>
    </row>
    <row r="2936">
      <c r="A2936" s="2">
        <f>IFERROR(__xludf.DUMMYFUNCTION("""COMPUTED_VALUE"""),2935.0)</f>
        <v>2935</v>
      </c>
      <c r="B2936" s="2" t="str">
        <f>IFERROR(__xludf.DUMMYFUNCTION("""COMPUTED_VALUE"""),"Hersch Tomczykiewicz")</f>
        <v>Hersch Tomczykiewicz</v>
      </c>
      <c r="C2936" s="2" t="str">
        <f>IFERROR(__xludf.DUMMYFUNCTION("""COMPUTED_VALUE"""),"htomczykiewiczpz@sbwire.com")</f>
        <v>htomczykiewiczpz@sbwire.com</v>
      </c>
      <c r="D2936" s="4">
        <f>IFERROR(__xludf.DUMMYFUNCTION("""COMPUTED_VALUE"""),34.0)</f>
        <v>34</v>
      </c>
      <c r="E2936" s="4">
        <f>IFERROR(__xludf.DUMMYFUNCTION("""COMPUTED_VALUE"""),9.0)</f>
        <v>9</v>
      </c>
      <c r="F2936" s="4">
        <f>IFERROR(__xludf.DUMMYFUNCTION("""COMPUTED_VALUE"""),13.0)</f>
        <v>13</v>
      </c>
      <c r="G2936" s="4">
        <f>IFERROR(__xludf.DUMMYFUNCTION("""COMPUTED_VALUE"""),1131.0)</f>
        <v>1131</v>
      </c>
      <c r="H2936" s="5">
        <f>IFERROR(__xludf.DUMMYFUNCTION("""COMPUTED_VALUE"""),234.91)</f>
        <v>234.91</v>
      </c>
      <c r="I2936" s="5">
        <f>IFERROR(__xludf.DUMMYFUNCTION("""COMPUTED_VALUE"""),3348.26)</f>
        <v>3348.26</v>
      </c>
      <c r="J2936" s="5">
        <f>IFERROR(__xludf.DUMMYFUNCTION("""COMPUTED_VALUE"""),3465.87)</f>
        <v>3465.87</v>
      </c>
      <c r="K2936" s="5">
        <f>IFERROR(__xludf.DUMMYFUNCTION("""COMPUTED_VALUE"""),3636.69)</f>
        <v>3636.69</v>
      </c>
      <c r="L2936" s="4">
        <f>IFERROR(__xludf.DUMMYFUNCTION("""COMPUTED_VALUE"""),1.0)</f>
        <v>1</v>
      </c>
      <c r="M2936" s="4">
        <f>IFERROR(__xludf.DUMMYFUNCTION("""COMPUTED_VALUE"""),63.0)</f>
        <v>63</v>
      </c>
      <c r="N2936" s="2" t="b">
        <f>IFERROR(__xludf.DUMMYFUNCTION("""COMPUTED_VALUE"""),TRUE)</f>
        <v>1</v>
      </c>
    </row>
    <row r="2937">
      <c r="A2937" s="2">
        <f>IFERROR(__xludf.DUMMYFUNCTION("""COMPUTED_VALUE"""),2936.0)</f>
        <v>2936</v>
      </c>
      <c r="B2937" s="2" t="str">
        <f>IFERROR(__xludf.DUMMYFUNCTION("""COMPUTED_VALUE"""),"Travers Gonsalvo")</f>
        <v>Travers Gonsalvo</v>
      </c>
      <c r="C2937" s="2" t="str">
        <f>IFERROR(__xludf.DUMMYFUNCTION("""COMPUTED_VALUE"""),"tgonsalvoq0@oakley.com")</f>
        <v>tgonsalvoq0@oakley.com</v>
      </c>
      <c r="D2937" s="4">
        <f>IFERROR(__xludf.DUMMYFUNCTION("""COMPUTED_VALUE"""),55.0)</f>
        <v>55</v>
      </c>
      <c r="E2937" s="4">
        <f>IFERROR(__xludf.DUMMYFUNCTION("""COMPUTED_VALUE"""),57.0)</f>
        <v>57</v>
      </c>
      <c r="F2937" s="4">
        <f>IFERROR(__xludf.DUMMYFUNCTION("""COMPUTED_VALUE"""),9.0)</f>
        <v>9</v>
      </c>
      <c r="G2937" s="4">
        <f>IFERROR(__xludf.DUMMYFUNCTION("""COMPUTED_VALUE"""),830.0)</f>
        <v>830</v>
      </c>
      <c r="H2937" s="5">
        <f>IFERROR(__xludf.DUMMYFUNCTION("""COMPUTED_VALUE"""),4839.01)</f>
        <v>4839.01</v>
      </c>
      <c r="I2937" s="5">
        <f>IFERROR(__xludf.DUMMYFUNCTION("""COMPUTED_VALUE"""),7845.04)</f>
        <v>7845.04</v>
      </c>
      <c r="J2937" s="5">
        <f>IFERROR(__xludf.DUMMYFUNCTION("""COMPUTED_VALUE"""),6517.75)</f>
        <v>6517.75</v>
      </c>
      <c r="K2937" s="5">
        <f>IFERROR(__xludf.DUMMYFUNCTION("""COMPUTED_VALUE"""),6183.41)</f>
        <v>6183.41</v>
      </c>
      <c r="L2937" s="4">
        <f>IFERROR(__xludf.DUMMYFUNCTION("""COMPUTED_VALUE"""),4.0)</f>
        <v>4</v>
      </c>
      <c r="M2937" s="4">
        <f>IFERROR(__xludf.DUMMYFUNCTION("""COMPUTED_VALUE"""),81.0)</f>
        <v>81</v>
      </c>
      <c r="N2937" s="2" t="b">
        <f>IFERROR(__xludf.DUMMYFUNCTION("""COMPUTED_VALUE"""),FALSE)</f>
        <v>0</v>
      </c>
    </row>
    <row r="2938">
      <c r="A2938" s="2">
        <f>IFERROR(__xludf.DUMMYFUNCTION("""COMPUTED_VALUE"""),2937.0)</f>
        <v>2937</v>
      </c>
      <c r="B2938" s="2" t="str">
        <f>IFERROR(__xludf.DUMMYFUNCTION("""COMPUTED_VALUE"""),"Aigneis Kirman")</f>
        <v>Aigneis Kirman</v>
      </c>
      <c r="C2938" s="2"/>
      <c r="D2938" s="4">
        <f>IFERROR(__xludf.DUMMYFUNCTION("""COMPUTED_VALUE"""),61.0)</f>
        <v>61</v>
      </c>
      <c r="E2938" s="4">
        <f>IFERROR(__xludf.DUMMYFUNCTION("""COMPUTED_VALUE"""),63.0)</f>
        <v>63</v>
      </c>
      <c r="F2938" s="4">
        <f>IFERROR(__xludf.DUMMYFUNCTION("""COMPUTED_VALUE"""),11.0)</f>
        <v>11</v>
      </c>
      <c r="G2938" s="4">
        <f>IFERROR(__xludf.DUMMYFUNCTION("""COMPUTED_VALUE"""),161.0)</f>
        <v>161</v>
      </c>
      <c r="H2938" s="5">
        <f>IFERROR(__xludf.DUMMYFUNCTION("""COMPUTED_VALUE"""),203.07)</f>
        <v>203.07</v>
      </c>
      <c r="I2938" s="5">
        <f>IFERROR(__xludf.DUMMYFUNCTION("""COMPUTED_VALUE"""),995.86)</f>
        <v>995.86</v>
      </c>
      <c r="J2938" s="5">
        <f>IFERROR(__xludf.DUMMYFUNCTION("""COMPUTED_VALUE"""),7486.73)</f>
        <v>7486.73</v>
      </c>
      <c r="K2938" s="5">
        <f>IFERROR(__xludf.DUMMYFUNCTION("""COMPUTED_VALUE"""),4403.65)</f>
        <v>4403.65</v>
      </c>
      <c r="L2938" s="4">
        <f>IFERROR(__xludf.DUMMYFUNCTION("""COMPUTED_VALUE"""),5.0)</f>
        <v>5</v>
      </c>
      <c r="M2938" s="4">
        <f>IFERROR(__xludf.DUMMYFUNCTION("""COMPUTED_VALUE"""),60.0)</f>
        <v>60</v>
      </c>
      <c r="N2938" s="2" t="b">
        <f>IFERROR(__xludf.DUMMYFUNCTION("""COMPUTED_VALUE"""),FALSE)</f>
        <v>0</v>
      </c>
    </row>
    <row r="2939">
      <c r="A2939" s="2">
        <f>IFERROR(__xludf.DUMMYFUNCTION("""COMPUTED_VALUE"""),2938.0)</f>
        <v>2938</v>
      </c>
      <c r="B2939" s="2" t="str">
        <f>IFERROR(__xludf.DUMMYFUNCTION("""COMPUTED_VALUE"""),"Claudio Jelkes")</f>
        <v>Claudio Jelkes</v>
      </c>
      <c r="C2939" s="2" t="str">
        <f>IFERROR(__xludf.DUMMYFUNCTION("""COMPUTED_VALUE"""),"cjelkesq2@bbc.co.uk")</f>
        <v>cjelkesq2@bbc.co.uk</v>
      </c>
      <c r="D2939" s="4">
        <f>IFERROR(__xludf.DUMMYFUNCTION("""COMPUTED_VALUE"""),157.0)</f>
        <v>157</v>
      </c>
      <c r="E2939" s="4">
        <f>IFERROR(__xludf.DUMMYFUNCTION("""COMPUTED_VALUE"""),4.0)</f>
        <v>4</v>
      </c>
      <c r="F2939" s="4">
        <f>IFERROR(__xludf.DUMMYFUNCTION("""COMPUTED_VALUE"""),11.0)</f>
        <v>11</v>
      </c>
      <c r="G2939" s="4">
        <f>IFERROR(__xludf.DUMMYFUNCTION("""COMPUTED_VALUE"""),113.0)</f>
        <v>113</v>
      </c>
      <c r="H2939" s="5">
        <f>IFERROR(__xludf.DUMMYFUNCTION("""COMPUTED_VALUE"""),7854.8)</f>
        <v>7854.8</v>
      </c>
      <c r="I2939" s="5">
        <f>IFERROR(__xludf.DUMMYFUNCTION("""COMPUTED_VALUE"""),8604.65)</f>
        <v>8604.65</v>
      </c>
      <c r="J2939" s="5">
        <f>IFERROR(__xludf.DUMMYFUNCTION("""COMPUTED_VALUE"""),8148.48)</f>
        <v>8148.48</v>
      </c>
      <c r="K2939" s="5">
        <f>IFERROR(__xludf.DUMMYFUNCTION("""COMPUTED_VALUE"""),1481.63)</f>
        <v>1481.63</v>
      </c>
      <c r="L2939" s="4">
        <f>IFERROR(__xludf.DUMMYFUNCTION("""COMPUTED_VALUE"""),19.0)</f>
        <v>19</v>
      </c>
      <c r="M2939" s="4">
        <f>IFERROR(__xludf.DUMMYFUNCTION("""COMPUTED_VALUE"""),56.0)</f>
        <v>56</v>
      </c>
      <c r="N2939" s="2" t="b">
        <f>IFERROR(__xludf.DUMMYFUNCTION("""COMPUTED_VALUE"""),TRUE)</f>
        <v>1</v>
      </c>
    </row>
    <row r="2940">
      <c r="A2940" s="2">
        <f>IFERROR(__xludf.DUMMYFUNCTION("""COMPUTED_VALUE"""),2939.0)</f>
        <v>2939</v>
      </c>
      <c r="B2940" s="2" t="str">
        <f>IFERROR(__xludf.DUMMYFUNCTION("""COMPUTED_VALUE"""),"Minerva Heffer")</f>
        <v>Minerva Heffer</v>
      </c>
      <c r="C2940" s="2"/>
      <c r="D2940" s="4">
        <f>IFERROR(__xludf.DUMMYFUNCTION("""COMPUTED_VALUE"""),63.0)</f>
        <v>63</v>
      </c>
      <c r="E2940" s="4">
        <f>IFERROR(__xludf.DUMMYFUNCTION("""COMPUTED_VALUE"""),121.0)</f>
        <v>121</v>
      </c>
      <c r="F2940" s="4">
        <f>IFERROR(__xludf.DUMMYFUNCTION("""COMPUTED_VALUE"""),5.0)</f>
        <v>5</v>
      </c>
      <c r="G2940" s="4">
        <f>IFERROR(__xludf.DUMMYFUNCTION("""COMPUTED_VALUE"""),140.0)</f>
        <v>140</v>
      </c>
      <c r="H2940" s="5">
        <f>IFERROR(__xludf.DUMMYFUNCTION("""COMPUTED_VALUE"""),2769.58)</f>
        <v>2769.58</v>
      </c>
      <c r="I2940" s="5">
        <f>IFERROR(__xludf.DUMMYFUNCTION("""COMPUTED_VALUE"""),4889.3)</f>
        <v>4889.3</v>
      </c>
      <c r="J2940" s="5">
        <f>IFERROR(__xludf.DUMMYFUNCTION("""COMPUTED_VALUE"""),9691.4)</f>
        <v>9691.4</v>
      </c>
      <c r="K2940" s="5">
        <f>IFERROR(__xludf.DUMMYFUNCTION("""COMPUTED_VALUE"""),6697.38)</f>
        <v>6697.38</v>
      </c>
      <c r="L2940" s="4">
        <f>IFERROR(__xludf.DUMMYFUNCTION("""COMPUTED_VALUE"""),20.0)</f>
        <v>20</v>
      </c>
      <c r="M2940" s="4">
        <f>IFERROR(__xludf.DUMMYFUNCTION("""COMPUTED_VALUE"""),63.0)</f>
        <v>63</v>
      </c>
      <c r="N2940" s="2" t="b">
        <f>IFERROR(__xludf.DUMMYFUNCTION("""COMPUTED_VALUE"""),FALSE)</f>
        <v>0</v>
      </c>
    </row>
    <row r="2941">
      <c r="A2941" s="2">
        <f>IFERROR(__xludf.DUMMYFUNCTION("""COMPUTED_VALUE"""),2940.0)</f>
        <v>2940</v>
      </c>
      <c r="B2941" s="2" t="str">
        <f>IFERROR(__xludf.DUMMYFUNCTION("""COMPUTED_VALUE"""),"Arvin Jutson")</f>
        <v>Arvin Jutson</v>
      </c>
      <c r="C2941" s="2" t="str">
        <f>IFERROR(__xludf.DUMMYFUNCTION("""COMPUTED_VALUE"""),"ajutsonq4@newsvine.com")</f>
        <v>ajutsonq4@newsvine.com</v>
      </c>
      <c r="D2941" s="4">
        <f>IFERROR(__xludf.DUMMYFUNCTION("""COMPUTED_VALUE"""),133.0)</f>
        <v>133</v>
      </c>
      <c r="E2941" s="4">
        <f>IFERROR(__xludf.DUMMYFUNCTION("""COMPUTED_VALUE"""),72.0)</f>
        <v>72</v>
      </c>
      <c r="F2941" s="4">
        <f>IFERROR(__xludf.DUMMYFUNCTION("""COMPUTED_VALUE"""),8.0)</f>
        <v>8</v>
      </c>
      <c r="G2941" s="4">
        <f>IFERROR(__xludf.DUMMYFUNCTION("""COMPUTED_VALUE"""),743.0)</f>
        <v>743</v>
      </c>
      <c r="H2941" s="5">
        <f>IFERROR(__xludf.DUMMYFUNCTION("""COMPUTED_VALUE"""),6259.19)</f>
        <v>6259.19</v>
      </c>
      <c r="I2941" s="5">
        <f>IFERROR(__xludf.DUMMYFUNCTION("""COMPUTED_VALUE"""),3302.21)</f>
        <v>3302.21</v>
      </c>
      <c r="J2941" s="5">
        <f>IFERROR(__xludf.DUMMYFUNCTION("""COMPUTED_VALUE"""),5301.23)</f>
        <v>5301.23</v>
      </c>
      <c r="K2941" s="5">
        <f>IFERROR(__xludf.DUMMYFUNCTION("""COMPUTED_VALUE"""),8209.39)</f>
        <v>8209.39</v>
      </c>
      <c r="L2941" s="4">
        <f>IFERROR(__xludf.DUMMYFUNCTION("""COMPUTED_VALUE"""),8.0)</f>
        <v>8</v>
      </c>
      <c r="M2941" s="4">
        <f>IFERROR(__xludf.DUMMYFUNCTION("""COMPUTED_VALUE"""),44.0)</f>
        <v>44</v>
      </c>
      <c r="N2941" s="2" t="b">
        <f>IFERROR(__xludf.DUMMYFUNCTION("""COMPUTED_VALUE"""),FALSE)</f>
        <v>0</v>
      </c>
    </row>
    <row r="2942">
      <c r="A2942" s="2">
        <f>IFERROR(__xludf.DUMMYFUNCTION("""COMPUTED_VALUE"""),2941.0)</f>
        <v>2941</v>
      </c>
      <c r="B2942" s="2" t="str">
        <f>IFERROR(__xludf.DUMMYFUNCTION("""COMPUTED_VALUE"""),"Gabriela O'Nion")</f>
        <v>Gabriela O'Nion</v>
      </c>
      <c r="C2942" s="2" t="str">
        <f>IFERROR(__xludf.DUMMYFUNCTION("""COMPUTED_VALUE"""),"gonionq5@php.net")</f>
        <v>gonionq5@php.net</v>
      </c>
      <c r="D2942" s="4">
        <f>IFERROR(__xludf.DUMMYFUNCTION("""COMPUTED_VALUE"""),154.0)</f>
        <v>154</v>
      </c>
      <c r="E2942" s="4">
        <f>IFERROR(__xludf.DUMMYFUNCTION("""COMPUTED_VALUE"""),102.0)</f>
        <v>102</v>
      </c>
      <c r="F2942" s="4">
        <f>IFERROR(__xludf.DUMMYFUNCTION("""COMPUTED_VALUE"""),2.0)</f>
        <v>2</v>
      </c>
      <c r="G2942" s="4">
        <f>IFERROR(__xludf.DUMMYFUNCTION("""COMPUTED_VALUE"""),1548.0)</f>
        <v>1548</v>
      </c>
      <c r="H2942" s="5">
        <f>IFERROR(__xludf.DUMMYFUNCTION("""COMPUTED_VALUE"""),6017.09)</f>
        <v>6017.09</v>
      </c>
      <c r="I2942" s="5">
        <f>IFERROR(__xludf.DUMMYFUNCTION("""COMPUTED_VALUE"""),3640.85)</f>
        <v>3640.85</v>
      </c>
      <c r="J2942" s="5">
        <f>IFERROR(__xludf.DUMMYFUNCTION("""COMPUTED_VALUE"""),223.4)</f>
        <v>223.4</v>
      </c>
      <c r="K2942" s="5">
        <f>IFERROR(__xludf.DUMMYFUNCTION("""COMPUTED_VALUE"""),6848.65)</f>
        <v>6848.65</v>
      </c>
      <c r="L2942" s="4">
        <f>IFERROR(__xludf.DUMMYFUNCTION("""COMPUTED_VALUE"""),2.0)</f>
        <v>2</v>
      </c>
      <c r="M2942" s="4">
        <f>IFERROR(__xludf.DUMMYFUNCTION("""COMPUTED_VALUE"""),2.0)</f>
        <v>2</v>
      </c>
      <c r="N2942" s="2" t="b">
        <f>IFERROR(__xludf.DUMMYFUNCTION("""COMPUTED_VALUE"""),TRUE)</f>
        <v>1</v>
      </c>
    </row>
    <row r="2943">
      <c r="A2943" s="2">
        <f>IFERROR(__xludf.DUMMYFUNCTION("""COMPUTED_VALUE"""),2942.0)</f>
        <v>2942</v>
      </c>
      <c r="B2943" s="2" t="str">
        <f>IFERROR(__xludf.DUMMYFUNCTION("""COMPUTED_VALUE"""),"Domeniga Eleshenar")</f>
        <v>Domeniga Eleshenar</v>
      </c>
      <c r="C2943" s="2" t="str">
        <f>IFERROR(__xludf.DUMMYFUNCTION("""COMPUTED_VALUE"""),"deleshenarq6@weather.com")</f>
        <v>deleshenarq6@weather.com</v>
      </c>
      <c r="D2943" s="4">
        <f>IFERROR(__xludf.DUMMYFUNCTION("""COMPUTED_VALUE"""),56.0)</f>
        <v>56</v>
      </c>
      <c r="E2943" s="4">
        <f>IFERROR(__xludf.DUMMYFUNCTION("""COMPUTED_VALUE"""),51.0)</f>
        <v>51</v>
      </c>
      <c r="F2943" s="4">
        <f>IFERROR(__xludf.DUMMYFUNCTION("""COMPUTED_VALUE"""),4.0)</f>
        <v>4</v>
      </c>
      <c r="G2943" s="4">
        <f>IFERROR(__xludf.DUMMYFUNCTION("""COMPUTED_VALUE"""),1323.0)</f>
        <v>1323</v>
      </c>
      <c r="H2943" s="5">
        <f>IFERROR(__xludf.DUMMYFUNCTION("""COMPUTED_VALUE"""),8231.9)</f>
        <v>8231.9</v>
      </c>
      <c r="I2943" s="5">
        <f>IFERROR(__xludf.DUMMYFUNCTION("""COMPUTED_VALUE"""),6687.71)</f>
        <v>6687.71</v>
      </c>
      <c r="J2943" s="5">
        <f>IFERROR(__xludf.DUMMYFUNCTION("""COMPUTED_VALUE"""),1159.5)</f>
        <v>1159.5</v>
      </c>
      <c r="K2943" s="5">
        <f>IFERROR(__xludf.DUMMYFUNCTION("""COMPUTED_VALUE"""),1631.47)</f>
        <v>1631.47</v>
      </c>
      <c r="L2943" s="4">
        <f>IFERROR(__xludf.DUMMYFUNCTION("""COMPUTED_VALUE"""),14.0)</f>
        <v>14</v>
      </c>
      <c r="M2943" s="4">
        <f>IFERROR(__xludf.DUMMYFUNCTION("""COMPUTED_VALUE"""),24.0)</f>
        <v>24</v>
      </c>
      <c r="N2943" s="2" t="b">
        <f>IFERROR(__xludf.DUMMYFUNCTION("""COMPUTED_VALUE"""),TRUE)</f>
        <v>1</v>
      </c>
    </row>
    <row r="2944">
      <c r="A2944" s="2">
        <f>IFERROR(__xludf.DUMMYFUNCTION("""COMPUTED_VALUE"""),2943.0)</f>
        <v>2943</v>
      </c>
      <c r="B2944" s="2" t="str">
        <f>IFERROR(__xludf.DUMMYFUNCTION("""COMPUTED_VALUE"""),"Valdemar MacIlhagga")</f>
        <v>Valdemar MacIlhagga</v>
      </c>
      <c r="C2944" s="2"/>
      <c r="D2944" s="4">
        <f>IFERROR(__xludf.DUMMYFUNCTION("""COMPUTED_VALUE"""),99.0)</f>
        <v>99</v>
      </c>
      <c r="E2944" s="4">
        <f>IFERROR(__xludf.DUMMYFUNCTION("""COMPUTED_VALUE"""),46.0)</f>
        <v>46</v>
      </c>
      <c r="F2944" s="4">
        <f>IFERROR(__xludf.DUMMYFUNCTION("""COMPUTED_VALUE"""),11.0)</f>
        <v>11</v>
      </c>
      <c r="G2944" s="4">
        <f>IFERROR(__xludf.DUMMYFUNCTION("""COMPUTED_VALUE"""),266.0)</f>
        <v>266</v>
      </c>
      <c r="H2944" s="5">
        <f>IFERROR(__xludf.DUMMYFUNCTION("""COMPUTED_VALUE"""),6848.02)</f>
        <v>6848.02</v>
      </c>
      <c r="I2944" s="5">
        <f>IFERROR(__xludf.DUMMYFUNCTION("""COMPUTED_VALUE"""),9122.18)</f>
        <v>9122.18</v>
      </c>
      <c r="J2944" s="5">
        <f>IFERROR(__xludf.DUMMYFUNCTION("""COMPUTED_VALUE"""),9006.92)</f>
        <v>9006.92</v>
      </c>
      <c r="K2944" s="5">
        <f>IFERROR(__xludf.DUMMYFUNCTION("""COMPUTED_VALUE"""),6529.01)</f>
        <v>6529.01</v>
      </c>
      <c r="L2944" s="4">
        <f>IFERROR(__xludf.DUMMYFUNCTION("""COMPUTED_VALUE"""),1.0)</f>
        <v>1</v>
      </c>
      <c r="M2944" s="4">
        <f>IFERROR(__xludf.DUMMYFUNCTION("""COMPUTED_VALUE"""),20.0)</f>
        <v>20</v>
      </c>
      <c r="N2944" s="2" t="b">
        <f>IFERROR(__xludf.DUMMYFUNCTION("""COMPUTED_VALUE"""),FALSE)</f>
        <v>0</v>
      </c>
    </row>
    <row r="2945">
      <c r="A2945" s="2">
        <f>IFERROR(__xludf.DUMMYFUNCTION("""COMPUTED_VALUE"""),2944.0)</f>
        <v>2944</v>
      </c>
      <c r="B2945" s="2" t="str">
        <f>IFERROR(__xludf.DUMMYFUNCTION("""COMPUTED_VALUE"""),"Cheston Glazyer")</f>
        <v>Cheston Glazyer</v>
      </c>
      <c r="C2945" s="2" t="str">
        <f>IFERROR(__xludf.DUMMYFUNCTION("""COMPUTED_VALUE"""),"cglazyerq8@bravesites.com")</f>
        <v>cglazyerq8@bravesites.com</v>
      </c>
      <c r="D2945" s="4">
        <f>IFERROR(__xludf.DUMMYFUNCTION("""COMPUTED_VALUE"""),1.0)</f>
        <v>1</v>
      </c>
      <c r="E2945" s="4">
        <f>IFERROR(__xludf.DUMMYFUNCTION("""COMPUTED_VALUE"""),77.0)</f>
        <v>77</v>
      </c>
      <c r="F2945" s="4">
        <f>IFERROR(__xludf.DUMMYFUNCTION("""COMPUTED_VALUE"""),6.0)</f>
        <v>6</v>
      </c>
      <c r="G2945" s="4">
        <f>IFERROR(__xludf.DUMMYFUNCTION("""COMPUTED_VALUE"""),1432.0)</f>
        <v>1432</v>
      </c>
      <c r="H2945" s="5">
        <f>IFERROR(__xludf.DUMMYFUNCTION("""COMPUTED_VALUE"""),6619.8)</f>
        <v>6619.8</v>
      </c>
      <c r="I2945" s="5">
        <f>IFERROR(__xludf.DUMMYFUNCTION("""COMPUTED_VALUE"""),8590.94)</f>
        <v>8590.94</v>
      </c>
      <c r="J2945" s="5">
        <f>IFERROR(__xludf.DUMMYFUNCTION("""COMPUTED_VALUE"""),3290.28)</f>
        <v>3290.28</v>
      </c>
      <c r="K2945" s="5">
        <f>IFERROR(__xludf.DUMMYFUNCTION("""COMPUTED_VALUE"""),5356.62)</f>
        <v>5356.62</v>
      </c>
      <c r="L2945" s="4">
        <f>IFERROR(__xludf.DUMMYFUNCTION("""COMPUTED_VALUE"""),20.0)</f>
        <v>20</v>
      </c>
      <c r="M2945" s="4">
        <f>IFERROR(__xludf.DUMMYFUNCTION("""COMPUTED_VALUE"""),19.0)</f>
        <v>19</v>
      </c>
      <c r="N2945" s="2" t="b">
        <f>IFERROR(__xludf.DUMMYFUNCTION("""COMPUTED_VALUE"""),FALSE)</f>
        <v>0</v>
      </c>
    </row>
    <row r="2946">
      <c r="A2946" s="2">
        <f>IFERROR(__xludf.DUMMYFUNCTION("""COMPUTED_VALUE"""),2945.0)</f>
        <v>2945</v>
      </c>
      <c r="B2946" s="2" t="str">
        <f>IFERROR(__xludf.DUMMYFUNCTION("""COMPUTED_VALUE"""),"Charlton Allport")</f>
        <v>Charlton Allport</v>
      </c>
      <c r="C2946" s="2" t="str">
        <f>IFERROR(__xludf.DUMMYFUNCTION("""COMPUTED_VALUE"""),"callportq9@shutterfly.com")</f>
        <v>callportq9@shutterfly.com</v>
      </c>
      <c r="D2946" s="4">
        <f>IFERROR(__xludf.DUMMYFUNCTION("""COMPUTED_VALUE"""),40.0)</f>
        <v>40</v>
      </c>
      <c r="E2946" s="4">
        <f>IFERROR(__xludf.DUMMYFUNCTION("""COMPUTED_VALUE"""),22.0)</f>
        <v>22</v>
      </c>
      <c r="F2946" s="4">
        <f>IFERROR(__xludf.DUMMYFUNCTION("""COMPUTED_VALUE"""),9.0)</f>
        <v>9</v>
      </c>
      <c r="G2946" s="4">
        <f>IFERROR(__xludf.DUMMYFUNCTION("""COMPUTED_VALUE"""),831.0)</f>
        <v>831</v>
      </c>
      <c r="H2946" s="5">
        <f>IFERROR(__xludf.DUMMYFUNCTION("""COMPUTED_VALUE"""),1559.13)</f>
        <v>1559.13</v>
      </c>
      <c r="I2946" s="5">
        <f>IFERROR(__xludf.DUMMYFUNCTION("""COMPUTED_VALUE"""),7762.6)</f>
        <v>7762.6</v>
      </c>
      <c r="J2946" s="5">
        <f>IFERROR(__xludf.DUMMYFUNCTION("""COMPUTED_VALUE"""),1642.09)</f>
        <v>1642.09</v>
      </c>
      <c r="K2946" s="5">
        <f>IFERROR(__xludf.DUMMYFUNCTION("""COMPUTED_VALUE"""),3007.04)</f>
        <v>3007.04</v>
      </c>
      <c r="L2946" s="4">
        <f>IFERROR(__xludf.DUMMYFUNCTION("""COMPUTED_VALUE"""),13.0)</f>
        <v>13</v>
      </c>
      <c r="M2946" s="4">
        <f>IFERROR(__xludf.DUMMYFUNCTION("""COMPUTED_VALUE"""),98.0)</f>
        <v>98</v>
      </c>
      <c r="N2946" s="2" t="b">
        <f>IFERROR(__xludf.DUMMYFUNCTION("""COMPUTED_VALUE"""),TRUE)</f>
        <v>1</v>
      </c>
    </row>
    <row r="2947">
      <c r="A2947" s="2">
        <f>IFERROR(__xludf.DUMMYFUNCTION("""COMPUTED_VALUE"""),2946.0)</f>
        <v>2946</v>
      </c>
      <c r="B2947" s="2" t="str">
        <f>IFERROR(__xludf.DUMMYFUNCTION("""COMPUTED_VALUE"""),"Nevile Westmorland")</f>
        <v>Nevile Westmorland</v>
      </c>
      <c r="C2947" s="2"/>
      <c r="D2947" s="4">
        <f>IFERROR(__xludf.DUMMYFUNCTION("""COMPUTED_VALUE"""),95.0)</f>
        <v>95</v>
      </c>
      <c r="E2947" s="4">
        <f>IFERROR(__xludf.DUMMYFUNCTION("""COMPUTED_VALUE"""),84.0)</f>
        <v>84</v>
      </c>
      <c r="F2947" s="4">
        <f>IFERROR(__xludf.DUMMYFUNCTION("""COMPUTED_VALUE"""),11.0)</f>
        <v>11</v>
      </c>
      <c r="G2947" s="4">
        <f>IFERROR(__xludf.DUMMYFUNCTION("""COMPUTED_VALUE"""),714.0)</f>
        <v>714</v>
      </c>
      <c r="H2947" s="5">
        <f>IFERROR(__xludf.DUMMYFUNCTION("""COMPUTED_VALUE"""),609.24)</f>
        <v>609.24</v>
      </c>
      <c r="I2947" s="5">
        <f>IFERROR(__xludf.DUMMYFUNCTION("""COMPUTED_VALUE"""),3120.1)</f>
        <v>3120.1</v>
      </c>
      <c r="J2947" s="5">
        <f>IFERROR(__xludf.DUMMYFUNCTION("""COMPUTED_VALUE"""),7682.04)</f>
        <v>7682.04</v>
      </c>
      <c r="K2947" s="5">
        <f>IFERROR(__xludf.DUMMYFUNCTION("""COMPUTED_VALUE"""),4962.27)</f>
        <v>4962.27</v>
      </c>
      <c r="L2947" s="4">
        <f>IFERROR(__xludf.DUMMYFUNCTION("""COMPUTED_VALUE"""),5.0)</f>
        <v>5</v>
      </c>
      <c r="M2947" s="4">
        <f>IFERROR(__xludf.DUMMYFUNCTION("""COMPUTED_VALUE"""),21.0)</f>
        <v>21</v>
      </c>
      <c r="N2947" s="2" t="b">
        <f>IFERROR(__xludf.DUMMYFUNCTION("""COMPUTED_VALUE"""),TRUE)</f>
        <v>1</v>
      </c>
    </row>
    <row r="2948">
      <c r="A2948" s="2">
        <f>IFERROR(__xludf.DUMMYFUNCTION("""COMPUTED_VALUE"""),2947.0)</f>
        <v>2947</v>
      </c>
      <c r="B2948" s="2" t="str">
        <f>IFERROR(__xludf.DUMMYFUNCTION("""COMPUTED_VALUE"""),"Corrianne Sinnock")</f>
        <v>Corrianne Sinnock</v>
      </c>
      <c r="C2948" s="2"/>
      <c r="D2948" s="4">
        <f>IFERROR(__xludf.DUMMYFUNCTION("""COMPUTED_VALUE"""),129.0)</f>
        <v>129</v>
      </c>
      <c r="E2948" s="4">
        <f>IFERROR(__xludf.DUMMYFUNCTION("""COMPUTED_VALUE"""),9.0)</f>
        <v>9</v>
      </c>
      <c r="F2948" s="4">
        <f>IFERROR(__xludf.DUMMYFUNCTION("""COMPUTED_VALUE"""),9.0)</f>
        <v>9</v>
      </c>
      <c r="G2948" s="4">
        <f>IFERROR(__xludf.DUMMYFUNCTION("""COMPUTED_VALUE"""),701.0)</f>
        <v>701</v>
      </c>
      <c r="H2948" s="5">
        <f>IFERROR(__xludf.DUMMYFUNCTION("""COMPUTED_VALUE"""),9803.62)</f>
        <v>9803.62</v>
      </c>
      <c r="I2948" s="5">
        <f>IFERROR(__xludf.DUMMYFUNCTION("""COMPUTED_VALUE"""),8314.97)</f>
        <v>8314.97</v>
      </c>
      <c r="J2948" s="5">
        <f>IFERROR(__xludf.DUMMYFUNCTION("""COMPUTED_VALUE"""),5822.57)</f>
        <v>5822.57</v>
      </c>
      <c r="K2948" s="5">
        <f>IFERROR(__xludf.DUMMYFUNCTION("""COMPUTED_VALUE"""),2079.91)</f>
        <v>2079.91</v>
      </c>
      <c r="L2948" s="4">
        <f>IFERROR(__xludf.DUMMYFUNCTION("""COMPUTED_VALUE"""),18.0)</f>
        <v>18</v>
      </c>
      <c r="M2948" s="4">
        <f>IFERROR(__xludf.DUMMYFUNCTION("""COMPUTED_VALUE"""),89.0)</f>
        <v>89</v>
      </c>
      <c r="N2948" s="2" t="b">
        <f>IFERROR(__xludf.DUMMYFUNCTION("""COMPUTED_VALUE"""),FALSE)</f>
        <v>0</v>
      </c>
    </row>
    <row r="2949">
      <c r="A2949" s="2">
        <f>IFERROR(__xludf.DUMMYFUNCTION("""COMPUTED_VALUE"""),2948.0)</f>
        <v>2948</v>
      </c>
      <c r="B2949" s="2" t="str">
        <f>IFERROR(__xludf.DUMMYFUNCTION("""COMPUTED_VALUE"""),"Verney Catlette")</f>
        <v>Verney Catlette</v>
      </c>
      <c r="C2949" s="2"/>
      <c r="D2949" s="4">
        <f>IFERROR(__xludf.DUMMYFUNCTION("""COMPUTED_VALUE"""),149.0)</f>
        <v>149</v>
      </c>
      <c r="E2949" s="4">
        <f>IFERROR(__xludf.DUMMYFUNCTION("""COMPUTED_VALUE"""),55.0)</f>
        <v>55</v>
      </c>
      <c r="F2949" s="4">
        <f>IFERROR(__xludf.DUMMYFUNCTION("""COMPUTED_VALUE"""),3.0)</f>
        <v>3</v>
      </c>
      <c r="G2949" s="4">
        <f>IFERROR(__xludf.DUMMYFUNCTION("""COMPUTED_VALUE"""),1056.0)</f>
        <v>1056</v>
      </c>
      <c r="H2949" s="5">
        <f>IFERROR(__xludf.DUMMYFUNCTION("""COMPUTED_VALUE"""),3319.41)</f>
        <v>3319.41</v>
      </c>
      <c r="I2949" s="5">
        <f>IFERROR(__xludf.DUMMYFUNCTION("""COMPUTED_VALUE"""),8782.3)</f>
        <v>8782.3</v>
      </c>
      <c r="J2949" s="5">
        <f>IFERROR(__xludf.DUMMYFUNCTION("""COMPUTED_VALUE"""),1507.36)</f>
        <v>1507.36</v>
      </c>
      <c r="K2949" s="5">
        <f>IFERROR(__xludf.DUMMYFUNCTION("""COMPUTED_VALUE"""),4722.47)</f>
        <v>4722.47</v>
      </c>
      <c r="L2949" s="4">
        <f>IFERROR(__xludf.DUMMYFUNCTION("""COMPUTED_VALUE"""),5.0)</f>
        <v>5</v>
      </c>
      <c r="M2949" s="4">
        <f>IFERROR(__xludf.DUMMYFUNCTION("""COMPUTED_VALUE"""),64.0)</f>
        <v>64</v>
      </c>
      <c r="N2949" s="2" t="b">
        <f>IFERROR(__xludf.DUMMYFUNCTION("""COMPUTED_VALUE"""),TRUE)</f>
        <v>1</v>
      </c>
    </row>
    <row r="2950">
      <c r="A2950" s="2">
        <f>IFERROR(__xludf.DUMMYFUNCTION("""COMPUTED_VALUE"""),2949.0)</f>
        <v>2949</v>
      </c>
      <c r="B2950" s="2" t="str">
        <f>IFERROR(__xludf.DUMMYFUNCTION("""COMPUTED_VALUE"""),"Brodie Martill")</f>
        <v>Brodie Martill</v>
      </c>
      <c r="C2950" s="2" t="str">
        <f>IFERROR(__xludf.DUMMYFUNCTION("""COMPUTED_VALUE"""),"bmartillqd@mapquest.com")</f>
        <v>bmartillqd@mapquest.com</v>
      </c>
      <c r="D2950" s="4">
        <f>IFERROR(__xludf.DUMMYFUNCTION("""COMPUTED_VALUE"""),27.0)</f>
        <v>27</v>
      </c>
      <c r="E2950" s="4">
        <f>IFERROR(__xludf.DUMMYFUNCTION("""COMPUTED_VALUE"""),80.0)</f>
        <v>80</v>
      </c>
      <c r="F2950" s="4">
        <f>IFERROR(__xludf.DUMMYFUNCTION("""COMPUTED_VALUE"""),1.0)</f>
        <v>1</v>
      </c>
      <c r="G2950" s="4">
        <f>IFERROR(__xludf.DUMMYFUNCTION("""COMPUTED_VALUE"""),601.0)</f>
        <v>601</v>
      </c>
      <c r="H2950" s="5">
        <f>IFERROR(__xludf.DUMMYFUNCTION("""COMPUTED_VALUE"""),9090.16)</f>
        <v>9090.16</v>
      </c>
      <c r="I2950" s="5">
        <f>IFERROR(__xludf.DUMMYFUNCTION("""COMPUTED_VALUE"""),1610.15)</f>
        <v>1610.15</v>
      </c>
      <c r="J2950" s="5">
        <f>IFERROR(__xludf.DUMMYFUNCTION("""COMPUTED_VALUE"""),2612.0)</f>
        <v>2612</v>
      </c>
      <c r="K2950" s="5">
        <f>IFERROR(__xludf.DUMMYFUNCTION("""COMPUTED_VALUE"""),4943.44)</f>
        <v>4943.44</v>
      </c>
      <c r="L2950" s="4">
        <f>IFERROR(__xludf.DUMMYFUNCTION("""COMPUTED_VALUE"""),3.0)</f>
        <v>3</v>
      </c>
      <c r="M2950" s="4">
        <f>IFERROR(__xludf.DUMMYFUNCTION("""COMPUTED_VALUE"""),3.0)</f>
        <v>3</v>
      </c>
      <c r="N2950" s="2" t="b">
        <f>IFERROR(__xludf.DUMMYFUNCTION("""COMPUTED_VALUE"""),FALSE)</f>
        <v>0</v>
      </c>
    </row>
    <row r="2951">
      <c r="A2951" s="2">
        <f>IFERROR(__xludf.DUMMYFUNCTION("""COMPUTED_VALUE"""),2950.0)</f>
        <v>2950</v>
      </c>
      <c r="B2951" s="2" t="str">
        <f>IFERROR(__xludf.DUMMYFUNCTION("""COMPUTED_VALUE"""),"Jacquelyn Mewhirter")</f>
        <v>Jacquelyn Mewhirter</v>
      </c>
      <c r="C2951" s="2" t="str">
        <f>IFERROR(__xludf.DUMMYFUNCTION("""COMPUTED_VALUE"""),"jmewhirterqe@yale.edu")</f>
        <v>jmewhirterqe@yale.edu</v>
      </c>
      <c r="D2951" s="4">
        <f>IFERROR(__xludf.DUMMYFUNCTION("""COMPUTED_VALUE"""),85.0)</f>
        <v>85</v>
      </c>
      <c r="E2951" s="4">
        <f>IFERROR(__xludf.DUMMYFUNCTION("""COMPUTED_VALUE"""),89.0)</f>
        <v>89</v>
      </c>
      <c r="F2951" s="4">
        <f>IFERROR(__xludf.DUMMYFUNCTION("""COMPUTED_VALUE"""),1.0)</f>
        <v>1</v>
      </c>
      <c r="G2951" s="4">
        <f>IFERROR(__xludf.DUMMYFUNCTION("""COMPUTED_VALUE"""),1441.0)</f>
        <v>1441</v>
      </c>
      <c r="H2951" s="5">
        <f>IFERROR(__xludf.DUMMYFUNCTION("""COMPUTED_VALUE"""),5021.22)</f>
        <v>5021.22</v>
      </c>
      <c r="I2951" s="5">
        <f>IFERROR(__xludf.DUMMYFUNCTION("""COMPUTED_VALUE"""),6447.26)</f>
        <v>6447.26</v>
      </c>
      <c r="J2951" s="5">
        <f>IFERROR(__xludf.DUMMYFUNCTION("""COMPUTED_VALUE"""),7482.4)</f>
        <v>7482.4</v>
      </c>
      <c r="K2951" s="5">
        <f>IFERROR(__xludf.DUMMYFUNCTION("""COMPUTED_VALUE"""),6786.2)</f>
        <v>6786.2</v>
      </c>
      <c r="L2951" s="4">
        <f>IFERROR(__xludf.DUMMYFUNCTION("""COMPUTED_VALUE"""),11.0)</f>
        <v>11</v>
      </c>
      <c r="M2951" s="4">
        <f>IFERROR(__xludf.DUMMYFUNCTION("""COMPUTED_VALUE"""),64.0)</f>
        <v>64</v>
      </c>
      <c r="N2951" s="2" t="b">
        <f>IFERROR(__xludf.DUMMYFUNCTION("""COMPUTED_VALUE"""),TRUE)</f>
        <v>1</v>
      </c>
    </row>
    <row r="2952">
      <c r="A2952" s="2">
        <f>IFERROR(__xludf.DUMMYFUNCTION("""COMPUTED_VALUE"""),2951.0)</f>
        <v>2951</v>
      </c>
      <c r="B2952" s="2" t="str">
        <f>IFERROR(__xludf.DUMMYFUNCTION("""COMPUTED_VALUE"""),"Kellen Filochov")</f>
        <v>Kellen Filochov</v>
      </c>
      <c r="C2952" s="2"/>
      <c r="D2952" s="4">
        <f>IFERROR(__xludf.DUMMYFUNCTION("""COMPUTED_VALUE"""),83.0)</f>
        <v>83</v>
      </c>
      <c r="E2952" s="4">
        <f>IFERROR(__xludf.DUMMYFUNCTION("""COMPUTED_VALUE"""),5.0)</f>
        <v>5</v>
      </c>
      <c r="F2952" s="4">
        <f>IFERROR(__xludf.DUMMYFUNCTION("""COMPUTED_VALUE"""),10.0)</f>
        <v>10</v>
      </c>
      <c r="G2952" s="4">
        <f>IFERROR(__xludf.DUMMYFUNCTION("""COMPUTED_VALUE"""),1035.0)</f>
        <v>1035</v>
      </c>
      <c r="H2952" s="5">
        <f>IFERROR(__xludf.DUMMYFUNCTION("""COMPUTED_VALUE"""),4265.5)</f>
        <v>4265.5</v>
      </c>
      <c r="I2952" s="5">
        <f>IFERROR(__xludf.DUMMYFUNCTION("""COMPUTED_VALUE"""),2754.87)</f>
        <v>2754.87</v>
      </c>
      <c r="J2952" s="5">
        <f>IFERROR(__xludf.DUMMYFUNCTION("""COMPUTED_VALUE"""),3858.06)</f>
        <v>3858.06</v>
      </c>
      <c r="K2952" s="5">
        <f>IFERROR(__xludf.DUMMYFUNCTION("""COMPUTED_VALUE"""),5000.5)</f>
        <v>5000.5</v>
      </c>
      <c r="L2952" s="4">
        <f>IFERROR(__xludf.DUMMYFUNCTION("""COMPUTED_VALUE"""),3.0)</f>
        <v>3</v>
      </c>
      <c r="M2952" s="4">
        <f>IFERROR(__xludf.DUMMYFUNCTION("""COMPUTED_VALUE"""),88.0)</f>
        <v>88</v>
      </c>
      <c r="N2952" s="2" t="b">
        <f>IFERROR(__xludf.DUMMYFUNCTION("""COMPUTED_VALUE"""),TRUE)</f>
        <v>1</v>
      </c>
    </row>
    <row r="2953">
      <c r="A2953" s="2">
        <f>IFERROR(__xludf.DUMMYFUNCTION("""COMPUTED_VALUE"""),2952.0)</f>
        <v>2952</v>
      </c>
      <c r="B2953" s="2" t="str">
        <f>IFERROR(__xludf.DUMMYFUNCTION("""COMPUTED_VALUE"""),"Melinde Mitcham")</f>
        <v>Melinde Mitcham</v>
      </c>
      <c r="C2953" s="2"/>
      <c r="D2953" s="4">
        <f>IFERROR(__xludf.DUMMYFUNCTION("""COMPUTED_VALUE"""),22.0)</f>
        <v>22</v>
      </c>
      <c r="E2953" s="4">
        <f>IFERROR(__xludf.DUMMYFUNCTION("""COMPUTED_VALUE"""),64.0)</f>
        <v>64</v>
      </c>
      <c r="F2953" s="4">
        <f>IFERROR(__xludf.DUMMYFUNCTION("""COMPUTED_VALUE"""),4.0)</f>
        <v>4</v>
      </c>
      <c r="G2953" s="4">
        <f>IFERROR(__xludf.DUMMYFUNCTION("""COMPUTED_VALUE"""),1405.0)</f>
        <v>1405</v>
      </c>
      <c r="H2953" s="5">
        <f>IFERROR(__xludf.DUMMYFUNCTION("""COMPUTED_VALUE"""),1086.2)</f>
        <v>1086.2</v>
      </c>
      <c r="I2953" s="5">
        <f>IFERROR(__xludf.DUMMYFUNCTION("""COMPUTED_VALUE"""),5799.71)</f>
        <v>5799.71</v>
      </c>
      <c r="J2953" s="5">
        <f>IFERROR(__xludf.DUMMYFUNCTION("""COMPUTED_VALUE"""),9476.23)</f>
        <v>9476.23</v>
      </c>
      <c r="K2953" s="5">
        <f>IFERROR(__xludf.DUMMYFUNCTION("""COMPUTED_VALUE"""),6443.82)</f>
        <v>6443.82</v>
      </c>
      <c r="L2953" s="4">
        <f>IFERROR(__xludf.DUMMYFUNCTION("""COMPUTED_VALUE"""),17.0)</f>
        <v>17</v>
      </c>
      <c r="M2953" s="4">
        <f>IFERROR(__xludf.DUMMYFUNCTION("""COMPUTED_VALUE"""),40.0)</f>
        <v>40</v>
      </c>
      <c r="N2953" s="2" t="b">
        <f>IFERROR(__xludf.DUMMYFUNCTION("""COMPUTED_VALUE"""),FALSE)</f>
        <v>0</v>
      </c>
    </row>
    <row r="2954">
      <c r="A2954" s="2">
        <f>IFERROR(__xludf.DUMMYFUNCTION("""COMPUTED_VALUE"""),2953.0)</f>
        <v>2953</v>
      </c>
      <c r="B2954" s="2" t="str">
        <f>IFERROR(__xludf.DUMMYFUNCTION("""COMPUTED_VALUE"""),"Tedd Tytherton")</f>
        <v>Tedd Tytherton</v>
      </c>
      <c r="C2954" s="2"/>
      <c r="D2954" s="4">
        <f>IFERROR(__xludf.DUMMYFUNCTION("""COMPUTED_VALUE"""),99.0)</f>
        <v>99</v>
      </c>
      <c r="E2954" s="4">
        <f>IFERROR(__xludf.DUMMYFUNCTION("""COMPUTED_VALUE"""),29.0)</f>
        <v>29</v>
      </c>
      <c r="F2954" s="4">
        <f>IFERROR(__xludf.DUMMYFUNCTION("""COMPUTED_VALUE"""),5.0)</f>
        <v>5</v>
      </c>
      <c r="G2954" s="4">
        <f>IFERROR(__xludf.DUMMYFUNCTION("""COMPUTED_VALUE"""),164.0)</f>
        <v>164</v>
      </c>
      <c r="H2954" s="5">
        <f>IFERROR(__xludf.DUMMYFUNCTION("""COMPUTED_VALUE"""),7611.71)</f>
        <v>7611.71</v>
      </c>
      <c r="I2954" s="5">
        <f>IFERROR(__xludf.DUMMYFUNCTION("""COMPUTED_VALUE"""),1381.22)</f>
        <v>1381.22</v>
      </c>
      <c r="J2954" s="5">
        <f>IFERROR(__xludf.DUMMYFUNCTION("""COMPUTED_VALUE"""),5493.21)</f>
        <v>5493.21</v>
      </c>
      <c r="K2954" s="5">
        <f>IFERROR(__xludf.DUMMYFUNCTION("""COMPUTED_VALUE"""),1535.79)</f>
        <v>1535.79</v>
      </c>
      <c r="L2954" s="4">
        <f>IFERROR(__xludf.DUMMYFUNCTION("""COMPUTED_VALUE"""),17.0)</f>
        <v>17</v>
      </c>
      <c r="M2954" s="4">
        <f>IFERROR(__xludf.DUMMYFUNCTION("""COMPUTED_VALUE"""),95.0)</f>
        <v>95</v>
      </c>
      <c r="N2954" s="2" t="b">
        <f>IFERROR(__xludf.DUMMYFUNCTION("""COMPUTED_VALUE"""),TRUE)</f>
        <v>1</v>
      </c>
    </row>
    <row r="2955">
      <c r="A2955" s="2">
        <f>IFERROR(__xludf.DUMMYFUNCTION("""COMPUTED_VALUE"""),2954.0)</f>
        <v>2954</v>
      </c>
      <c r="B2955" s="2" t="str">
        <f>IFERROR(__xludf.DUMMYFUNCTION("""COMPUTED_VALUE"""),"Tate Blees")</f>
        <v>Tate Blees</v>
      </c>
      <c r="C2955" s="2"/>
      <c r="D2955" s="4">
        <f>IFERROR(__xludf.DUMMYFUNCTION("""COMPUTED_VALUE"""),121.0)</f>
        <v>121</v>
      </c>
      <c r="E2955" s="4">
        <f>IFERROR(__xludf.DUMMYFUNCTION("""COMPUTED_VALUE"""),82.0)</f>
        <v>82</v>
      </c>
      <c r="F2955" s="4">
        <f>IFERROR(__xludf.DUMMYFUNCTION("""COMPUTED_VALUE"""),10.0)</f>
        <v>10</v>
      </c>
      <c r="G2955" s="4">
        <f>IFERROR(__xludf.DUMMYFUNCTION("""COMPUTED_VALUE"""),205.0)</f>
        <v>205</v>
      </c>
      <c r="H2955" s="5">
        <f>IFERROR(__xludf.DUMMYFUNCTION("""COMPUTED_VALUE"""),7656.93)</f>
        <v>7656.93</v>
      </c>
      <c r="I2955" s="5">
        <f>IFERROR(__xludf.DUMMYFUNCTION("""COMPUTED_VALUE"""),3926.34)</f>
        <v>3926.34</v>
      </c>
      <c r="J2955" s="5">
        <f>IFERROR(__xludf.DUMMYFUNCTION("""COMPUTED_VALUE"""),7877.57)</f>
        <v>7877.57</v>
      </c>
      <c r="K2955" s="5">
        <f>IFERROR(__xludf.DUMMYFUNCTION("""COMPUTED_VALUE"""),4283.73)</f>
        <v>4283.73</v>
      </c>
      <c r="L2955" s="4">
        <f>IFERROR(__xludf.DUMMYFUNCTION("""COMPUTED_VALUE"""),15.0)</f>
        <v>15</v>
      </c>
      <c r="M2955" s="4">
        <f>IFERROR(__xludf.DUMMYFUNCTION("""COMPUTED_VALUE"""),60.0)</f>
        <v>60</v>
      </c>
      <c r="N2955" s="2" t="b">
        <f>IFERROR(__xludf.DUMMYFUNCTION("""COMPUTED_VALUE"""),TRUE)</f>
        <v>1</v>
      </c>
    </row>
    <row r="2956">
      <c r="A2956" s="2">
        <f>IFERROR(__xludf.DUMMYFUNCTION("""COMPUTED_VALUE"""),2955.0)</f>
        <v>2955</v>
      </c>
      <c r="B2956" s="2" t="str">
        <f>IFERROR(__xludf.DUMMYFUNCTION("""COMPUTED_VALUE"""),"Marylee Tremoille")</f>
        <v>Marylee Tremoille</v>
      </c>
      <c r="C2956" s="2"/>
      <c r="D2956" s="4">
        <f>IFERROR(__xludf.DUMMYFUNCTION("""COMPUTED_VALUE"""),129.0)</f>
        <v>129</v>
      </c>
      <c r="E2956" s="4">
        <f>IFERROR(__xludf.DUMMYFUNCTION("""COMPUTED_VALUE"""),117.0)</f>
        <v>117</v>
      </c>
      <c r="F2956" s="4">
        <f>IFERROR(__xludf.DUMMYFUNCTION("""COMPUTED_VALUE"""),3.0)</f>
        <v>3</v>
      </c>
      <c r="G2956" s="4">
        <f>IFERROR(__xludf.DUMMYFUNCTION("""COMPUTED_VALUE"""),871.0)</f>
        <v>871</v>
      </c>
      <c r="H2956" s="5">
        <f>IFERROR(__xludf.DUMMYFUNCTION("""COMPUTED_VALUE"""),3366.29)</f>
        <v>3366.29</v>
      </c>
      <c r="I2956" s="5">
        <f>IFERROR(__xludf.DUMMYFUNCTION("""COMPUTED_VALUE"""),8670.57)</f>
        <v>8670.57</v>
      </c>
      <c r="J2956" s="5">
        <f>IFERROR(__xludf.DUMMYFUNCTION("""COMPUTED_VALUE"""),315.94)</f>
        <v>315.94</v>
      </c>
      <c r="K2956" s="5">
        <f>IFERROR(__xludf.DUMMYFUNCTION("""COMPUTED_VALUE"""),2378.67)</f>
        <v>2378.67</v>
      </c>
      <c r="L2956" s="4">
        <f>IFERROR(__xludf.DUMMYFUNCTION("""COMPUTED_VALUE"""),13.0)</f>
        <v>13</v>
      </c>
      <c r="M2956" s="4">
        <f>IFERROR(__xludf.DUMMYFUNCTION("""COMPUTED_VALUE"""),31.0)</f>
        <v>31</v>
      </c>
      <c r="N2956" s="2" t="b">
        <f>IFERROR(__xludf.DUMMYFUNCTION("""COMPUTED_VALUE"""),FALSE)</f>
        <v>0</v>
      </c>
    </row>
    <row r="2957">
      <c r="A2957" s="2">
        <f>IFERROR(__xludf.DUMMYFUNCTION("""COMPUTED_VALUE"""),2956.0)</f>
        <v>2956</v>
      </c>
      <c r="B2957" s="2" t="str">
        <f>IFERROR(__xludf.DUMMYFUNCTION("""COMPUTED_VALUE"""),"Deane Edmans")</f>
        <v>Deane Edmans</v>
      </c>
      <c r="C2957" s="2"/>
      <c r="D2957" s="4">
        <f>IFERROR(__xludf.DUMMYFUNCTION("""COMPUTED_VALUE"""),160.0)</f>
        <v>160</v>
      </c>
      <c r="E2957" s="4">
        <f>IFERROR(__xludf.DUMMYFUNCTION("""COMPUTED_VALUE"""),18.0)</f>
        <v>18</v>
      </c>
      <c r="F2957" s="4">
        <f>IFERROR(__xludf.DUMMYFUNCTION("""COMPUTED_VALUE"""),7.0)</f>
        <v>7</v>
      </c>
      <c r="G2957" s="4">
        <f>IFERROR(__xludf.DUMMYFUNCTION("""COMPUTED_VALUE"""),875.0)</f>
        <v>875</v>
      </c>
      <c r="H2957" s="5">
        <f>IFERROR(__xludf.DUMMYFUNCTION("""COMPUTED_VALUE"""),984.36)</f>
        <v>984.36</v>
      </c>
      <c r="I2957" s="5">
        <f>IFERROR(__xludf.DUMMYFUNCTION("""COMPUTED_VALUE"""),6828.74)</f>
        <v>6828.74</v>
      </c>
      <c r="J2957" s="5">
        <f>IFERROR(__xludf.DUMMYFUNCTION("""COMPUTED_VALUE"""),1554.18)</f>
        <v>1554.18</v>
      </c>
      <c r="K2957" s="5">
        <f>IFERROR(__xludf.DUMMYFUNCTION("""COMPUTED_VALUE"""),3473.9)</f>
        <v>3473.9</v>
      </c>
      <c r="L2957" s="4">
        <f>IFERROR(__xludf.DUMMYFUNCTION("""COMPUTED_VALUE"""),11.0)</f>
        <v>11</v>
      </c>
      <c r="M2957" s="4">
        <f>IFERROR(__xludf.DUMMYFUNCTION("""COMPUTED_VALUE"""),7.0)</f>
        <v>7</v>
      </c>
      <c r="N2957" s="2" t="b">
        <f>IFERROR(__xludf.DUMMYFUNCTION("""COMPUTED_VALUE"""),TRUE)</f>
        <v>1</v>
      </c>
    </row>
    <row r="2958">
      <c r="A2958" s="2">
        <f>IFERROR(__xludf.DUMMYFUNCTION("""COMPUTED_VALUE"""),2957.0)</f>
        <v>2957</v>
      </c>
      <c r="B2958" s="2" t="str">
        <f>IFERROR(__xludf.DUMMYFUNCTION("""COMPUTED_VALUE"""),"Loise Stuart")</f>
        <v>Loise Stuart</v>
      </c>
      <c r="C2958" s="2"/>
      <c r="D2958" s="4">
        <f>IFERROR(__xludf.DUMMYFUNCTION("""COMPUTED_VALUE"""),53.0)</f>
        <v>53</v>
      </c>
      <c r="E2958" s="4">
        <f>IFERROR(__xludf.DUMMYFUNCTION("""COMPUTED_VALUE"""),24.0)</f>
        <v>24</v>
      </c>
      <c r="F2958" s="4">
        <f>IFERROR(__xludf.DUMMYFUNCTION("""COMPUTED_VALUE"""),6.0)</f>
        <v>6</v>
      </c>
      <c r="G2958" s="4">
        <f>IFERROR(__xludf.DUMMYFUNCTION("""COMPUTED_VALUE"""),980.0)</f>
        <v>980</v>
      </c>
      <c r="H2958" s="5">
        <f>IFERROR(__xludf.DUMMYFUNCTION("""COMPUTED_VALUE"""),8162.49)</f>
        <v>8162.49</v>
      </c>
      <c r="I2958" s="5">
        <f>IFERROR(__xludf.DUMMYFUNCTION("""COMPUTED_VALUE"""),2173.18)</f>
        <v>2173.18</v>
      </c>
      <c r="J2958" s="5">
        <f>IFERROR(__xludf.DUMMYFUNCTION("""COMPUTED_VALUE"""),487.27)</f>
        <v>487.27</v>
      </c>
      <c r="K2958" s="5">
        <f>IFERROR(__xludf.DUMMYFUNCTION("""COMPUTED_VALUE"""),3662.62)</f>
        <v>3662.62</v>
      </c>
      <c r="L2958" s="4">
        <f>IFERROR(__xludf.DUMMYFUNCTION("""COMPUTED_VALUE"""),15.0)</f>
        <v>15</v>
      </c>
      <c r="M2958" s="4">
        <f>IFERROR(__xludf.DUMMYFUNCTION("""COMPUTED_VALUE"""),97.0)</f>
        <v>97</v>
      </c>
      <c r="N2958" s="2" t="b">
        <f>IFERROR(__xludf.DUMMYFUNCTION("""COMPUTED_VALUE"""),TRUE)</f>
        <v>1</v>
      </c>
    </row>
    <row r="2959">
      <c r="A2959" s="2">
        <f>IFERROR(__xludf.DUMMYFUNCTION("""COMPUTED_VALUE"""),2958.0)</f>
        <v>2958</v>
      </c>
      <c r="B2959" s="2" t="str">
        <f>IFERROR(__xludf.DUMMYFUNCTION("""COMPUTED_VALUE"""),"Benji Shrimplin")</f>
        <v>Benji Shrimplin</v>
      </c>
      <c r="C2959" s="2" t="str">
        <f>IFERROR(__xludf.DUMMYFUNCTION("""COMPUTED_VALUE"""),"bshrimplinqm@slashdot.org")</f>
        <v>bshrimplinqm@slashdot.org</v>
      </c>
      <c r="D2959" s="4">
        <f>IFERROR(__xludf.DUMMYFUNCTION("""COMPUTED_VALUE"""),74.0)</f>
        <v>74</v>
      </c>
      <c r="E2959" s="4">
        <f>IFERROR(__xludf.DUMMYFUNCTION("""COMPUTED_VALUE"""),47.0)</f>
        <v>47</v>
      </c>
      <c r="F2959" s="4">
        <f>IFERROR(__xludf.DUMMYFUNCTION("""COMPUTED_VALUE"""),8.0)</f>
        <v>8</v>
      </c>
      <c r="G2959" s="4">
        <f>IFERROR(__xludf.DUMMYFUNCTION("""COMPUTED_VALUE"""),146.0)</f>
        <v>146</v>
      </c>
      <c r="H2959" s="5">
        <f>IFERROR(__xludf.DUMMYFUNCTION("""COMPUTED_VALUE"""),3035.9)</f>
        <v>3035.9</v>
      </c>
      <c r="I2959" s="5">
        <f>IFERROR(__xludf.DUMMYFUNCTION("""COMPUTED_VALUE"""),3564.89)</f>
        <v>3564.89</v>
      </c>
      <c r="J2959" s="5">
        <f>IFERROR(__xludf.DUMMYFUNCTION("""COMPUTED_VALUE"""),9753.94)</f>
        <v>9753.94</v>
      </c>
      <c r="K2959" s="5">
        <f>IFERROR(__xludf.DUMMYFUNCTION("""COMPUTED_VALUE"""),2630.21)</f>
        <v>2630.21</v>
      </c>
      <c r="L2959" s="4">
        <f>IFERROR(__xludf.DUMMYFUNCTION("""COMPUTED_VALUE"""),2.0)</f>
        <v>2</v>
      </c>
      <c r="M2959" s="4">
        <f>IFERROR(__xludf.DUMMYFUNCTION("""COMPUTED_VALUE"""),90.0)</f>
        <v>90</v>
      </c>
      <c r="N2959" s="2" t="b">
        <f>IFERROR(__xludf.DUMMYFUNCTION("""COMPUTED_VALUE"""),FALSE)</f>
        <v>0</v>
      </c>
    </row>
    <row r="2960">
      <c r="A2960" s="2">
        <f>IFERROR(__xludf.DUMMYFUNCTION("""COMPUTED_VALUE"""),2959.0)</f>
        <v>2959</v>
      </c>
      <c r="B2960" s="2" t="str">
        <f>IFERROR(__xludf.DUMMYFUNCTION("""COMPUTED_VALUE"""),"Colin Coade")</f>
        <v>Colin Coade</v>
      </c>
      <c r="C2960" s="2"/>
      <c r="D2960" s="4">
        <f>IFERROR(__xludf.DUMMYFUNCTION("""COMPUTED_VALUE"""),116.0)</f>
        <v>116</v>
      </c>
      <c r="E2960" s="4">
        <f>IFERROR(__xludf.DUMMYFUNCTION("""COMPUTED_VALUE"""),30.0)</f>
        <v>30</v>
      </c>
      <c r="F2960" s="4">
        <f>IFERROR(__xludf.DUMMYFUNCTION("""COMPUTED_VALUE"""),8.0)</f>
        <v>8</v>
      </c>
      <c r="G2960" s="4">
        <f>IFERROR(__xludf.DUMMYFUNCTION("""COMPUTED_VALUE"""),1124.0)</f>
        <v>1124</v>
      </c>
      <c r="H2960" s="5">
        <f>IFERROR(__xludf.DUMMYFUNCTION("""COMPUTED_VALUE"""),9104.94)</f>
        <v>9104.94</v>
      </c>
      <c r="I2960" s="5">
        <f>IFERROR(__xludf.DUMMYFUNCTION("""COMPUTED_VALUE"""),8449.1)</f>
        <v>8449.1</v>
      </c>
      <c r="J2960" s="5">
        <f>IFERROR(__xludf.DUMMYFUNCTION("""COMPUTED_VALUE"""),4412.44)</f>
        <v>4412.44</v>
      </c>
      <c r="K2960" s="5">
        <f>IFERROR(__xludf.DUMMYFUNCTION("""COMPUTED_VALUE"""),8871.87)</f>
        <v>8871.87</v>
      </c>
      <c r="L2960" s="4">
        <f>IFERROR(__xludf.DUMMYFUNCTION("""COMPUTED_VALUE"""),13.0)</f>
        <v>13</v>
      </c>
      <c r="M2960" s="4">
        <f>IFERROR(__xludf.DUMMYFUNCTION("""COMPUTED_VALUE"""),57.0)</f>
        <v>57</v>
      </c>
      <c r="N2960" s="2" t="b">
        <f>IFERROR(__xludf.DUMMYFUNCTION("""COMPUTED_VALUE"""),FALSE)</f>
        <v>0</v>
      </c>
    </row>
    <row r="2961">
      <c r="A2961" s="2">
        <f>IFERROR(__xludf.DUMMYFUNCTION("""COMPUTED_VALUE"""),2960.0)</f>
        <v>2960</v>
      </c>
      <c r="B2961" s="2" t="str">
        <f>IFERROR(__xludf.DUMMYFUNCTION("""COMPUTED_VALUE"""),"Drona Mepsted")</f>
        <v>Drona Mepsted</v>
      </c>
      <c r="C2961" s="2"/>
      <c r="D2961" s="4">
        <f>IFERROR(__xludf.DUMMYFUNCTION("""COMPUTED_VALUE"""),18.0)</f>
        <v>18</v>
      </c>
      <c r="E2961" s="4">
        <f>IFERROR(__xludf.DUMMYFUNCTION("""COMPUTED_VALUE"""),5.0)</f>
        <v>5</v>
      </c>
      <c r="F2961" s="4">
        <f>IFERROR(__xludf.DUMMYFUNCTION("""COMPUTED_VALUE"""),6.0)</f>
        <v>6</v>
      </c>
      <c r="G2961" s="4">
        <f>IFERROR(__xludf.DUMMYFUNCTION("""COMPUTED_VALUE"""),454.0)</f>
        <v>454</v>
      </c>
      <c r="H2961" s="5">
        <f>IFERROR(__xludf.DUMMYFUNCTION("""COMPUTED_VALUE"""),9901.49)</f>
        <v>9901.49</v>
      </c>
      <c r="I2961" s="5">
        <f>IFERROR(__xludf.DUMMYFUNCTION("""COMPUTED_VALUE"""),3439.51)</f>
        <v>3439.51</v>
      </c>
      <c r="J2961" s="5">
        <f>IFERROR(__xludf.DUMMYFUNCTION("""COMPUTED_VALUE"""),5116.15)</f>
        <v>5116.15</v>
      </c>
      <c r="K2961" s="5">
        <f>IFERROR(__xludf.DUMMYFUNCTION("""COMPUTED_VALUE"""),2830.45)</f>
        <v>2830.45</v>
      </c>
      <c r="L2961" s="4">
        <f>IFERROR(__xludf.DUMMYFUNCTION("""COMPUTED_VALUE"""),11.0)</f>
        <v>11</v>
      </c>
      <c r="M2961" s="4">
        <f>IFERROR(__xludf.DUMMYFUNCTION("""COMPUTED_VALUE"""),21.0)</f>
        <v>21</v>
      </c>
      <c r="N2961" s="2" t="b">
        <f>IFERROR(__xludf.DUMMYFUNCTION("""COMPUTED_VALUE"""),FALSE)</f>
        <v>0</v>
      </c>
    </row>
    <row r="2962">
      <c r="A2962" s="2">
        <f>IFERROR(__xludf.DUMMYFUNCTION("""COMPUTED_VALUE"""),2961.0)</f>
        <v>2961</v>
      </c>
      <c r="B2962" s="2" t="str">
        <f>IFERROR(__xludf.DUMMYFUNCTION("""COMPUTED_VALUE"""),"Sherlock Romero")</f>
        <v>Sherlock Romero</v>
      </c>
      <c r="C2962" s="2" t="str">
        <f>IFERROR(__xludf.DUMMYFUNCTION("""COMPUTED_VALUE"""),"sromeroqp@umich.edu")</f>
        <v>sromeroqp@umich.edu</v>
      </c>
      <c r="D2962" s="4">
        <f>IFERROR(__xludf.DUMMYFUNCTION("""COMPUTED_VALUE"""),100.0)</f>
        <v>100</v>
      </c>
      <c r="E2962" s="4">
        <f>IFERROR(__xludf.DUMMYFUNCTION("""COMPUTED_VALUE"""),58.0)</f>
        <v>58</v>
      </c>
      <c r="F2962" s="4">
        <f>IFERROR(__xludf.DUMMYFUNCTION("""COMPUTED_VALUE"""),9.0)</f>
        <v>9</v>
      </c>
      <c r="G2962" s="4">
        <f>IFERROR(__xludf.DUMMYFUNCTION("""COMPUTED_VALUE"""),1234.0)</f>
        <v>1234</v>
      </c>
      <c r="H2962" s="5">
        <f>IFERROR(__xludf.DUMMYFUNCTION("""COMPUTED_VALUE"""),7924.11)</f>
        <v>7924.11</v>
      </c>
      <c r="I2962" s="5">
        <f>IFERROR(__xludf.DUMMYFUNCTION("""COMPUTED_VALUE"""),3348.07)</f>
        <v>3348.07</v>
      </c>
      <c r="J2962" s="5">
        <f>IFERROR(__xludf.DUMMYFUNCTION("""COMPUTED_VALUE"""),2040.51)</f>
        <v>2040.51</v>
      </c>
      <c r="K2962" s="5">
        <f>IFERROR(__xludf.DUMMYFUNCTION("""COMPUTED_VALUE"""),6750.37)</f>
        <v>6750.37</v>
      </c>
      <c r="L2962" s="4">
        <f>IFERROR(__xludf.DUMMYFUNCTION("""COMPUTED_VALUE"""),16.0)</f>
        <v>16</v>
      </c>
      <c r="M2962" s="4">
        <f>IFERROR(__xludf.DUMMYFUNCTION("""COMPUTED_VALUE"""),30.0)</f>
        <v>30</v>
      </c>
      <c r="N2962" s="2" t="b">
        <f>IFERROR(__xludf.DUMMYFUNCTION("""COMPUTED_VALUE"""),FALSE)</f>
        <v>0</v>
      </c>
    </row>
    <row r="2963">
      <c r="A2963" s="2">
        <f>IFERROR(__xludf.DUMMYFUNCTION("""COMPUTED_VALUE"""),2962.0)</f>
        <v>2962</v>
      </c>
      <c r="B2963" s="2" t="str">
        <f>IFERROR(__xludf.DUMMYFUNCTION("""COMPUTED_VALUE"""),"Earlie Reynault")</f>
        <v>Earlie Reynault</v>
      </c>
      <c r="C2963" s="2"/>
      <c r="D2963" s="4">
        <f>IFERROR(__xludf.DUMMYFUNCTION("""COMPUTED_VALUE"""),131.0)</f>
        <v>131</v>
      </c>
      <c r="E2963" s="4">
        <f>IFERROR(__xludf.DUMMYFUNCTION("""COMPUTED_VALUE"""),12.0)</f>
        <v>12</v>
      </c>
      <c r="F2963" s="4">
        <f>IFERROR(__xludf.DUMMYFUNCTION("""COMPUTED_VALUE"""),9.0)</f>
        <v>9</v>
      </c>
      <c r="G2963" s="4">
        <f>IFERROR(__xludf.DUMMYFUNCTION("""COMPUTED_VALUE"""),440.0)</f>
        <v>440</v>
      </c>
      <c r="H2963" s="5">
        <f>IFERROR(__xludf.DUMMYFUNCTION("""COMPUTED_VALUE"""),3076.85)</f>
        <v>3076.85</v>
      </c>
      <c r="I2963" s="5">
        <f>IFERROR(__xludf.DUMMYFUNCTION("""COMPUTED_VALUE"""),6432.44)</f>
        <v>6432.44</v>
      </c>
      <c r="J2963" s="5">
        <f>IFERROR(__xludf.DUMMYFUNCTION("""COMPUTED_VALUE"""),7665.76)</f>
        <v>7665.76</v>
      </c>
      <c r="K2963" s="5">
        <f>IFERROR(__xludf.DUMMYFUNCTION("""COMPUTED_VALUE"""),8774.67)</f>
        <v>8774.67</v>
      </c>
      <c r="L2963" s="4">
        <f>IFERROR(__xludf.DUMMYFUNCTION("""COMPUTED_VALUE"""),10.0)</f>
        <v>10</v>
      </c>
      <c r="M2963" s="4">
        <f>IFERROR(__xludf.DUMMYFUNCTION("""COMPUTED_VALUE"""),72.0)</f>
        <v>72</v>
      </c>
      <c r="N2963" s="2" t="b">
        <f>IFERROR(__xludf.DUMMYFUNCTION("""COMPUTED_VALUE"""),TRUE)</f>
        <v>1</v>
      </c>
    </row>
    <row r="2964">
      <c r="A2964" s="2">
        <f>IFERROR(__xludf.DUMMYFUNCTION("""COMPUTED_VALUE"""),2963.0)</f>
        <v>2963</v>
      </c>
      <c r="B2964" s="2" t="str">
        <f>IFERROR(__xludf.DUMMYFUNCTION("""COMPUTED_VALUE"""),"Morey Meates")</f>
        <v>Morey Meates</v>
      </c>
      <c r="C2964" s="2" t="str">
        <f>IFERROR(__xludf.DUMMYFUNCTION("""COMPUTED_VALUE"""),"mmeatesqr@youku.com")</f>
        <v>mmeatesqr@youku.com</v>
      </c>
      <c r="D2964" s="4">
        <f>IFERROR(__xludf.DUMMYFUNCTION("""COMPUTED_VALUE"""),73.0)</f>
        <v>73</v>
      </c>
      <c r="E2964" s="4">
        <f>IFERROR(__xludf.DUMMYFUNCTION("""COMPUTED_VALUE"""),125.0)</f>
        <v>125</v>
      </c>
      <c r="F2964" s="4">
        <f>IFERROR(__xludf.DUMMYFUNCTION("""COMPUTED_VALUE"""),11.0)</f>
        <v>11</v>
      </c>
      <c r="G2964" s="4">
        <f>IFERROR(__xludf.DUMMYFUNCTION("""COMPUTED_VALUE"""),800.0)</f>
        <v>800</v>
      </c>
      <c r="H2964" s="5">
        <f>IFERROR(__xludf.DUMMYFUNCTION("""COMPUTED_VALUE"""),2595.84)</f>
        <v>2595.84</v>
      </c>
      <c r="I2964" s="5">
        <f>IFERROR(__xludf.DUMMYFUNCTION("""COMPUTED_VALUE"""),7346.68)</f>
        <v>7346.68</v>
      </c>
      <c r="J2964" s="5">
        <f>IFERROR(__xludf.DUMMYFUNCTION("""COMPUTED_VALUE"""),2311.91)</f>
        <v>2311.91</v>
      </c>
      <c r="K2964" s="5">
        <f>IFERROR(__xludf.DUMMYFUNCTION("""COMPUTED_VALUE"""),3895.96)</f>
        <v>3895.96</v>
      </c>
      <c r="L2964" s="4">
        <f>IFERROR(__xludf.DUMMYFUNCTION("""COMPUTED_VALUE"""),10.0)</f>
        <v>10</v>
      </c>
      <c r="M2964" s="4">
        <f>IFERROR(__xludf.DUMMYFUNCTION("""COMPUTED_VALUE"""),48.0)</f>
        <v>48</v>
      </c>
      <c r="N2964" s="2" t="b">
        <f>IFERROR(__xludf.DUMMYFUNCTION("""COMPUTED_VALUE"""),TRUE)</f>
        <v>1</v>
      </c>
    </row>
    <row r="2965">
      <c r="A2965" s="2">
        <f>IFERROR(__xludf.DUMMYFUNCTION("""COMPUTED_VALUE"""),2964.0)</f>
        <v>2964</v>
      </c>
      <c r="B2965" s="2" t="str">
        <f>IFERROR(__xludf.DUMMYFUNCTION("""COMPUTED_VALUE"""),"Esteban Bamsey")</f>
        <v>Esteban Bamsey</v>
      </c>
      <c r="C2965" s="2" t="str">
        <f>IFERROR(__xludf.DUMMYFUNCTION("""COMPUTED_VALUE"""),"ebamseyqs@liveinternet.ru")</f>
        <v>ebamseyqs@liveinternet.ru</v>
      </c>
      <c r="D2965" s="4">
        <f>IFERROR(__xludf.DUMMYFUNCTION("""COMPUTED_VALUE"""),47.0)</f>
        <v>47</v>
      </c>
      <c r="E2965" s="4">
        <f>IFERROR(__xludf.DUMMYFUNCTION("""COMPUTED_VALUE"""),109.0)</f>
        <v>109</v>
      </c>
      <c r="F2965" s="4">
        <f>IFERROR(__xludf.DUMMYFUNCTION("""COMPUTED_VALUE"""),12.0)</f>
        <v>12</v>
      </c>
      <c r="G2965" s="4">
        <f>IFERROR(__xludf.DUMMYFUNCTION("""COMPUTED_VALUE"""),1272.0)</f>
        <v>1272</v>
      </c>
      <c r="H2965" s="5">
        <f>IFERROR(__xludf.DUMMYFUNCTION("""COMPUTED_VALUE"""),8033.31)</f>
        <v>8033.31</v>
      </c>
      <c r="I2965" s="5">
        <f>IFERROR(__xludf.DUMMYFUNCTION("""COMPUTED_VALUE"""),465.94)</f>
        <v>465.94</v>
      </c>
      <c r="J2965" s="5">
        <f>IFERROR(__xludf.DUMMYFUNCTION("""COMPUTED_VALUE"""),4612.6)</f>
        <v>4612.6</v>
      </c>
      <c r="K2965" s="5">
        <f>IFERROR(__xludf.DUMMYFUNCTION("""COMPUTED_VALUE"""),2177.03)</f>
        <v>2177.03</v>
      </c>
      <c r="L2965" s="4">
        <f>IFERROR(__xludf.DUMMYFUNCTION("""COMPUTED_VALUE"""),7.0)</f>
        <v>7</v>
      </c>
      <c r="M2965" s="4">
        <f>IFERROR(__xludf.DUMMYFUNCTION("""COMPUTED_VALUE"""),34.0)</f>
        <v>34</v>
      </c>
      <c r="N2965" s="2" t="b">
        <f>IFERROR(__xludf.DUMMYFUNCTION("""COMPUTED_VALUE"""),TRUE)</f>
        <v>1</v>
      </c>
    </row>
    <row r="2966">
      <c r="A2966" s="2">
        <f>IFERROR(__xludf.DUMMYFUNCTION("""COMPUTED_VALUE"""),2965.0)</f>
        <v>2965</v>
      </c>
      <c r="B2966" s="2" t="str">
        <f>IFERROR(__xludf.DUMMYFUNCTION("""COMPUTED_VALUE"""),"Alleyn De Winton")</f>
        <v>Alleyn De Winton</v>
      </c>
      <c r="C2966" s="2" t="str">
        <f>IFERROR(__xludf.DUMMYFUNCTION("""COMPUTED_VALUE"""),"adeqt@goo.ne.jp")</f>
        <v>adeqt@goo.ne.jp</v>
      </c>
      <c r="D2966" s="4">
        <f>IFERROR(__xludf.DUMMYFUNCTION("""COMPUTED_VALUE"""),74.0)</f>
        <v>74</v>
      </c>
      <c r="E2966" s="4">
        <f>IFERROR(__xludf.DUMMYFUNCTION("""COMPUTED_VALUE"""),117.0)</f>
        <v>117</v>
      </c>
      <c r="F2966" s="4">
        <f>IFERROR(__xludf.DUMMYFUNCTION("""COMPUTED_VALUE"""),2.0)</f>
        <v>2</v>
      </c>
      <c r="G2966" s="4">
        <f>IFERROR(__xludf.DUMMYFUNCTION("""COMPUTED_VALUE"""),1180.0)</f>
        <v>1180</v>
      </c>
      <c r="H2966" s="5">
        <f>IFERROR(__xludf.DUMMYFUNCTION("""COMPUTED_VALUE"""),481.35)</f>
        <v>481.35</v>
      </c>
      <c r="I2966" s="5">
        <f>IFERROR(__xludf.DUMMYFUNCTION("""COMPUTED_VALUE"""),8841.43)</f>
        <v>8841.43</v>
      </c>
      <c r="J2966" s="5">
        <f>IFERROR(__xludf.DUMMYFUNCTION("""COMPUTED_VALUE"""),1078.51)</f>
        <v>1078.51</v>
      </c>
      <c r="K2966" s="5">
        <f>IFERROR(__xludf.DUMMYFUNCTION("""COMPUTED_VALUE"""),6268.8)</f>
        <v>6268.8</v>
      </c>
      <c r="L2966" s="4">
        <f>IFERROR(__xludf.DUMMYFUNCTION("""COMPUTED_VALUE"""),16.0)</f>
        <v>16</v>
      </c>
      <c r="M2966" s="4">
        <f>IFERROR(__xludf.DUMMYFUNCTION("""COMPUTED_VALUE"""),100.0)</f>
        <v>100</v>
      </c>
      <c r="N2966" s="2" t="b">
        <f>IFERROR(__xludf.DUMMYFUNCTION("""COMPUTED_VALUE"""),FALSE)</f>
        <v>0</v>
      </c>
    </row>
    <row r="2967">
      <c r="A2967" s="2">
        <f>IFERROR(__xludf.DUMMYFUNCTION("""COMPUTED_VALUE"""),2966.0)</f>
        <v>2966</v>
      </c>
      <c r="B2967" s="2" t="str">
        <f>IFERROR(__xludf.DUMMYFUNCTION("""COMPUTED_VALUE"""),"Siusan Childes")</f>
        <v>Siusan Childes</v>
      </c>
      <c r="C2967" s="2"/>
      <c r="D2967" s="4">
        <f>IFERROR(__xludf.DUMMYFUNCTION("""COMPUTED_VALUE"""),101.0)</f>
        <v>101</v>
      </c>
      <c r="E2967" s="4">
        <f>IFERROR(__xludf.DUMMYFUNCTION("""COMPUTED_VALUE"""),51.0)</f>
        <v>51</v>
      </c>
      <c r="F2967" s="4">
        <f>IFERROR(__xludf.DUMMYFUNCTION("""COMPUTED_VALUE"""),1.0)</f>
        <v>1</v>
      </c>
      <c r="G2967" s="4">
        <f>IFERROR(__xludf.DUMMYFUNCTION("""COMPUTED_VALUE"""),1537.0)</f>
        <v>1537</v>
      </c>
      <c r="H2967" s="5">
        <f>IFERROR(__xludf.DUMMYFUNCTION("""COMPUTED_VALUE"""),9644.21)</f>
        <v>9644.21</v>
      </c>
      <c r="I2967" s="5">
        <f>IFERROR(__xludf.DUMMYFUNCTION("""COMPUTED_VALUE"""),4196.24)</f>
        <v>4196.24</v>
      </c>
      <c r="J2967" s="5">
        <f>IFERROR(__xludf.DUMMYFUNCTION("""COMPUTED_VALUE"""),8811.67)</f>
        <v>8811.67</v>
      </c>
      <c r="K2967" s="5">
        <f>IFERROR(__xludf.DUMMYFUNCTION("""COMPUTED_VALUE"""),3330.41)</f>
        <v>3330.41</v>
      </c>
      <c r="L2967" s="4">
        <f>IFERROR(__xludf.DUMMYFUNCTION("""COMPUTED_VALUE"""),2.0)</f>
        <v>2</v>
      </c>
      <c r="M2967" s="4">
        <f>IFERROR(__xludf.DUMMYFUNCTION("""COMPUTED_VALUE"""),48.0)</f>
        <v>48</v>
      </c>
      <c r="N2967" s="2" t="b">
        <f>IFERROR(__xludf.DUMMYFUNCTION("""COMPUTED_VALUE"""),FALSE)</f>
        <v>0</v>
      </c>
    </row>
    <row r="2968">
      <c r="A2968" s="2">
        <f>IFERROR(__xludf.DUMMYFUNCTION("""COMPUTED_VALUE"""),2967.0)</f>
        <v>2967</v>
      </c>
      <c r="B2968" s="2" t="str">
        <f>IFERROR(__xludf.DUMMYFUNCTION("""COMPUTED_VALUE"""),"Moreen Gillet")</f>
        <v>Moreen Gillet</v>
      </c>
      <c r="C2968" s="2" t="str">
        <f>IFERROR(__xludf.DUMMYFUNCTION("""COMPUTED_VALUE"""),"mgilletqv@theguardian.com")</f>
        <v>mgilletqv@theguardian.com</v>
      </c>
      <c r="D2968" s="4">
        <f>IFERROR(__xludf.DUMMYFUNCTION("""COMPUTED_VALUE"""),160.0)</f>
        <v>160</v>
      </c>
      <c r="E2968" s="4">
        <f>IFERROR(__xludf.DUMMYFUNCTION("""COMPUTED_VALUE"""),14.0)</f>
        <v>14</v>
      </c>
      <c r="F2968" s="4">
        <f>IFERROR(__xludf.DUMMYFUNCTION("""COMPUTED_VALUE"""),3.0)</f>
        <v>3</v>
      </c>
      <c r="G2968" s="4">
        <f>IFERROR(__xludf.DUMMYFUNCTION("""COMPUTED_VALUE"""),1271.0)</f>
        <v>1271</v>
      </c>
      <c r="H2968" s="5">
        <f>IFERROR(__xludf.DUMMYFUNCTION("""COMPUTED_VALUE"""),2057.38)</f>
        <v>2057.38</v>
      </c>
      <c r="I2968" s="5">
        <f>IFERROR(__xludf.DUMMYFUNCTION("""COMPUTED_VALUE"""),2456.6)</f>
        <v>2456.6</v>
      </c>
      <c r="J2968" s="5">
        <f>IFERROR(__xludf.DUMMYFUNCTION("""COMPUTED_VALUE"""),7863.38)</f>
        <v>7863.38</v>
      </c>
      <c r="K2968" s="5">
        <f>IFERROR(__xludf.DUMMYFUNCTION("""COMPUTED_VALUE"""),8116.59)</f>
        <v>8116.59</v>
      </c>
      <c r="L2968" s="4">
        <f>IFERROR(__xludf.DUMMYFUNCTION("""COMPUTED_VALUE"""),9.0)</f>
        <v>9</v>
      </c>
      <c r="M2968" s="4">
        <f>IFERROR(__xludf.DUMMYFUNCTION("""COMPUTED_VALUE"""),81.0)</f>
        <v>81</v>
      </c>
      <c r="N2968" s="2" t="b">
        <f>IFERROR(__xludf.DUMMYFUNCTION("""COMPUTED_VALUE"""),FALSE)</f>
        <v>0</v>
      </c>
    </row>
    <row r="2969">
      <c r="A2969" s="2">
        <f>IFERROR(__xludf.DUMMYFUNCTION("""COMPUTED_VALUE"""),2968.0)</f>
        <v>2968</v>
      </c>
      <c r="B2969" s="2" t="str">
        <f>IFERROR(__xludf.DUMMYFUNCTION("""COMPUTED_VALUE"""),"Hendrick Boston")</f>
        <v>Hendrick Boston</v>
      </c>
      <c r="C2969" s="2"/>
      <c r="D2969" s="4">
        <f>IFERROR(__xludf.DUMMYFUNCTION("""COMPUTED_VALUE"""),138.0)</f>
        <v>138</v>
      </c>
      <c r="E2969" s="4">
        <f>IFERROR(__xludf.DUMMYFUNCTION("""COMPUTED_VALUE"""),12.0)</f>
        <v>12</v>
      </c>
      <c r="F2969" s="4">
        <f>IFERROR(__xludf.DUMMYFUNCTION("""COMPUTED_VALUE"""),7.0)</f>
        <v>7</v>
      </c>
      <c r="G2969" s="4">
        <f>IFERROR(__xludf.DUMMYFUNCTION("""COMPUTED_VALUE"""),457.0)</f>
        <v>457</v>
      </c>
      <c r="H2969" s="5">
        <f>IFERROR(__xludf.DUMMYFUNCTION("""COMPUTED_VALUE"""),89.95)</f>
        <v>89.95</v>
      </c>
      <c r="I2969" s="5">
        <f>IFERROR(__xludf.DUMMYFUNCTION("""COMPUTED_VALUE"""),5115.08)</f>
        <v>5115.08</v>
      </c>
      <c r="J2969" s="5">
        <f>IFERROR(__xludf.DUMMYFUNCTION("""COMPUTED_VALUE"""),5742.6)</f>
        <v>5742.6</v>
      </c>
      <c r="K2969" s="5">
        <f>IFERROR(__xludf.DUMMYFUNCTION("""COMPUTED_VALUE"""),7735.19)</f>
        <v>7735.19</v>
      </c>
      <c r="L2969" s="4">
        <f>IFERROR(__xludf.DUMMYFUNCTION("""COMPUTED_VALUE"""),12.0)</f>
        <v>12</v>
      </c>
      <c r="M2969" s="4">
        <f>IFERROR(__xludf.DUMMYFUNCTION("""COMPUTED_VALUE"""),65.0)</f>
        <v>65</v>
      </c>
      <c r="N2969" s="2" t="b">
        <f>IFERROR(__xludf.DUMMYFUNCTION("""COMPUTED_VALUE"""),TRUE)</f>
        <v>1</v>
      </c>
    </row>
    <row r="2970">
      <c r="A2970" s="2">
        <f>IFERROR(__xludf.DUMMYFUNCTION("""COMPUTED_VALUE"""),2969.0)</f>
        <v>2969</v>
      </c>
      <c r="B2970" s="2" t="str">
        <f>IFERROR(__xludf.DUMMYFUNCTION("""COMPUTED_VALUE"""),"Tawnya Dunton")</f>
        <v>Tawnya Dunton</v>
      </c>
      <c r="C2970" s="2"/>
      <c r="D2970" s="4">
        <f>IFERROR(__xludf.DUMMYFUNCTION("""COMPUTED_VALUE"""),13.0)</f>
        <v>13</v>
      </c>
      <c r="E2970" s="4">
        <f>IFERROR(__xludf.DUMMYFUNCTION("""COMPUTED_VALUE"""),44.0)</f>
        <v>44</v>
      </c>
      <c r="F2970" s="4">
        <f>IFERROR(__xludf.DUMMYFUNCTION("""COMPUTED_VALUE"""),12.0)</f>
        <v>12</v>
      </c>
      <c r="G2970" s="4">
        <f>IFERROR(__xludf.DUMMYFUNCTION("""COMPUTED_VALUE"""),879.0)</f>
        <v>879</v>
      </c>
      <c r="H2970" s="5">
        <f>IFERROR(__xludf.DUMMYFUNCTION("""COMPUTED_VALUE"""),4799.52)</f>
        <v>4799.52</v>
      </c>
      <c r="I2970" s="5">
        <f>IFERROR(__xludf.DUMMYFUNCTION("""COMPUTED_VALUE"""),39.66)</f>
        <v>39.66</v>
      </c>
      <c r="J2970" s="5">
        <f>IFERROR(__xludf.DUMMYFUNCTION("""COMPUTED_VALUE"""),5844.3)</f>
        <v>5844.3</v>
      </c>
      <c r="K2970" s="5">
        <f>IFERROR(__xludf.DUMMYFUNCTION("""COMPUTED_VALUE"""),7424.71)</f>
        <v>7424.71</v>
      </c>
      <c r="L2970" s="4">
        <f>IFERROR(__xludf.DUMMYFUNCTION("""COMPUTED_VALUE"""),4.0)</f>
        <v>4</v>
      </c>
      <c r="M2970" s="4">
        <f>IFERROR(__xludf.DUMMYFUNCTION("""COMPUTED_VALUE"""),84.0)</f>
        <v>84</v>
      </c>
      <c r="N2970" s="2" t="b">
        <f>IFERROR(__xludf.DUMMYFUNCTION("""COMPUTED_VALUE"""),FALSE)</f>
        <v>0</v>
      </c>
    </row>
    <row r="2971">
      <c r="A2971" s="2">
        <f>IFERROR(__xludf.DUMMYFUNCTION("""COMPUTED_VALUE"""),2970.0)</f>
        <v>2970</v>
      </c>
      <c r="B2971" s="2" t="str">
        <f>IFERROR(__xludf.DUMMYFUNCTION("""COMPUTED_VALUE"""),"Alexandr Rigard")</f>
        <v>Alexandr Rigard</v>
      </c>
      <c r="C2971" s="2"/>
      <c r="D2971" s="4">
        <f>IFERROR(__xludf.DUMMYFUNCTION("""COMPUTED_VALUE"""),22.0)</f>
        <v>22</v>
      </c>
      <c r="E2971" s="4">
        <f>IFERROR(__xludf.DUMMYFUNCTION("""COMPUTED_VALUE"""),79.0)</f>
        <v>79</v>
      </c>
      <c r="F2971" s="4">
        <f>IFERROR(__xludf.DUMMYFUNCTION("""COMPUTED_VALUE"""),9.0)</f>
        <v>9</v>
      </c>
      <c r="G2971" s="4">
        <f>IFERROR(__xludf.DUMMYFUNCTION("""COMPUTED_VALUE"""),91.0)</f>
        <v>91</v>
      </c>
      <c r="H2971" s="5">
        <f>IFERROR(__xludf.DUMMYFUNCTION("""COMPUTED_VALUE"""),1848.71)</f>
        <v>1848.71</v>
      </c>
      <c r="I2971" s="5">
        <f>IFERROR(__xludf.DUMMYFUNCTION("""COMPUTED_VALUE"""),4033.02)</f>
        <v>4033.02</v>
      </c>
      <c r="J2971" s="5">
        <f>IFERROR(__xludf.DUMMYFUNCTION("""COMPUTED_VALUE"""),687.02)</f>
        <v>687.02</v>
      </c>
      <c r="K2971" s="5">
        <f>IFERROR(__xludf.DUMMYFUNCTION("""COMPUTED_VALUE"""),8284.36)</f>
        <v>8284.36</v>
      </c>
      <c r="L2971" s="4">
        <f>IFERROR(__xludf.DUMMYFUNCTION("""COMPUTED_VALUE"""),3.0)</f>
        <v>3</v>
      </c>
      <c r="M2971" s="4">
        <f>IFERROR(__xludf.DUMMYFUNCTION("""COMPUTED_VALUE"""),68.0)</f>
        <v>68</v>
      </c>
      <c r="N2971" s="2" t="b">
        <f>IFERROR(__xludf.DUMMYFUNCTION("""COMPUTED_VALUE"""),FALSE)</f>
        <v>0</v>
      </c>
    </row>
    <row r="2972">
      <c r="A2972" s="2">
        <f>IFERROR(__xludf.DUMMYFUNCTION("""COMPUTED_VALUE"""),2971.0)</f>
        <v>2971</v>
      </c>
      <c r="B2972" s="2" t="str">
        <f>IFERROR(__xludf.DUMMYFUNCTION("""COMPUTED_VALUE"""),"Vera Kirrage")</f>
        <v>Vera Kirrage</v>
      </c>
      <c r="C2972" s="2" t="str">
        <f>IFERROR(__xludf.DUMMYFUNCTION("""COMPUTED_VALUE"""),"vkirrageqz@reverbnation.com")</f>
        <v>vkirrageqz@reverbnation.com</v>
      </c>
      <c r="D2972" s="4">
        <f>IFERROR(__xludf.DUMMYFUNCTION("""COMPUTED_VALUE"""),36.0)</f>
        <v>36</v>
      </c>
      <c r="E2972" s="4">
        <f>IFERROR(__xludf.DUMMYFUNCTION("""COMPUTED_VALUE"""),87.0)</f>
        <v>87</v>
      </c>
      <c r="F2972" s="4">
        <f>IFERROR(__xludf.DUMMYFUNCTION("""COMPUTED_VALUE"""),3.0)</f>
        <v>3</v>
      </c>
      <c r="G2972" s="4">
        <f>IFERROR(__xludf.DUMMYFUNCTION("""COMPUTED_VALUE"""),128.0)</f>
        <v>128</v>
      </c>
      <c r="H2972" s="5">
        <f>IFERROR(__xludf.DUMMYFUNCTION("""COMPUTED_VALUE"""),9358.8)</f>
        <v>9358.8</v>
      </c>
      <c r="I2972" s="5">
        <f>IFERROR(__xludf.DUMMYFUNCTION("""COMPUTED_VALUE"""),4234.64)</f>
        <v>4234.64</v>
      </c>
      <c r="J2972" s="5">
        <f>IFERROR(__xludf.DUMMYFUNCTION("""COMPUTED_VALUE"""),4404.13)</f>
        <v>4404.13</v>
      </c>
      <c r="K2972" s="5">
        <f>IFERROR(__xludf.DUMMYFUNCTION("""COMPUTED_VALUE"""),408.79)</f>
        <v>408.79</v>
      </c>
      <c r="L2972" s="4">
        <f>IFERROR(__xludf.DUMMYFUNCTION("""COMPUTED_VALUE"""),14.0)</f>
        <v>14</v>
      </c>
      <c r="M2972" s="4">
        <f>IFERROR(__xludf.DUMMYFUNCTION("""COMPUTED_VALUE"""),95.0)</f>
        <v>95</v>
      </c>
      <c r="N2972" s="2" t="b">
        <f>IFERROR(__xludf.DUMMYFUNCTION("""COMPUTED_VALUE"""),FALSE)</f>
        <v>0</v>
      </c>
    </row>
    <row r="2973">
      <c r="A2973" s="2">
        <f>IFERROR(__xludf.DUMMYFUNCTION("""COMPUTED_VALUE"""),2972.0)</f>
        <v>2972</v>
      </c>
      <c r="B2973" s="2" t="str">
        <f>IFERROR(__xludf.DUMMYFUNCTION("""COMPUTED_VALUE"""),"Mel Brennenstuhl")</f>
        <v>Mel Brennenstuhl</v>
      </c>
      <c r="C2973" s="2"/>
      <c r="D2973" s="4">
        <f>IFERROR(__xludf.DUMMYFUNCTION("""COMPUTED_VALUE"""),33.0)</f>
        <v>33</v>
      </c>
      <c r="E2973" s="4">
        <f>IFERROR(__xludf.DUMMYFUNCTION("""COMPUTED_VALUE"""),66.0)</f>
        <v>66</v>
      </c>
      <c r="F2973" s="4">
        <f>IFERROR(__xludf.DUMMYFUNCTION("""COMPUTED_VALUE"""),11.0)</f>
        <v>11</v>
      </c>
      <c r="G2973" s="4">
        <f>IFERROR(__xludf.DUMMYFUNCTION("""COMPUTED_VALUE"""),231.0)</f>
        <v>231</v>
      </c>
      <c r="H2973" s="5">
        <f>IFERROR(__xludf.DUMMYFUNCTION("""COMPUTED_VALUE"""),653.25)</f>
        <v>653.25</v>
      </c>
      <c r="I2973" s="5">
        <f>IFERROR(__xludf.DUMMYFUNCTION("""COMPUTED_VALUE"""),8007.6)</f>
        <v>8007.6</v>
      </c>
      <c r="J2973" s="5">
        <f>IFERROR(__xludf.DUMMYFUNCTION("""COMPUTED_VALUE"""),7678.92)</f>
        <v>7678.92</v>
      </c>
      <c r="K2973" s="5">
        <f>IFERROR(__xludf.DUMMYFUNCTION("""COMPUTED_VALUE"""),5165.49)</f>
        <v>5165.49</v>
      </c>
      <c r="L2973" s="4">
        <f>IFERROR(__xludf.DUMMYFUNCTION("""COMPUTED_VALUE"""),2.0)</f>
        <v>2</v>
      </c>
      <c r="M2973" s="4">
        <f>IFERROR(__xludf.DUMMYFUNCTION("""COMPUTED_VALUE"""),59.0)</f>
        <v>59</v>
      </c>
      <c r="N2973" s="2" t="b">
        <f>IFERROR(__xludf.DUMMYFUNCTION("""COMPUTED_VALUE"""),FALSE)</f>
        <v>0</v>
      </c>
    </row>
    <row r="2974">
      <c r="A2974" s="2">
        <f>IFERROR(__xludf.DUMMYFUNCTION("""COMPUTED_VALUE"""),2973.0)</f>
        <v>2973</v>
      </c>
      <c r="B2974" s="2" t="str">
        <f>IFERROR(__xludf.DUMMYFUNCTION("""COMPUTED_VALUE"""),"Charyl Drewry")</f>
        <v>Charyl Drewry</v>
      </c>
      <c r="C2974" s="2"/>
      <c r="D2974" s="4">
        <f>IFERROR(__xludf.DUMMYFUNCTION("""COMPUTED_VALUE"""),73.0)</f>
        <v>73</v>
      </c>
      <c r="E2974" s="4">
        <f>IFERROR(__xludf.DUMMYFUNCTION("""COMPUTED_VALUE"""),10.0)</f>
        <v>10</v>
      </c>
      <c r="F2974" s="4">
        <f>IFERROR(__xludf.DUMMYFUNCTION("""COMPUTED_VALUE"""),1.0)</f>
        <v>1</v>
      </c>
      <c r="G2974" s="4">
        <f>IFERROR(__xludf.DUMMYFUNCTION("""COMPUTED_VALUE"""),1453.0)</f>
        <v>1453</v>
      </c>
      <c r="H2974" s="5">
        <f>IFERROR(__xludf.DUMMYFUNCTION("""COMPUTED_VALUE"""),4385.26)</f>
        <v>4385.26</v>
      </c>
      <c r="I2974" s="5">
        <f>IFERROR(__xludf.DUMMYFUNCTION("""COMPUTED_VALUE"""),4887.08)</f>
        <v>4887.08</v>
      </c>
      <c r="J2974" s="5">
        <f>IFERROR(__xludf.DUMMYFUNCTION("""COMPUTED_VALUE"""),6364.98)</f>
        <v>6364.98</v>
      </c>
      <c r="K2974" s="5">
        <f>IFERROR(__xludf.DUMMYFUNCTION("""COMPUTED_VALUE"""),2364.87)</f>
        <v>2364.87</v>
      </c>
      <c r="L2974" s="4">
        <f>IFERROR(__xludf.DUMMYFUNCTION("""COMPUTED_VALUE"""),6.0)</f>
        <v>6</v>
      </c>
      <c r="M2974" s="4">
        <f>IFERROR(__xludf.DUMMYFUNCTION("""COMPUTED_VALUE"""),52.0)</f>
        <v>52</v>
      </c>
      <c r="N2974" s="2" t="b">
        <f>IFERROR(__xludf.DUMMYFUNCTION("""COMPUTED_VALUE"""),TRUE)</f>
        <v>1</v>
      </c>
    </row>
    <row r="2975">
      <c r="A2975" s="2">
        <f>IFERROR(__xludf.DUMMYFUNCTION("""COMPUTED_VALUE"""),2974.0)</f>
        <v>2974</v>
      </c>
      <c r="B2975" s="2" t="str">
        <f>IFERROR(__xludf.DUMMYFUNCTION("""COMPUTED_VALUE"""),"Sonnie Sevin")</f>
        <v>Sonnie Sevin</v>
      </c>
      <c r="C2975" s="2"/>
      <c r="D2975" s="4">
        <f>IFERROR(__xludf.DUMMYFUNCTION("""COMPUTED_VALUE"""),84.0)</f>
        <v>84</v>
      </c>
      <c r="E2975" s="4">
        <f>IFERROR(__xludf.DUMMYFUNCTION("""COMPUTED_VALUE"""),78.0)</f>
        <v>78</v>
      </c>
      <c r="F2975" s="4">
        <f>IFERROR(__xludf.DUMMYFUNCTION("""COMPUTED_VALUE"""),4.0)</f>
        <v>4</v>
      </c>
      <c r="G2975" s="4">
        <f>IFERROR(__xludf.DUMMYFUNCTION("""COMPUTED_VALUE"""),858.0)</f>
        <v>858</v>
      </c>
      <c r="H2975" s="5">
        <f>IFERROR(__xludf.DUMMYFUNCTION("""COMPUTED_VALUE"""),2172.24)</f>
        <v>2172.24</v>
      </c>
      <c r="I2975" s="5">
        <f>IFERROR(__xludf.DUMMYFUNCTION("""COMPUTED_VALUE"""),4847.45)</f>
        <v>4847.45</v>
      </c>
      <c r="J2975" s="5">
        <f>IFERROR(__xludf.DUMMYFUNCTION("""COMPUTED_VALUE"""),9034.78)</f>
        <v>9034.78</v>
      </c>
      <c r="K2975" s="5">
        <f>IFERROR(__xludf.DUMMYFUNCTION("""COMPUTED_VALUE"""),58.65)</f>
        <v>58.65</v>
      </c>
      <c r="L2975" s="4">
        <f>IFERROR(__xludf.DUMMYFUNCTION("""COMPUTED_VALUE"""),3.0)</f>
        <v>3</v>
      </c>
      <c r="M2975" s="4">
        <f>IFERROR(__xludf.DUMMYFUNCTION("""COMPUTED_VALUE"""),71.0)</f>
        <v>71</v>
      </c>
      <c r="N2975" s="2" t="b">
        <f>IFERROR(__xludf.DUMMYFUNCTION("""COMPUTED_VALUE"""),TRUE)</f>
        <v>1</v>
      </c>
    </row>
    <row r="2976">
      <c r="A2976" s="2">
        <f>IFERROR(__xludf.DUMMYFUNCTION("""COMPUTED_VALUE"""),2975.0)</f>
        <v>2975</v>
      </c>
      <c r="B2976" s="2" t="str">
        <f>IFERROR(__xludf.DUMMYFUNCTION("""COMPUTED_VALUE"""),"Leanna Swann")</f>
        <v>Leanna Swann</v>
      </c>
      <c r="C2976" s="2"/>
      <c r="D2976" s="4">
        <f>IFERROR(__xludf.DUMMYFUNCTION("""COMPUTED_VALUE"""),75.0)</f>
        <v>75</v>
      </c>
      <c r="E2976" s="4">
        <f>IFERROR(__xludf.DUMMYFUNCTION("""COMPUTED_VALUE"""),66.0)</f>
        <v>66</v>
      </c>
      <c r="F2976" s="4">
        <f>IFERROR(__xludf.DUMMYFUNCTION("""COMPUTED_VALUE"""),12.0)</f>
        <v>12</v>
      </c>
      <c r="G2976" s="4">
        <f>IFERROR(__xludf.DUMMYFUNCTION("""COMPUTED_VALUE"""),940.0)</f>
        <v>940</v>
      </c>
      <c r="H2976" s="5">
        <f>IFERROR(__xludf.DUMMYFUNCTION("""COMPUTED_VALUE"""),2239.83)</f>
        <v>2239.83</v>
      </c>
      <c r="I2976" s="5">
        <f>IFERROR(__xludf.DUMMYFUNCTION("""COMPUTED_VALUE"""),3563.69)</f>
        <v>3563.69</v>
      </c>
      <c r="J2976" s="5">
        <f>IFERROR(__xludf.DUMMYFUNCTION("""COMPUTED_VALUE"""),9736.11)</f>
        <v>9736.11</v>
      </c>
      <c r="K2976" s="5">
        <f>IFERROR(__xludf.DUMMYFUNCTION("""COMPUTED_VALUE"""),5234.26)</f>
        <v>5234.26</v>
      </c>
      <c r="L2976" s="4">
        <f>IFERROR(__xludf.DUMMYFUNCTION("""COMPUTED_VALUE"""),13.0)</f>
        <v>13</v>
      </c>
      <c r="M2976" s="4">
        <f>IFERROR(__xludf.DUMMYFUNCTION("""COMPUTED_VALUE"""),8.0)</f>
        <v>8</v>
      </c>
      <c r="N2976" s="2" t="b">
        <f>IFERROR(__xludf.DUMMYFUNCTION("""COMPUTED_VALUE"""),TRUE)</f>
        <v>1</v>
      </c>
    </row>
    <row r="2977">
      <c r="A2977" s="2">
        <f>IFERROR(__xludf.DUMMYFUNCTION("""COMPUTED_VALUE"""),2976.0)</f>
        <v>2976</v>
      </c>
      <c r="B2977" s="2" t="str">
        <f>IFERROR(__xludf.DUMMYFUNCTION("""COMPUTED_VALUE"""),"Rufus Strowger")</f>
        <v>Rufus Strowger</v>
      </c>
      <c r="C2977" s="2" t="str">
        <f>IFERROR(__xludf.DUMMYFUNCTION("""COMPUTED_VALUE"""),"rstrowgerr4@gmpg.org")</f>
        <v>rstrowgerr4@gmpg.org</v>
      </c>
      <c r="D2977" s="4">
        <f>IFERROR(__xludf.DUMMYFUNCTION("""COMPUTED_VALUE"""),99.0)</f>
        <v>99</v>
      </c>
      <c r="E2977" s="4">
        <f>IFERROR(__xludf.DUMMYFUNCTION("""COMPUTED_VALUE"""),41.0)</f>
        <v>41</v>
      </c>
      <c r="F2977" s="4">
        <f>IFERROR(__xludf.DUMMYFUNCTION("""COMPUTED_VALUE"""),9.0)</f>
        <v>9</v>
      </c>
      <c r="G2977" s="4">
        <f>IFERROR(__xludf.DUMMYFUNCTION("""COMPUTED_VALUE"""),984.0)</f>
        <v>984</v>
      </c>
      <c r="H2977" s="5">
        <f>IFERROR(__xludf.DUMMYFUNCTION("""COMPUTED_VALUE"""),8644.69)</f>
        <v>8644.69</v>
      </c>
      <c r="I2977" s="5">
        <f>IFERROR(__xludf.DUMMYFUNCTION("""COMPUTED_VALUE"""),2604.98)</f>
        <v>2604.98</v>
      </c>
      <c r="J2977" s="5">
        <f>IFERROR(__xludf.DUMMYFUNCTION("""COMPUTED_VALUE"""),7460.59)</f>
        <v>7460.59</v>
      </c>
      <c r="K2977" s="5">
        <f>IFERROR(__xludf.DUMMYFUNCTION("""COMPUTED_VALUE"""),3533.05)</f>
        <v>3533.05</v>
      </c>
      <c r="L2977" s="4">
        <f>IFERROR(__xludf.DUMMYFUNCTION("""COMPUTED_VALUE"""),6.0)</f>
        <v>6</v>
      </c>
      <c r="M2977" s="4">
        <f>IFERROR(__xludf.DUMMYFUNCTION("""COMPUTED_VALUE"""),37.0)</f>
        <v>37</v>
      </c>
      <c r="N2977" s="2" t="b">
        <f>IFERROR(__xludf.DUMMYFUNCTION("""COMPUTED_VALUE"""),FALSE)</f>
        <v>0</v>
      </c>
    </row>
    <row r="2978">
      <c r="A2978" s="2">
        <f>IFERROR(__xludf.DUMMYFUNCTION("""COMPUTED_VALUE"""),2977.0)</f>
        <v>2977</v>
      </c>
      <c r="B2978" s="2" t="str">
        <f>IFERROR(__xludf.DUMMYFUNCTION("""COMPUTED_VALUE"""),"Michal O'Neil")</f>
        <v>Michal O'Neil</v>
      </c>
      <c r="C2978" s="2" t="str">
        <f>IFERROR(__xludf.DUMMYFUNCTION("""COMPUTED_VALUE"""),"moneilr5@google.co.jp")</f>
        <v>moneilr5@google.co.jp</v>
      </c>
      <c r="D2978" s="4">
        <f>IFERROR(__xludf.DUMMYFUNCTION("""COMPUTED_VALUE"""),55.0)</f>
        <v>55</v>
      </c>
      <c r="E2978" s="4">
        <f>IFERROR(__xludf.DUMMYFUNCTION("""COMPUTED_VALUE"""),62.0)</f>
        <v>62</v>
      </c>
      <c r="F2978" s="4">
        <f>IFERROR(__xludf.DUMMYFUNCTION("""COMPUTED_VALUE"""),13.0)</f>
        <v>13</v>
      </c>
      <c r="G2978" s="4">
        <f>IFERROR(__xludf.DUMMYFUNCTION("""COMPUTED_VALUE"""),354.0)</f>
        <v>354</v>
      </c>
      <c r="H2978" s="5">
        <f>IFERROR(__xludf.DUMMYFUNCTION("""COMPUTED_VALUE"""),6175.68)</f>
        <v>6175.68</v>
      </c>
      <c r="I2978" s="5">
        <f>IFERROR(__xludf.DUMMYFUNCTION("""COMPUTED_VALUE"""),7301.23)</f>
        <v>7301.23</v>
      </c>
      <c r="J2978" s="5">
        <f>IFERROR(__xludf.DUMMYFUNCTION("""COMPUTED_VALUE"""),325.83)</f>
        <v>325.83</v>
      </c>
      <c r="K2978" s="5">
        <f>IFERROR(__xludf.DUMMYFUNCTION("""COMPUTED_VALUE"""),9650.16)</f>
        <v>9650.16</v>
      </c>
      <c r="L2978" s="4">
        <f>IFERROR(__xludf.DUMMYFUNCTION("""COMPUTED_VALUE"""),13.0)</f>
        <v>13</v>
      </c>
      <c r="M2978" s="4">
        <f>IFERROR(__xludf.DUMMYFUNCTION("""COMPUTED_VALUE"""),60.0)</f>
        <v>60</v>
      </c>
      <c r="N2978" s="2" t="b">
        <f>IFERROR(__xludf.DUMMYFUNCTION("""COMPUTED_VALUE"""),TRUE)</f>
        <v>1</v>
      </c>
    </row>
    <row r="2979">
      <c r="A2979" s="2">
        <f>IFERROR(__xludf.DUMMYFUNCTION("""COMPUTED_VALUE"""),2978.0)</f>
        <v>2978</v>
      </c>
      <c r="B2979" s="2" t="str">
        <f>IFERROR(__xludf.DUMMYFUNCTION("""COMPUTED_VALUE"""),"Garald Gooch")</f>
        <v>Garald Gooch</v>
      </c>
      <c r="C2979" s="2"/>
      <c r="D2979" s="4">
        <f>IFERROR(__xludf.DUMMYFUNCTION("""COMPUTED_VALUE"""),29.0)</f>
        <v>29</v>
      </c>
      <c r="E2979" s="4">
        <f>IFERROR(__xludf.DUMMYFUNCTION("""COMPUTED_VALUE"""),78.0)</f>
        <v>78</v>
      </c>
      <c r="F2979" s="4">
        <f>IFERROR(__xludf.DUMMYFUNCTION("""COMPUTED_VALUE"""),10.0)</f>
        <v>10</v>
      </c>
      <c r="G2979" s="4">
        <f>IFERROR(__xludf.DUMMYFUNCTION("""COMPUTED_VALUE"""),1583.0)</f>
        <v>1583</v>
      </c>
      <c r="H2979" s="5">
        <f>IFERROR(__xludf.DUMMYFUNCTION("""COMPUTED_VALUE"""),1784.56)</f>
        <v>1784.56</v>
      </c>
      <c r="I2979" s="5">
        <f>IFERROR(__xludf.DUMMYFUNCTION("""COMPUTED_VALUE"""),7230.22)</f>
        <v>7230.22</v>
      </c>
      <c r="J2979" s="5">
        <f>IFERROR(__xludf.DUMMYFUNCTION("""COMPUTED_VALUE"""),8815.86)</f>
        <v>8815.86</v>
      </c>
      <c r="K2979" s="5">
        <f>IFERROR(__xludf.DUMMYFUNCTION("""COMPUTED_VALUE"""),2833.51)</f>
        <v>2833.51</v>
      </c>
      <c r="L2979" s="4">
        <f>IFERROR(__xludf.DUMMYFUNCTION("""COMPUTED_VALUE"""),8.0)</f>
        <v>8</v>
      </c>
      <c r="M2979" s="4">
        <f>IFERROR(__xludf.DUMMYFUNCTION("""COMPUTED_VALUE"""),8.0)</f>
        <v>8</v>
      </c>
      <c r="N2979" s="2" t="b">
        <f>IFERROR(__xludf.DUMMYFUNCTION("""COMPUTED_VALUE"""),FALSE)</f>
        <v>0</v>
      </c>
    </row>
    <row r="2980">
      <c r="A2980" s="2">
        <f>IFERROR(__xludf.DUMMYFUNCTION("""COMPUTED_VALUE"""),2979.0)</f>
        <v>2979</v>
      </c>
      <c r="B2980" s="2" t="str">
        <f>IFERROR(__xludf.DUMMYFUNCTION("""COMPUTED_VALUE"""),"Jodi Broadley")</f>
        <v>Jodi Broadley</v>
      </c>
      <c r="C2980" s="2"/>
      <c r="D2980" s="4">
        <f>IFERROR(__xludf.DUMMYFUNCTION("""COMPUTED_VALUE"""),144.0)</f>
        <v>144</v>
      </c>
      <c r="E2980" s="4">
        <f>IFERROR(__xludf.DUMMYFUNCTION("""COMPUTED_VALUE"""),91.0)</f>
        <v>91</v>
      </c>
      <c r="F2980" s="4">
        <f>IFERROR(__xludf.DUMMYFUNCTION("""COMPUTED_VALUE"""),4.0)</f>
        <v>4</v>
      </c>
      <c r="G2980" s="4">
        <f>IFERROR(__xludf.DUMMYFUNCTION("""COMPUTED_VALUE"""),585.0)</f>
        <v>585</v>
      </c>
      <c r="H2980" s="5">
        <f>IFERROR(__xludf.DUMMYFUNCTION("""COMPUTED_VALUE"""),9982.22)</f>
        <v>9982.22</v>
      </c>
      <c r="I2980" s="5">
        <f>IFERROR(__xludf.DUMMYFUNCTION("""COMPUTED_VALUE"""),4746.13)</f>
        <v>4746.13</v>
      </c>
      <c r="J2980" s="5">
        <f>IFERROR(__xludf.DUMMYFUNCTION("""COMPUTED_VALUE"""),8094.73)</f>
        <v>8094.73</v>
      </c>
      <c r="K2980" s="5">
        <f>IFERROR(__xludf.DUMMYFUNCTION("""COMPUTED_VALUE"""),5994.17)</f>
        <v>5994.17</v>
      </c>
      <c r="L2980" s="4">
        <f>IFERROR(__xludf.DUMMYFUNCTION("""COMPUTED_VALUE"""),5.0)</f>
        <v>5</v>
      </c>
      <c r="M2980" s="4">
        <f>IFERROR(__xludf.DUMMYFUNCTION("""COMPUTED_VALUE"""),3.0)</f>
        <v>3</v>
      </c>
      <c r="N2980" s="2" t="b">
        <f>IFERROR(__xludf.DUMMYFUNCTION("""COMPUTED_VALUE"""),FALSE)</f>
        <v>0</v>
      </c>
    </row>
    <row r="2981">
      <c r="A2981" s="2">
        <f>IFERROR(__xludf.DUMMYFUNCTION("""COMPUTED_VALUE"""),2980.0)</f>
        <v>2980</v>
      </c>
      <c r="B2981" s="2" t="str">
        <f>IFERROR(__xludf.DUMMYFUNCTION("""COMPUTED_VALUE"""),"Umeko Stevens")</f>
        <v>Umeko Stevens</v>
      </c>
      <c r="C2981" s="2" t="str">
        <f>IFERROR(__xludf.DUMMYFUNCTION("""COMPUTED_VALUE"""),"ustevensr8@jimdo.com")</f>
        <v>ustevensr8@jimdo.com</v>
      </c>
      <c r="D2981" s="4">
        <f>IFERROR(__xludf.DUMMYFUNCTION("""COMPUTED_VALUE"""),109.0)</f>
        <v>109</v>
      </c>
      <c r="E2981" s="4">
        <f>IFERROR(__xludf.DUMMYFUNCTION("""COMPUTED_VALUE"""),43.0)</f>
        <v>43</v>
      </c>
      <c r="F2981" s="4">
        <f>IFERROR(__xludf.DUMMYFUNCTION("""COMPUTED_VALUE"""),5.0)</f>
        <v>5</v>
      </c>
      <c r="G2981" s="4">
        <f>IFERROR(__xludf.DUMMYFUNCTION("""COMPUTED_VALUE"""),421.0)</f>
        <v>421</v>
      </c>
      <c r="H2981" s="5">
        <f>IFERROR(__xludf.DUMMYFUNCTION("""COMPUTED_VALUE"""),6023.09)</f>
        <v>6023.09</v>
      </c>
      <c r="I2981" s="5">
        <f>IFERROR(__xludf.DUMMYFUNCTION("""COMPUTED_VALUE"""),1796.3)</f>
        <v>1796.3</v>
      </c>
      <c r="J2981" s="5">
        <f>IFERROR(__xludf.DUMMYFUNCTION("""COMPUTED_VALUE"""),367.47)</f>
        <v>367.47</v>
      </c>
      <c r="K2981" s="5">
        <f>IFERROR(__xludf.DUMMYFUNCTION("""COMPUTED_VALUE"""),5092.43)</f>
        <v>5092.43</v>
      </c>
      <c r="L2981" s="4">
        <f>IFERROR(__xludf.DUMMYFUNCTION("""COMPUTED_VALUE"""),15.0)</f>
        <v>15</v>
      </c>
      <c r="M2981" s="4">
        <f>IFERROR(__xludf.DUMMYFUNCTION("""COMPUTED_VALUE"""),59.0)</f>
        <v>59</v>
      </c>
      <c r="N2981" s="2" t="b">
        <f>IFERROR(__xludf.DUMMYFUNCTION("""COMPUTED_VALUE"""),TRUE)</f>
        <v>1</v>
      </c>
    </row>
    <row r="2982">
      <c r="A2982" s="2">
        <f>IFERROR(__xludf.DUMMYFUNCTION("""COMPUTED_VALUE"""),2981.0)</f>
        <v>2981</v>
      </c>
      <c r="B2982" s="2" t="str">
        <f>IFERROR(__xludf.DUMMYFUNCTION("""COMPUTED_VALUE"""),"Corabel Gullane")</f>
        <v>Corabel Gullane</v>
      </c>
      <c r="C2982" s="2" t="str">
        <f>IFERROR(__xludf.DUMMYFUNCTION("""COMPUTED_VALUE"""),"cgullaner9@trellian.com")</f>
        <v>cgullaner9@trellian.com</v>
      </c>
      <c r="D2982" s="4">
        <f>IFERROR(__xludf.DUMMYFUNCTION("""COMPUTED_VALUE"""),41.0)</f>
        <v>41</v>
      </c>
      <c r="E2982" s="4">
        <f>IFERROR(__xludf.DUMMYFUNCTION("""COMPUTED_VALUE"""),114.0)</f>
        <v>114</v>
      </c>
      <c r="F2982" s="4">
        <f>IFERROR(__xludf.DUMMYFUNCTION("""COMPUTED_VALUE"""),7.0)</f>
        <v>7</v>
      </c>
      <c r="G2982" s="4">
        <f>IFERROR(__xludf.DUMMYFUNCTION("""COMPUTED_VALUE"""),1572.0)</f>
        <v>1572</v>
      </c>
      <c r="H2982" s="5">
        <f>IFERROR(__xludf.DUMMYFUNCTION("""COMPUTED_VALUE"""),7629.85)</f>
        <v>7629.85</v>
      </c>
      <c r="I2982" s="5">
        <f>IFERROR(__xludf.DUMMYFUNCTION("""COMPUTED_VALUE"""),3577.09)</f>
        <v>3577.09</v>
      </c>
      <c r="J2982" s="5">
        <f>IFERROR(__xludf.DUMMYFUNCTION("""COMPUTED_VALUE"""),6259.08)</f>
        <v>6259.08</v>
      </c>
      <c r="K2982" s="5">
        <f>IFERROR(__xludf.DUMMYFUNCTION("""COMPUTED_VALUE"""),7254.35)</f>
        <v>7254.35</v>
      </c>
      <c r="L2982" s="4">
        <f>IFERROR(__xludf.DUMMYFUNCTION("""COMPUTED_VALUE"""),5.0)</f>
        <v>5</v>
      </c>
      <c r="M2982" s="4">
        <f>IFERROR(__xludf.DUMMYFUNCTION("""COMPUTED_VALUE"""),57.0)</f>
        <v>57</v>
      </c>
      <c r="N2982" s="2" t="b">
        <f>IFERROR(__xludf.DUMMYFUNCTION("""COMPUTED_VALUE"""),TRUE)</f>
        <v>1</v>
      </c>
    </row>
    <row r="2983">
      <c r="A2983" s="2">
        <f>IFERROR(__xludf.DUMMYFUNCTION("""COMPUTED_VALUE"""),2982.0)</f>
        <v>2982</v>
      </c>
      <c r="B2983" s="2" t="str">
        <f>IFERROR(__xludf.DUMMYFUNCTION("""COMPUTED_VALUE"""),"Jillene Robertsson")</f>
        <v>Jillene Robertsson</v>
      </c>
      <c r="C2983" s="2" t="str">
        <f>IFERROR(__xludf.DUMMYFUNCTION("""COMPUTED_VALUE"""),"jrobertssonra@oracle.com")</f>
        <v>jrobertssonra@oracle.com</v>
      </c>
      <c r="D2983" s="4">
        <f>IFERROR(__xludf.DUMMYFUNCTION("""COMPUTED_VALUE"""),148.0)</f>
        <v>148</v>
      </c>
      <c r="E2983" s="4">
        <f>IFERROR(__xludf.DUMMYFUNCTION("""COMPUTED_VALUE"""),45.0)</f>
        <v>45</v>
      </c>
      <c r="F2983" s="4">
        <f>IFERROR(__xludf.DUMMYFUNCTION("""COMPUTED_VALUE"""),4.0)</f>
        <v>4</v>
      </c>
      <c r="G2983" s="4">
        <f>IFERROR(__xludf.DUMMYFUNCTION("""COMPUTED_VALUE"""),424.0)</f>
        <v>424</v>
      </c>
      <c r="H2983" s="5">
        <f>IFERROR(__xludf.DUMMYFUNCTION("""COMPUTED_VALUE"""),668.74)</f>
        <v>668.74</v>
      </c>
      <c r="I2983" s="5">
        <f>IFERROR(__xludf.DUMMYFUNCTION("""COMPUTED_VALUE"""),6441.54)</f>
        <v>6441.54</v>
      </c>
      <c r="J2983" s="5">
        <f>IFERROR(__xludf.DUMMYFUNCTION("""COMPUTED_VALUE"""),7447.76)</f>
        <v>7447.76</v>
      </c>
      <c r="K2983" s="5">
        <f>IFERROR(__xludf.DUMMYFUNCTION("""COMPUTED_VALUE"""),3542.19)</f>
        <v>3542.19</v>
      </c>
      <c r="L2983" s="4">
        <f>IFERROR(__xludf.DUMMYFUNCTION("""COMPUTED_VALUE"""),20.0)</f>
        <v>20</v>
      </c>
      <c r="M2983" s="4">
        <f>IFERROR(__xludf.DUMMYFUNCTION("""COMPUTED_VALUE"""),10.0)</f>
        <v>10</v>
      </c>
      <c r="N2983" s="2" t="b">
        <f>IFERROR(__xludf.DUMMYFUNCTION("""COMPUTED_VALUE"""),FALSE)</f>
        <v>0</v>
      </c>
    </row>
    <row r="2984">
      <c r="A2984" s="2">
        <f>IFERROR(__xludf.DUMMYFUNCTION("""COMPUTED_VALUE"""),2983.0)</f>
        <v>2983</v>
      </c>
      <c r="B2984" s="2" t="str">
        <f>IFERROR(__xludf.DUMMYFUNCTION("""COMPUTED_VALUE"""),"Miof mela Bengefield")</f>
        <v>Miof mela Bengefield</v>
      </c>
      <c r="C2984" s="2"/>
      <c r="D2984" s="4">
        <f>IFERROR(__xludf.DUMMYFUNCTION("""COMPUTED_VALUE"""),102.0)</f>
        <v>102</v>
      </c>
      <c r="E2984" s="4">
        <f>IFERROR(__xludf.DUMMYFUNCTION("""COMPUTED_VALUE"""),39.0)</f>
        <v>39</v>
      </c>
      <c r="F2984" s="4">
        <f>IFERROR(__xludf.DUMMYFUNCTION("""COMPUTED_VALUE"""),4.0)</f>
        <v>4</v>
      </c>
      <c r="G2984" s="4">
        <f>IFERROR(__xludf.DUMMYFUNCTION("""COMPUTED_VALUE"""),144.0)</f>
        <v>144</v>
      </c>
      <c r="H2984" s="5">
        <f>IFERROR(__xludf.DUMMYFUNCTION("""COMPUTED_VALUE"""),7350.27)</f>
        <v>7350.27</v>
      </c>
      <c r="I2984" s="5">
        <f>IFERROR(__xludf.DUMMYFUNCTION("""COMPUTED_VALUE"""),818.3)</f>
        <v>818.3</v>
      </c>
      <c r="J2984" s="5">
        <f>IFERROR(__xludf.DUMMYFUNCTION("""COMPUTED_VALUE"""),732.24)</f>
        <v>732.24</v>
      </c>
      <c r="K2984" s="5">
        <f>IFERROR(__xludf.DUMMYFUNCTION("""COMPUTED_VALUE"""),7169.81)</f>
        <v>7169.81</v>
      </c>
      <c r="L2984" s="4">
        <f>IFERROR(__xludf.DUMMYFUNCTION("""COMPUTED_VALUE"""),14.0)</f>
        <v>14</v>
      </c>
      <c r="M2984" s="4">
        <f>IFERROR(__xludf.DUMMYFUNCTION("""COMPUTED_VALUE"""),24.0)</f>
        <v>24</v>
      </c>
      <c r="N2984" s="2" t="b">
        <f>IFERROR(__xludf.DUMMYFUNCTION("""COMPUTED_VALUE"""),TRUE)</f>
        <v>1</v>
      </c>
    </row>
    <row r="2985">
      <c r="A2985" s="2">
        <f>IFERROR(__xludf.DUMMYFUNCTION("""COMPUTED_VALUE"""),2984.0)</f>
        <v>2984</v>
      </c>
      <c r="B2985" s="2" t="str">
        <f>IFERROR(__xludf.DUMMYFUNCTION("""COMPUTED_VALUE"""),"Armand Lewsam")</f>
        <v>Armand Lewsam</v>
      </c>
      <c r="C2985" s="2"/>
      <c r="D2985" s="4">
        <f>IFERROR(__xludf.DUMMYFUNCTION("""COMPUTED_VALUE"""),41.0)</f>
        <v>41</v>
      </c>
      <c r="E2985" s="4">
        <f>IFERROR(__xludf.DUMMYFUNCTION("""COMPUTED_VALUE"""),51.0)</f>
        <v>51</v>
      </c>
      <c r="F2985" s="4">
        <f>IFERROR(__xludf.DUMMYFUNCTION("""COMPUTED_VALUE"""),8.0)</f>
        <v>8</v>
      </c>
      <c r="G2985" s="4">
        <f>IFERROR(__xludf.DUMMYFUNCTION("""COMPUTED_VALUE"""),599.0)</f>
        <v>599</v>
      </c>
      <c r="H2985" s="5">
        <f>IFERROR(__xludf.DUMMYFUNCTION("""COMPUTED_VALUE"""),3006.7)</f>
        <v>3006.7</v>
      </c>
      <c r="I2985" s="5">
        <f>IFERROR(__xludf.DUMMYFUNCTION("""COMPUTED_VALUE"""),704.73)</f>
        <v>704.73</v>
      </c>
      <c r="J2985" s="5">
        <f>IFERROR(__xludf.DUMMYFUNCTION("""COMPUTED_VALUE"""),8212.37)</f>
        <v>8212.37</v>
      </c>
      <c r="K2985" s="5">
        <f>IFERROR(__xludf.DUMMYFUNCTION("""COMPUTED_VALUE"""),3622.46)</f>
        <v>3622.46</v>
      </c>
      <c r="L2985" s="4">
        <f>IFERROR(__xludf.DUMMYFUNCTION("""COMPUTED_VALUE"""),9.0)</f>
        <v>9</v>
      </c>
      <c r="M2985" s="4">
        <f>IFERROR(__xludf.DUMMYFUNCTION("""COMPUTED_VALUE"""),37.0)</f>
        <v>37</v>
      </c>
      <c r="N2985" s="2" t="b">
        <f>IFERROR(__xludf.DUMMYFUNCTION("""COMPUTED_VALUE"""),TRUE)</f>
        <v>1</v>
      </c>
    </row>
    <row r="2986">
      <c r="A2986" s="2">
        <f>IFERROR(__xludf.DUMMYFUNCTION("""COMPUTED_VALUE"""),2985.0)</f>
        <v>2985</v>
      </c>
      <c r="B2986" s="2" t="str">
        <f>IFERROR(__xludf.DUMMYFUNCTION("""COMPUTED_VALUE"""),"Kippie Di Bernardo")</f>
        <v>Kippie Di Bernardo</v>
      </c>
      <c r="C2986" s="2" t="str">
        <f>IFERROR(__xludf.DUMMYFUNCTION("""COMPUTED_VALUE"""),"kdird@constantcontact.com")</f>
        <v>kdird@constantcontact.com</v>
      </c>
      <c r="D2986" s="4">
        <f>IFERROR(__xludf.DUMMYFUNCTION("""COMPUTED_VALUE"""),18.0)</f>
        <v>18</v>
      </c>
      <c r="E2986" s="4">
        <f>IFERROR(__xludf.DUMMYFUNCTION("""COMPUTED_VALUE"""),10.0)</f>
        <v>10</v>
      </c>
      <c r="F2986" s="4">
        <f>IFERROR(__xludf.DUMMYFUNCTION("""COMPUTED_VALUE"""),10.0)</f>
        <v>10</v>
      </c>
      <c r="G2986" s="4">
        <f>IFERROR(__xludf.DUMMYFUNCTION("""COMPUTED_VALUE"""),196.0)</f>
        <v>196</v>
      </c>
      <c r="H2986" s="5">
        <f>IFERROR(__xludf.DUMMYFUNCTION("""COMPUTED_VALUE"""),1177.55)</f>
        <v>1177.55</v>
      </c>
      <c r="I2986" s="5">
        <f>IFERROR(__xludf.DUMMYFUNCTION("""COMPUTED_VALUE"""),4231.56)</f>
        <v>4231.56</v>
      </c>
      <c r="J2986" s="5">
        <f>IFERROR(__xludf.DUMMYFUNCTION("""COMPUTED_VALUE"""),8985.34)</f>
        <v>8985.34</v>
      </c>
      <c r="K2986" s="5">
        <f>IFERROR(__xludf.DUMMYFUNCTION("""COMPUTED_VALUE"""),8035.07)</f>
        <v>8035.07</v>
      </c>
      <c r="L2986" s="4">
        <f>IFERROR(__xludf.DUMMYFUNCTION("""COMPUTED_VALUE"""),8.0)</f>
        <v>8</v>
      </c>
      <c r="M2986" s="4">
        <f>IFERROR(__xludf.DUMMYFUNCTION("""COMPUTED_VALUE"""),60.0)</f>
        <v>60</v>
      </c>
      <c r="N2986" s="2" t="b">
        <f>IFERROR(__xludf.DUMMYFUNCTION("""COMPUTED_VALUE"""),FALSE)</f>
        <v>0</v>
      </c>
    </row>
    <row r="2987">
      <c r="A2987" s="2">
        <f>IFERROR(__xludf.DUMMYFUNCTION("""COMPUTED_VALUE"""),2986.0)</f>
        <v>2986</v>
      </c>
      <c r="B2987" s="2" t="str">
        <f>IFERROR(__xludf.DUMMYFUNCTION("""COMPUTED_VALUE"""),"Alaine Adiscot")</f>
        <v>Alaine Adiscot</v>
      </c>
      <c r="C2987" s="2" t="str">
        <f>IFERROR(__xludf.DUMMYFUNCTION("""COMPUTED_VALUE"""),"aadiscotre@apple.com")</f>
        <v>aadiscotre@apple.com</v>
      </c>
      <c r="D2987" s="4">
        <f>IFERROR(__xludf.DUMMYFUNCTION("""COMPUTED_VALUE"""),135.0)</f>
        <v>135</v>
      </c>
      <c r="E2987" s="4">
        <f>IFERROR(__xludf.DUMMYFUNCTION("""COMPUTED_VALUE"""),40.0)</f>
        <v>40</v>
      </c>
      <c r="F2987" s="4">
        <f>IFERROR(__xludf.DUMMYFUNCTION("""COMPUTED_VALUE"""),8.0)</f>
        <v>8</v>
      </c>
      <c r="G2987" s="4">
        <f>IFERROR(__xludf.DUMMYFUNCTION("""COMPUTED_VALUE"""),396.0)</f>
        <v>396</v>
      </c>
      <c r="H2987" s="5">
        <f>IFERROR(__xludf.DUMMYFUNCTION("""COMPUTED_VALUE"""),3438.84)</f>
        <v>3438.84</v>
      </c>
      <c r="I2987" s="5">
        <f>IFERROR(__xludf.DUMMYFUNCTION("""COMPUTED_VALUE"""),7315.76)</f>
        <v>7315.76</v>
      </c>
      <c r="J2987" s="5">
        <f>IFERROR(__xludf.DUMMYFUNCTION("""COMPUTED_VALUE"""),4924.24)</f>
        <v>4924.24</v>
      </c>
      <c r="K2987" s="5">
        <f>IFERROR(__xludf.DUMMYFUNCTION("""COMPUTED_VALUE"""),3466.84)</f>
        <v>3466.84</v>
      </c>
      <c r="L2987" s="4">
        <f>IFERROR(__xludf.DUMMYFUNCTION("""COMPUTED_VALUE"""),1.0)</f>
        <v>1</v>
      </c>
      <c r="M2987" s="4">
        <f>IFERROR(__xludf.DUMMYFUNCTION("""COMPUTED_VALUE"""),79.0)</f>
        <v>79</v>
      </c>
      <c r="N2987" s="2" t="b">
        <f>IFERROR(__xludf.DUMMYFUNCTION("""COMPUTED_VALUE"""),TRUE)</f>
        <v>1</v>
      </c>
    </row>
    <row r="2988">
      <c r="A2988" s="2">
        <f>IFERROR(__xludf.DUMMYFUNCTION("""COMPUTED_VALUE"""),2987.0)</f>
        <v>2987</v>
      </c>
      <c r="B2988" s="2" t="str">
        <f>IFERROR(__xludf.DUMMYFUNCTION("""COMPUTED_VALUE"""),"Dorisa Regis")</f>
        <v>Dorisa Regis</v>
      </c>
      <c r="C2988" s="2"/>
      <c r="D2988" s="4">
        <f>IFERROR(__xludf.DUMMYFUNCTION("""COMPUTED_VALUE"""),17.0)</f>
        <v>17</v>
      </c>
      <c r="E2988" s="4">
        <f>IFERROR(__xludf.DUMMYFUNCTION("""COMPUTED_VALUE"""),52.0)</f>
        <v>52</v>
      </c>
      <c r="F2988" s="4">
        <f>IFERROR(__xludf.DUMMYFUNCTION("""COMPUTED_VALUE"""),1.0)</f>
        <v>1</v>
      </c>
      <c r="G2988" s="4">
        <f>IFERROR(__xludf.DUMMYFUNCTION("""COMPUTED_VALUE"""),689.0)</f>
        <v>689</v>
      </c>
      <c r="H2988" s="5">
        <f>IFERROR(__xludf.DUMMYFUNCTION("""COMPUTED_VALUE"""),7604.51)</f>
        <v>7604.51</v>
      </c>
      <c r="I2988" s="5">
        <f>IFERROR(__xludf.DUMMYFUNCTION("""COMPUTED_VALUE"""),9806.97)</f>
        <v>9806.97</v>
      </c>
      <c r="J2988" s="5">
        <f>IFERROR(__xludf.DUMMYFUNCTION("""COMPUTED_VALUE"""),3227.86)</f>
        <v>3227.86</v>
      </c>
      <c r="K2988" s="5">
        <f>IFERROR(__xludf.DUMMYFUNCTION("""COMPUTED_VALUE"""),496.49)</f>
        <v>496.49</v>
      </c>
      <c r="L2988" s="4">
        <f>IFERROR(__xludf.DUMMYFUNCTION("""COMPUTED_VALUE"""),15.0)</f>
        <v>15</v>
      </c>
      <c r="M2988" s="4">
        <f>IFERROR(__xludf.DUMMYFUNCTION("""COMPUTED_VALUE"""),16.0)</f>
        <v>16</v>
      </c>
      <c r="N2988" s="2" t="b">
        <f>IFERROR(__xludf.DUMMYFUNCTION("""COMPUTED_VALUE"""),TRUE)</f>
        <v>1</v>
      </c>
    </row>
    <row r="2989">
      <c r="A2989" s="2">
        <f>IFERROR(__xludf.DUMMYFUNCTION("""COMPUTED_VALUE"""),2988.0)</f>
        <v>2988</v>
      </c>
      <c r="B2989" s="2" t="str">
        <f>IFERROR(__xludf.DUMMYFUNCTION("""COMPUTED_VALUE"""),"Andrew Tesseyman")</f>
        <v>Andrew Tesseyman</v>
      </c>
      <c r="C2989" s="2" t="str">
        <f>IFERROR(__xludf.DUMMYFUNCTION("""COMPUTED_VALUE"""),"atesseymanrg@nydailynews.com")</f>
        <v>atesseymanrg@nydailynews.com</v>
      </c>
      <c r="D2989" s="4">
        <f>IFERROR(__xludf.DUMMYFUNCTION("""COMPUTED_VALUE"""),83.0)</f>
        <v>83</v>
      </c>
      <c r="E2989" s="4">
        <f>IFERROR(__xludf.DUMMYFUNCTION("""COMPUTED_VALUE"""),53.0)</f>
        <v>53</v>
      </c>
      <c r="F2989" s="4">
        <f>IFERROR(__xludf.DUMMYFUNCTION("""COMPUTED_VALUE"""),8.0)</f>
        <v>8</v>
      </c>
      <c r="G2989" s="4">
        <f>IFERROR(__xludf.DUMMYFUNCTION("""COMPUTED_VALUE"""),635.0)</f>
        <v>635</v>
      </c>
      <c r="H2989" s="5">
        <f>IFERROR(__xludf.DUMMYFUNCTION("""COMPUTED_VALUE"""),1595.34)</f>
        <v>1595.34</v>
      </c>
      <c r="I2989" s="5">
        <f>IFERROR(__xludf.DUMMYFUNCTION("""COMPUTED_VALUE"""),7866.23)</f>
        <v>7866.23</v>
      </c>
      <c r="J2989" s="5">
        <f>IFERROR(__xludf.DUMMYFUNCTION("""COMPUTED_VALUE"""),4434.76)</f>
        <v>4434.76</v>
      </c>
      <c r="K2989" s="5">
        <f>IFERROR(__xludf.DUMMYFUNCTION("""COMPUTED_VALUE"""),3433.98)</f>
        <v>3433.98</v>
      </c>
      <c r="L2989" s="4">
        <f>IFERROR(__xludf.DUMMYFUNCTION("""COMPUTED_VALUE"""),9.0)</f>
        <v>9</v>
      </c>
      <c r="M2989" s="4">
        <f>IFERROR(__xludf.DUMMYFUNCTION("""COMPUTED_VALUE"""),41.0)</f>
        <v>41</v>
      </c>
      <c r="N2989" s="2" t="b">
        <f>IFERROR(__xludf.DUMMYFUNCTION("""COMPUTED_VALUE"""),FALSE)</f>
        <v>0</v>
      </c>
    </row>
    <row r="2990">
      <c r="A2990" s="2">
        <f>IFERROR(__xludf.DUMMYFUNCTION("""COMPUTED_VALUE"""),2989.0)</f>
        <v>2989</v>
      </c>
      <c r="B2990" s="2" t="str">
        <f>IFERROR(__xludf.DUMMYFUNCTION("""COMPUTED_VALUE"""),"Theodor Greenhouse")</f>
        <v>Theodor Greenhouse</v>
      </c>
      <c r="C2990" s="2" t="str">
        <f>IFERROR(__xludf.DUMMYFUNCTION("""COMPUTED_VALUE"""),"tgreenhouserh@tuttocitta.it")</f>
        <v>tgreenhouserh@tuttocitta.it</v>
      </c>
      <c r="D2990" s="4">
        <f>IFERROR(__xludf.DUMMYFUNCTION("""COMPUTED_VALUE"""),74.0)</f>
        <v>74</v>
      </c>
      <c r="E2990" s="4">
        <f>IFERROR(__xludf.DUMMYFUNCTION("""COMPUTED_VALUE"""),43.0)</f>
        <v>43</v>
      </c>
      <c r="F2990" s="4">
        <f>IFERROR(__xludf.DUMMYFUNCTION("""COMPUTED_VALUE"""),4.0)</f>
        <v>4</v>
      </c>
      <c r="G2990" s="4">
        <f>IFERROR(__xludf.DUMMYFUNCTION("""COMPUTED_VALUE"""),324.0)</f>
        <v>324</v>
      </c>
      <c r="H2990" s="5">
        <f>IFERROR(__xludf.DUMMYFUNCTION("""COMPUTED_VALUE"""),8929.67)</f>
        <v>8929.67</v>
      </c>
      <c r="I2990" s="5">
        <f>IFERROR(__xludf.DUMMYFUNCTION("""COMPUTED_VALUE"""),4803.04)</f>
        <v>4803.04</v>
      </c>
      <c r="J2990" s="5">
        <f>IFERROR(__xludf.DUMMYFUNCTION("""COMPUTED_VALUE"""),3064.6)</f>
        <v>3064.6</v>
      </c>
      <c r="K2990" s="5">
        <f>IFERROR(__xludf.DUMMYFUNCTION("""COMPUTED_VALUE"""),3681.31)</f>
        <v>3681.31</v>
      </c>
      <c r="L2990" s="4">
        <f>IFERROR(__xludf.DUMMYFUNCTION("""COMPUTED_VALUE"""),6.0)</f>
        <v>6</v>
      </c>
      <c r="M2990" s="4">
        <f>IFERROR(__xludf.DUMMYFUNCTION("""COMPUTED_VALUE"""),69.0)</f>
        <v>69</v>
      </c>
      <c r="N2990" s="2" t="b">
        <f>IFERROR(__xludf.DUMMYFUNCTION("""COMPUTED_VALUE"""),TRUE)</f>
        <v>1</v>
      </c>
    </row>
    <row r="2991">
      <c r="A2991" s="2">
        <f>IFERROR(__xludf.DUMMYFUNCTION("""COMPUTED_VALUE"""),2990.0)</f>
        <v>2990</v>
      </c>
      <c r="B2991" s="2" t="str">
        <f>IFERROR(__xludf.DUMMYFUNCTION("""COMPUTED_VALUE"""),"Constantine Arbon")</f>
        <v>Constantine Arbon</v>
      </c>
      <c r="C2991" s="2" t="str">
        <f>IFERROR(__xludf.DUMMYFUNCTION("""COMPUTED_VALUE"""),"carbonri@vimeo.com")</f>
        <v>carbonri@vimeo.com</v>
      </c>
      <c r="D2991" s="4">
        <f>IFERROR(__xludf.DUMMYFUNCTION("""COMPUTED_VALUE"""),3.0)</f>
        <v>3</v>
      </c>
      <c r="E2991" s="4">
        <f>IFERROR(__xludf.DUMMYFUNCTION("""COMPUTED_VALUE"""),43.0)</f>
        <v>43</v>
      </c>
      <c r="F2991" s="4">
        <f>IFERROR(__xludf.DUMMYFUNCTION("""COMPUTED_VALUE"""),8.0)</f>
        <v>8</v>
      </c>
      <c r="G2991" s="4">
        <f>IFERROR(__xludf.DUMMYFUNCTION("""COMPUTED_VALUE"""),427.0)</f>
        <v>427</v>
      </c>
      <c r="H2991" s="5">
        <f>IFERROR(__xludf.DUMMYFUNCTION("""COMPUTED_VALUE"""),2874.71)</f>
        <v>2874.71</v>
      </c>
      <c r="I2991" s="5">
        <f>IFERROR(__xludf.DUMMYFUNCTION("""COMPUTED_VALUE"""),9068.01)</f>
        <v>9068.01</v>
      </c>
      <c r="J2991" s="5">
        <f>IFERROR(__xludf.DUMMYFUNCTION("""COMPUTED_VALUE"""),3366.7)</f>
        <v>3366.7</v>
      </c>
      <c r="K2991" s="5">
        <f>IFERROR(__xludf.DUMMYFUNCTION("""COMPUTED_VALUE"""),3838.66)</f>
        <v>3838.66</v>
      </c>
      <c r="L2991" s="4">
        <f>IFERROR(__xludf.DUMMYFUNCTION("""COMPUTED_VALUE"""),20.0)</f>
        <v>20</v>
      </c>
      <c r="M2991" s="4">
        <f>IFERROR(__xludf.DUMMYFUNCTION("""COMPUTED_VALUE"""),80.0)</f>
        <v>80</v>
      </c>
      <c r="N2991" s="2" t="b">
        <f>IFERROR(__xludf.DUMMYFUNCTION("""COMPUTED_VALUE"""),FALSE)</f>
        <v>0</v>
      </c>
    </row>
    <row r="2992">
      <c r="A2992" s="2">
        <f>IFERROR(__xludf.DUMMYFUNCTION("""COMPUTED_VALUE"""),2991.0)</f>
        <v>2991</v>
      </c>
      <c r="B2992" s="2" t="str">
        <f>IFERROR(__xludf.DUMMYFUNCTION("""COMPUTED_VALUE"""),"Conrad Covotti")</f>
        <v>Conrad Covotti</v>
      </c>
      <c r="C2992" s="2"/>
      <c r="D2992" s="4">
        <f>IFERROR(__xludf.DUMMYFUNCTION("""COMPUTED_VALUE"""),90.0)</f>
        <v>90</v>
      </c>
      <c r="E2992" s="4">
        <f>IFERROR(__xludf.DUMMYFUNCTION("""COMPUTED_VALUE"""),44.0)</f>
        <v>44</v>
      </c>
      <c r="F2992" s="4">
        <f>IFERROR(__xludf.DUMMYFUNCTION("""COMPUTED_VALUE"""),11.0)</f>
        <v>11</v>
      </c>
      <c r="G2992" s="4">
        <f>IFERROR(__xludf.DUMMYFUNCTION("""COMPUTED_VALUE"""),557.0)</f>
        <v>557</v>
      </c>
      <c r="H2992" s="5">
        <f>IFERROR(__xludf.DUMMYFUNCTION("""COMPUTED_VALUE"""),8211.88)</f>
        <v>8211.88</v>
      </c>
      <c r="I2992" s="5">
        <f>IFERROR(__xludf.DUMMYFUNCTION("""COMPUTED_VALUE"""),1688.76)</f>
        <v>1688.76</v>
      </c>
      <c r="J2992" s="5">
        <f>IFERROR(__xludf.DUMMYFUNCTION("""COMPUTED_VALUE"""),6994.98)</f>
        <v>6994.98</v>
      </c>
      <c r="K2992" s="5">
        <f>IFERROR(__xludf.DUMMYFUNCTION("""COMPUTED_VALUE"""),6588.34)</f>
        <v>6588.34</v>
      </c>
      <c r="L2992" s="4">
        <f>IFERROR(__xludf.DUMMYFUNCTION("""COMPUTED_VALUE"""),5.0)</f>
        <v>5</v>
      </c>
      <c r="M2992" s="4">
        <f>IFERROR(__xludf.DUMMYFUNCTION("""COMPUTED_VALUE"""),17.0)</f>
        <v>17</v>
      </c>
      <c r="N2992" s="2" t="b">
        <f>IFERROR(__xludf.DUMMYFUNCTION("""COMPUTED_VALUE"""),TRUE)</f>
        <v>1</v>
      </c>
    </row>
    <row r="2993">
      <c r="A2993" s="2">
        <f>IFERROR(__xludf.DUMMYFUNCTION("""COMPUTED_VALUE"""),2992.0)</f>
        <v>2992</v>
      </c>
      <c r="B2993" s="2" t="str">
        <f>IFERROR(__xludf.DUMMYFUNCTION("""COMPUTED_VALUE"""),"Sidonnie MacMychem")</f>
        <v>Sidonnie MacMychem</v>
      </c>
      <c r="C2993" s="2"/>
      <c r="D2993" s="4">
        <f>IFERROR(__xludf.DUMMYFUNCTION("""COMPUTED_VALUE"""),113.0)</f>
        <v>113</v>
      </c>
      <c r="E2993" s="4">
        <f>IFERROR(__xludf.DUMMYFUNCTION("""COMPUTED_VALUE"""),15.0)</f>
        <v>15</v>
      </c>
      <c r="F2993" s="4">
        <f>IFERROR(__xludf.DUMMYFUNCTION("""COMPUTED_VALUE"""),9.0)</f>
        <v>9</v>
      </c>
      <c r="G2993" s="4">
        <f>IFERROR(__xludf.DUMMYFUNCTION("""COMPUTED_VALUE"""),772.0)</f>
        <v>772</v>
      </c>
      <c r="H2993" s="5">
        <f>IFERROR(__xludf.DUMMYFUNCTION("""COMPUTED_VALUE"""),7713.73)</f>
        <v>7713.73</v>
      </c>
      <c r="I2993" s="5">
        <f>IFERROR(__xludf.DUMMYFUNCTION("""COMPUTED_VALUE"""),8423.02)</f>
        <v>8423.02</v>
      </c>
      <c r="J2993" s="5">
        <f>IFERROR(__xludf.DUMMYFUNCTION("""COMPUTED_VALUE"""),9694.24)</f>
        <v>9694.24</v>
      </c>
      <c r="K2993" s="5">
        <f>IFERROR(__xludf.DUMMYFUNCTION("""COMPUTED_VALUE"""),7102.47)</f>
        <v>7102.47</v>
      </c>
      <c r="L2993" s="4">
        <f>IFERROR(__xludf.DUMMYFUNCTION("""COMPUTED_VALUE"""),11.0)</f>
        <v>11</v>
      </c>
      <c r="M2993" s="4">
        <f>IFERROR(__xludf.DUMMYFUNCTION("""COMPUTED_VALUE"""),83.0)</f>
        <v>83</v>
      </c>
      <c r="N2993" s="2" t="b">
        <f>IFERROR(__xludf.DUMMYFUNCTION("""COMPUTED_VALUE"""),FALSE)</f>
        <v>0</v>
      </c>
    </row>
    <row r="2994">
      <c r="A2994" s="2">
        <f>IFERROR(__xludf.DUMMYFUNCTION("""COMPUTED_VALUE"""),2993.0)</f>
        <v>2993</v>
      </c>
      <c r="B2994" s="2" t="str">
        <f>IFERROR(__xludf.DUMMYFUNCTION("""COMPUTED_VALUE"""),"Celestine Stonbridge")</f>
        <v>Celestine Stonbridge</v>
      </c>
      <c r="C2994" s="2"/>
      <c r="D2994" s="4">
        <f>IFERROR(__xludf.DUMMYFUNCTION("""COMPUTED_VALUE"""),152.0)</f>
        <v>152</v>
      </c>
      <c r="E2994" s="4">
        <f>IFERROR(__xludf.DUMMYFUNCTION("""COMPUTED_VALUE"""),3.0)</f>
        <v>3</v>
      </c>
      <c r="F2994" s="4">
        <f>IFERROR(__xludf.DUMMYFUNCTION("""COMPUTED_VALUE"""),5.0)</f>
        <v>5</v>
      </c>
      <c r="G2994" s="4">
        <f>IFERROR(__xludf.DUMMYFUNCTION("""COMPUTED_VALUE"""),1600.0)</f>
        <v>1600</v>
      </c>
      <c r="H2994" s="5">
        <f>IFERROR(__xludf.DUMMYFUNCTION("""COMPUTED_VALUE"""),6855.44)</f>
        <v>6855.44</v>
      </c>
      <c r="I2994" s="5">
        <f>IFERROR(__xludf.DUMMYFUNCTION("""COMPUTED_VALUE"""),5912.13)</f>
        <v>5912.13</v>
      </c>
      <c r="J2994" s="5">
        <f>IFERROR(__xludf.DUMMYFUNCTION("""COMPUTED_VALUE"""),1668.54)</f>
        <v>1668.54</v>
      </c>
      <c r="K2994" s="5">
        <f>IFERROR(__xludf.DUMMYFUNCTION("""COMPUTED_VALUE"""),93.99)</f>
        <v>93.99</v>
      </c>
      <c r="L2994" s="4">
        <f>IFERROR(__xludf.DUMMYFUNCTION("""COMPUTED_VALUE"""),4.0)</f>
        <v>4</v>
      </c>
      <c r="M2994" s="4">
        <f>IFERROR(__xludf.DUMMYFUNCTION("""COMPUTED_VALUE"""),97.0)</f>
        <v>97</v>
      </c>
      <c r="N2994" s="2" t="b">
        <f>IFERROR(__xludf.DUMMYFUNCTION("""COMPUTED_VALUE"""),FALSE)</f>
        <v>0</v>
      </c>
    </row>
    <row r="2995">
      <c r="A2995" s="2">
        <f>IFERROR(__xludf.DUMMYFUNCTION("""COMPUTED_VALUE"""),2994.0)</f>
        <v>2994</v>
      </c>
      <c r="B2995" s="2" t="str">
        <f>IFERROR(__xludf.DUMMYFUNCTION("""COMPUTED_VALUE"""),"Blanche Thwaites")</f>
        <v>Blanche Thwaites</v>
      </c>
      <c r="C2995" s="2" t="str">
        <f>IFERROR(__xludf.DUMMYFUNCTION("""COMPUTED_VALUE"""),"bthwaitesrm@bravesites.com")</f>
        <v>bthwaitesrm@bravesites.com</v>
      </c>
      <c r="D2995" s="4">
        <f>IFERROR(__xludf.DUMMYFUNCTION("""COMPUTED_VALUE"""),77.0)</f>
        <v>77</v>
      </c>
      <c r="E2995" s="4">
        <f>IFERROR(__xludf.DUMMYFUNCTION("""COMPUTED_VALUE"""),89.0)</f>
        <v>89</v>
      </c>
      <c r="F2995" s="4">
        <f>IFERROR(__xludf.DUMMYFUNCTION("""COMPUTED_VALUE"""),8.0)</f>
        <v>8</v>
      </c>
      <c r="G2995" s="4">
        <f>IFERROR(__xludf.DUMMYFUNCTION("""COMPUTED_VALUE"""),405.0)</f>
        <v>405</v>
      </c>
      <c r="H2995" s="5">
        <f>IFERROR(__xludf.DUMMYFUNCTION("""COMPUTED_VALUE"""),1195.38)</f>
        <v>1195.38</v>
      </c>
      <c r="I2995" s="5">
        <f>IFERROR(__xludf.DUMMYFUNCTION("""COMPUTED_VALUE"""),5482.47)</f>
        <v>5482.47</v>
      </c>
      <c r="J2995" s="5">
        <f>IFERROR(__xludf.DUMMYFUNCTION("""COMPUTED_VALUE"""),3368.16)</f>
        <v>3368.16</v>
      </c>
      <c r="K2995" s="5">
        <f>IFERROR(__xludf.DUMMYFUNCTION("""COMPUTED_VALUE"""),9297.67)</f>
        <v>9297.67</v>
      </c>
      <c r="L2995" s="4">
        <f>IFERROR(__xludf.DUMMYFUNCTION("""COMPUTED_VALUE"""),20.0)</f>
        <v>20</v>
      </c>
      <c r="M2995" s="4">
        <f>IFERROR(__xludf.DUMMYFUNCTION("""COMPUTED_VALUE"""),99.0)</f>
        <v>99</v>
      </c>
      <c r="N2995" s="2" t="b">
        <f>IFERROR(__xludf.DUMMYFUNCTION("""COMPUTED_VALUE"""),FALSE)</f>
        <v>0</v>
      </c>
    </row>
    <row r="2996">
      <c r="A2996" s="2">
        <f>IFERROR(__xludf.DUMMYFUNCTION("""COMPUTED_VALUE"""),2995.0)</f>
        <v>2995</v>
      </c>
      <c r="B2996" s="2" t="str">
        <f>IFERROR(__xludf.DUMMYFUNCTION("""COMPUTED_VALUE"""),"Christine Twinterman")</f>
        <v>Christine Twinterman</v>
      </c>
      <c r="C2996" s="2"/>
      <c r="D2996" s="4">
        <f>IFERROR(__xludf.DUMMYFUNCTION("""COMPUTED_VALUE"""),86.0)</f>
        <v>86</v>
      </c>
      <c r="E2996" s="4">
        <f>IFERROR(__xludf.DUMMYFUNCTION("""COMPUTED_VALUE"""),125.0)</f>
        <v>125</v>
      </c>
      <c r="F2996" s="4">
        <f>IFERROR(__xludf.DUMMYFUNCTION("""COMPUTED_VALUE"""),5.0)</f>
        <v>5</v>
      </c>
      <c r="G2996" s="4">
        <f>IFERROR(__xludf.DUMMYFUNCTION("""COMPUTED_VALUE"""),740.0)</f>
        <v>740</v>
      </c>
      <c r="H2996" s="5">
        <f>IFERROR(__xludf.DUMMYFUNCTION("""COMPUTED_VALUE"""),8944.62)</f>
        <v>8944.62</v>
      </c>
      <c r="I2996" s="5">
        <f>IFERROR(__xludf.DUMMYFUNCTION("""COMPUTED_VALUE"""),8914.15)</f>
        <v>8914.15</v>
      </c>
      <c r="J2996" s="5">
        <f>IFERROR(__xludf.DUMMYFUNCTION("""COMPUTED_VALUE"""),3315.07)</f>
        <v>3315.07</v>
      </c>
      <c r="K2996" s="5">
        <f>IFERROR(__xludf.DUMMYFUNCTION("""COMPUTED_VALUE"""),6357.94)</f>
        <v>6357.94</v>
      </c>
      <c r="L2996" s="4">
        <f>IFERROR(__xludf.DUMMYFUNCTION("""COMPUTED_VALUE"""),17.0)</f>
        <v>17</v>
      </c>
      <c r="M2996" s="4">
        <f>IFERROR(__xludf.DUMMYFUNCTION("""COMPUTED_VALUE"""),35.0)</f>
        <v>35</v>
      </c>
      <c r="N2996" s="2" t="b">
        <f>IFERROR(__xludf.DUMMYFUNCTION("""COMPUTED_VALUE"""),FALSE)</f>
        <v>0</v>
      </c>
    </row>
    <row r="2997">
      <c r="A2997" s="2">
        <f>IFERROR(__xludf.DUMMYFUNCTION("""COMPUTED_VALUE"""),2996.0)</f>
        <v>2996</v>
      </c>
      <c r="B2997" s="2" t="str">
        <f>IFERROR(__xludf.DUMMYFUNCTION("""COMPUTED_VALUE"""),"Enrique Ticehurst")</f>
        <v>Enrique Ticehurst</v>
      </c>
      <c r="C2997" s="2" t="str">
        <f>IFERROR(__xludf.DUMMYFUNCTION("""COMPUTED_VALUE"""),"eticehurstro@ezinearticles.com")</f>
        <v>eticehurstro@ezinearticles.com</v>
      </c>
      <c r="D2997" s="4">
        <f>IFERROR(__xludf.DUMMYFUNCTION("""COMPUTED_VALUE"""),132.0)</f>
        <v>132</v>
      </c>
      <c r="E2997" s="4">
        <f>IFERROR(__xludf.DUMMYFUNCTION("""COMPUTED_VALUE"""),16.0)</f>
        <v>16</v>
      </c>
      <c r="F2997" s="4">
        <f>IFERROR(__xludf.DUMMYFUNCTION("""COMPUTED_VALUE"""),2.0)</f>
        <v>2</v>
      </c>
      <c r="G2997" s="4">
        <f>IFERROR(__xludf.DUMMYFUNCTION("""COMPUTED_VALUE"""),470.0)</f>
        <v>470</v>
      </c>
      <c r="H2997" s="5">
        <f>IFERROR(__xludf.DUMMYFUNCTION("""COMPUTED_VALUE"""),9071.82)</f>
        <v>9071.82</v>
      </c>
      <c r="I2997" s="5">
        <f>IFERROR(__xludf.DUMMYFUNCTION("""COMPUTED_VALUE"""),6819.64)</f>
        <v>6819.64</v>
      </c>
      <c r="J2997" s="5">
        <f>IFERROR(__xludf.DUMMYFUNCTION("""COMPUTED_VALUE"""),4396.82)</f>
        <v>4396.82</v>
      </c>
      <c r="K2997" s="5">
        <f>IFERROR(__xludf.DUMMYFUNCTION("""COMPUTED_VALUE"""),3049.33)</f>
        <v>3049.33</v>
      </c>
      <c r="L2997" s="4">
        <f>IFERROR(__xludf.DUMMYFUNCTION("""COMPUTED_VALUE"""),2.0)</f>
        <v>2</v>
      </c>
      <c r="M2997" s="4">
        <f>IFERROR(__xludf.DUMMYFUNCTION("""COMPUTED_VALUE"""),98.0)</f>
        <v>98</v>
      </c>
      <c r="N2997" s="2" t="b">
        <f>IFERROR(__xludf.DUMMYFUNCTION("""COMPUTED_VALUE"""),FALSE)</f>
        <v>0</v>
      </c>
    </row>
    <row r="2998">
      <c r="A2998" s="2">
        <f>IFERROR(__xludf.DUMMYFUNCTION("""COMPUTED_VALUE"""),2997.0)</f>
        <v>2997</v>
      </c>
      <c r="B2998" s="2" t="str">
        <f>IFERROR(__xludf.DUMMYFUNCTION("""COMPUTED_VALUE"""),"Ralina Flawn")</f>
        <v>Ralina Flawn</v>
      </c>
      <c r="C2998" s="2" t="str">
        <f>IFERROR(__xludf.DUMMYFUNCTION("""COMPUTED_VALUE"""),"rflawnrp@xrea.com")</f>
        <v>rflawnrp@xrea.com</v>
      </c>
      <c r="D2998" s="4">
        <f>IFERROR(__xludf.DUMMYFUNCTION("""COMPUTED_VALUE"""),89.0)</f>
        <v>89</v>
      </c>
      <c r="E2998" s="4">
        <f>IFERROR(__xludf.DUMMYFUNCTION("""COMPUTED_VALUE"""),28.0)</f>
        <v>28</v>
      </c>
      <c r="F2998" s="4">
        <f>IFERROR(__xludf.DUMMYFUNCTION("""COMPUTED_VALUE"""),8.0)</f>
        <v>8</v>
      </c>
      <c r="G2998" s="4">
        <f>IFERROR(__xludf.DUMMYFUNCTION("""COMPUTED_VALUE"""),340.0)</f>
        <v>340</v>
      </c>
      <c r="H2998" s="5">
        <f>IFERROR(__xludf.DUMMYFUNCTION("""COMPUTED_VALUE"""),8322.46)</f>
        <v>8322.46</v>
      </c>
      <c r="I2998" s="5">
        <f>IFERROR(__xludf.DUMMYFUNCTION("""COMPUTED_VALUE"""),4658.4)</f>
        <v>4658.4</v>
      </c>
      <c r="J2998" s="5">
        <f>IFERROR(__xludf.DUMMYFUNCTION("""COMPUTED_VALUE"""),5402.63)</f>
        <v>5402.63</v>
      </c>
      <c r="K2998" s="5">
        <f>IFERROR(__xludf.DUMMYFUNCTION("""COMPUTED_VALUE"""),5797.26)</f>
        <v>5797.26</v>
      </c>
      <c r="L2998" s="4">
        <f>IFERROR(__xludf.DUMMYFUNCTION("""COMPUTED_VALUE"""),3.0)</f>
        <v>3</v>
      </c>
      <c r="M2998" s="4">
        <f>IFERROR(__xludf.DUMMYFUNCTION("""COMPUTED_VALUE"""),82.0)</f>
        <v>82</v>
      </c>
      <c r="N2998" s="2" t="b">
        <f>IFERROR(__xludf.DUMMYFUNCTION("""COMPUTED_VALUE"""),TRUE)</f>
        <v>1</v>
      </c>
    </row>
    <row r="2999">
      <c r="A2999" s="2">
        <f>IFERROR(__xludf.DUMMYFUNCTION("""COMPUTED_VALUE"""),2998.0)</f>
        <v>2998</v>
      </c>
      <c r="B2999" s="2" t="str">
        <f>IFERROR(__xludf.DUMMYFUNCTION("""COMPUTED_VALUE"""),"Barbabas Preskett")</f>
        <v>Barbabas Preskett</v>
      </c>
      <c r="C2999" s="2" t="str">
        <f>IFERROR(__xludf.DUMMYFUNCTION("""COMPUTED_VALUE"""),"bpreskettrq@bbc.co.uk")</f>
        <v>bpreskettrq@bbc.co.uk</v>
      </c>
      <c r="D2999" s="4">
        <f>IFERROR(__xludf.DUMMYFUNCTION("""COMPUTED_VALUE"""),4.0)</f>
        <v>4</v>
      </c>
      <c r="E2999" s="4">
        <f>IFERROR(__xludf.DUMMYFUNCTION("""COMPUTED_VALUE"""),124.0)</f>
        <v>124</v>
      </c>
      <c r="F2999" s="4">
        <f>IFERROR(__xludf.DUMMYFUNCTION("""COMPUTED_VALUE"""),5.0)</f>
        <v>5</v>
      </c>
      <c r="G2999" s="4">
        <f>IFERROR(__xludf.DUMMYFUNCTION("""COMPUTED_VALUE"""),1364.0)</f>
        <v>1364</v>
      </c>
      <c r="H2999" s="5">
        <f>IFERROR(__xludf.DUMMYFUNCTION("""COMPUTED_VALUE"""),9810.3)</f>
        <v>9810.3</v>
      </c>
      <c r="I2999" s="5">
        <f>IFERROR(__xludf.DUMMYFUNCTION("""COMPUTED_VALUE"""),1714.68)</f>
        <v>1714.68</v>
      </c>
      <c r="J2999" s="5">
        <f>IFERROR(__xludf.DUMMYFUNCTION("""COMPUTED_VALUE"""),6575.53)</f>
        <v>6575.53</v>
      </c>
      <c r="K2999" s="5">
        <f>IFERROR(__xludf.DUMMYFUNCTION("""COMPUTED_VALUE"""),8109.93)</f>
        <v>8109.93</v>
      </c>
      <c r="L2999" s="4">
        <f>IFERROR(__xludf.DUMMYFUNCTION("""COMPUTED_VALUE"""),14.0)</f>
        <v>14</v>
      </c>
      <c r="M2999" s="4">
        <f>IFERROR(__xludf.DUMMYFUNCTION("""COMPUTED_VALUE"""),55.0)</f>
        <v>55</v>
      </c>
      <c r="N2999" s="2" t="b">
        <f>IFERROR(__xludf.DUMMYFUNCTION("""COMPUTED_VALUE"""),FALSE)</f>
        <v>0</v>
      </c>
    </row>
    <row r="3000">
      <c r="A3000" s="2">
        <f>IFERROR(__xludf.DUMMYFUNCTION("""COMPUTED_VALUE"""),2999.0)</f>
        <v>2999</v>
      </c>
      <c r="B3000" s="2" t="str">
        <f>IFERROR(__xludf.DUMMYFUNCTION("""COMPUTED_VALUE"""),"Lindi Serjeant")</f>
        <v>Lindi Serjeant</v>
      </c>
      <c r="C3000" s="2"/>
      <c r="D3000" s="4">
        <f>IFERROR(__xludf.DUMMYFUNCTION("""COMPUTED_VALUE"""),145.0)</f>
        <v>145</v>
      </c>
      <c r="E3000" s="4">
        <f>IFERROR(__xludf.DUMMYFUNCTION("""COMPUTED_VALUE"""),59.0)</f>
        <v>59</v>
      </c>
      <c r="F3000" s="4">
        <f>IFERROR(__xludf.DUMMYFUNCTION("""COMPUTED_VALUE"""),9.0)</f>
        <v>9</v>
      </c>
      <c r="G3000" s="4">
        <f>IFERROR(__xludf.DUMMYFUNCTION("""COMPUTED_VALUE"""),764.0)</f>
        <v>764</v>
      </c>
      <c r="H3000" s="5">
        <f>IFERROR(__xludf.DUMMYFUNCTION("""COMPUTED_VALUE"""),3567.36)</f>
        <v>3567.36</v>
      </c>
      <c r="I3000" s="5">
        <f>IFERROR(__xludf.DUMMYFUNCTION("""COMPUTED_VALUE"""),1007.43)</f>
        <v>1007.43</v>
      </c>
      <c r="J3000" s="5">
        <f>IFERROR(__xludf.DUMMYFUNCTION("""COMPUTED_VALUE"""),9839.85)</f>
        <v>9839.85</v>
      </c>
      <c r="K3000" s="5">
        <f>IFERROR(__xludf.DUMMYFUNCTION("""COMPUTED_VALUE"""),6711.82)</f>
        <v>6711.82</v>
      </c>
      <c r="L3000" s="4">
        <f>IFERROR(__xludf.DUMMYFUNCTION("""COMPUTED_VALUE"""),1.0)</f>
        <v>1</v>
      </c>
      <c r="M3000" s="4">
        <f>IFERROR(__xludf.DUMMYFUNCTION("""COMPUTED_VALUE"""),93.0)</f>
        <v>93</v>
      </c>
      <c r="N3000" s="2" t="b">
        <f>IFERROR(__xludf.DUMMYFUNCTION("""COMPUTED_VALUE"""),TRUE)</f>
        <v>1</v>
      </c>
    </row>
    <row r="3001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</row>
  </sheetData>
  <drawing r:id="rId1"/>
</worksheet>
</file>