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ulj\Documents\Sem. Ing. Soft. I\"/>
    </mc:Choice>
  </mc:AlternateContent>
  <xr:revisionPtr revIDLastSave="0" documentId="13_ncr:1_{E6BDB084-244A-4171-9E6C-6118FEC32038}" xr6:coauthVersionLast="44" xr6:coauthVersionMax="44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eoria" sheetId="1" r:id="rId1"/>
    <sheet name="Estimación Lineas De Código" sheetId="4" r:id="rId2"/>
    <sheet name="COCOMO Básico" sheetId="2" r:id="rId3"/>
    <sheet name="COCOMO Intermedio" sheetId="5" r:id="rId4"/>
    <sheet name="Sumatoria TOTAL" sheetId="7" r:id="rId5"/>
    <sheet name="Distribucion de Esfuerzo y Cr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7" l="1"/>
  <c r="G56" i="5"/>
  <c r="D79" i="5"/>
  <c r="D72" i="5"/>
  <c r="G65" i="5"/>
  <c r="D65" i="5"/>
  <c r="G29" i="2"/>
  <c r="D38" i="2"/>
  <c r="D52" i="2"/>
  <c r="E45" i="2"/>
  <c r="D45" i="2"/>
  <c r="E38" i="2"/>
  <c r="D77" i="5" l="1"/>
  <c r="D78" i="5"/>
  <c r="D76" i="5"/>
  <c r="D70" i="5"/>
  <c r="D71" i="5"/>
  <c r="D69" i="5"/>
  <c r="G63" i="5"/>
  <c r="G64" i="5"/>
  <c r="G62" i="5"/>
  <c r="E36" i="2"/>
  <c r="E43" i="2" s="1"/>
  <c r="E37" i="2"/>
  <c r="E44" i="2" s="1"/>
  <c r="E35" i="2"/>
  <c r="D50" i="2"/>
  <c r="D51" i="2"/>
  <c r="D49" i="2"/>
  <c r="D43" i="2"/>
  <c r="D44" i="2"/>
  <c r="D42" i="2"/>
  <c r="E42" i="2" l="1"/>
  <c r="E40" i="5"/>
  <c r="K43" i="5" l="1"/>
  <c r="J43" i="5"/>
  <c r="I43" i="5"/>
  <c r="H43" i="5"/>
  <c r="G43" i="5"/>
  <c r="K16" i="2"/>
  <c r="J16" i="2"/>
  <c r="I16" i="2"/>
  <c r="H16" i="2"/>
  <c r="G16" i="2"/>
  <c r="D17" i="4" l="1"/>
  <c r="C17" i="4"/>
  <c r="M7" i="4"/>
  <c r="M8" i="4"/>
  <c r="M9" i="4"/>
  <c r="M10" i="4"/>
  <c r="M6" i="4"/>
  <c r="M11" i="4" l="1"/>
  <c r="I15" i="4" l="1"/>
  <c r="I17" i="4" s="1"/>
  <c r="C20" i="4" s="1"/>
  <c r="H18" i="2" l="1"/>
  <c r="C18" i="2" s="1"/>
  <c r="C20" i="2" s="1"/>
  <c r="G31" i="2" s="1"/>
  <c r="H45" i="5"/>
  <c r="C45" i="5" s="1"/>
  <c r="C47" i="5" l="1"/>
  <c r="G58" i="5" s="1"/>
  <c r="C22" i="2"/>
  <c r="C49" i="5" l="1"/>
</calcChain>
</file>

<file path=xl/sharedStrings.xml><?xml version="1.0" encoding="utf-8"?>
<sst xmlns="http://schemas.openxmlformats.org/spreadsheetml/2006/main" count="184" uniqueCount="103">
  <si>
    <t>Estimacion De Costo COCOMOII</t>
  </si>
  <si>
    <t>COCOMO Básico</t>
  </si>
  <si>
    <t>Tipo de proyecto</t>
  </si>
  <si>
    <t>Ecuaciones</t>
  </si>
  <si>
    <t>Esfuerzo (en meses-personas)</t>
  </si>
  <si>
    <t>Duración (en meses)</t>
  </si>
  <si>
    <t>Número de personas</t>
  </si>
  <si>
    <t>Modo Orgánico</t>
  </si>
  <si>
    <t>Modo Semiacoplado</t>
  </si>
  <si>
    <t>Modo Empotrado</t>
  </si>
  <si>
    <t>Puntos de Función No Alineados</t>
  </si>
  <si>
    <t>Complejidad</t>
  </si>
  <si>
    <t>Descripción</t>
  </si>
  <si>
    <t>Baja</t>
  </si>
  <si>
    <t>Estimación de lineas de código y puntos de función</t>
  </si>
  <si>
    <t>Entradas</t>
  </si>
  <si>
    <t>Salidas</t>
  </si>
  <si>
    <t>Procesos</t>
  </si>
  <si>
    <t>Archivos</t>
  </si>
  <si>
    <t>Interfaces</t>
  </si>
  <si>
    <t>X</t>
  </si>
  <si>
    <t>Media</t>
  </si>
  <si>
    <t>Alta</t>
  </si>
  <si>
    <t>Suma Total:</t>
  </si>
  <si>
    <t>Lenguaje</t>
  </si>
  <si>
    <t>Factor</t>
  </si>
  <si>
    <t>LDC/PF</t>
  </si>
  <si>
    <t>Assembly</t>
  </si>
  <si>
    <t>Turbo C</t>
  </si>
  <si>
    <t>Pascal</t>
  </si>
  <si>
    <t>Lisp</t>
  </si>
  <si>
    <t>Prolog</t>
  </si>
  <si>
    <t>Java</t>
  </si>
  <si>
    <t>C++</t>
  </si>
  <si>
    <t>Eclipse</t>
  </si>
  <si>
    <t>Oracle</t>
  </si>
  <si>
    <t>File Market Pro</t>
  </si>
  <si>
    <t>Delphi</t>
  </si>
  <si>
    <t>VB</t>
  </si>
  <si>
    <t>Crystal Reports</t>
  </si>
  <si>
    <t>SQL</t>
  </si>
  <si>
    <t>Lotus</t>
  </si>
  <si>
    <t>Excel</t>
  </si>
  <si>
    <t>MathCad</t>
  </si>
  <si>
    <t>Reuse</t>
  </si>
  <si>
    <t>Lenguaje de 5ta Gen</t>
  </si>
  <si>
    <t>PF=</t>
  </si>
  <si>
    <t>f</t>
  </si>
  <si>
    <t>LCD=</t>
  </si>
  <si>
    <t>LCD/PF</t>
  </si>
  <si>
    <t>Modo</t>
  </si>
  <si>
    <t>a</t>
  </si>
  <si>
    <t>b</t>
  </si>
  <si>
    <t>c</t>
  </si>
  <si>
    <t>d</t>
  </si>
  <si>
    <t>Orgánico</t>
  </si>
  <si>
    <t>Semi-Acoplado</t>
  </si>
  <si>
    <t>Empotrado</t>
  </si>
  <si>
    <t>MODO</t>
  </si>
  <si>
    <t>ESFUERZO</t>
  </si>
  <si>
    <t>TIEMPO</t>
  </si>
  <si>
    <t>PERSONAS</t>
  </si>
  <si>
    <t>KLDC</t>
  </si>
  <si>
    <t>N° Personas</t>
  </si>
  <si>
    <t>Meses</t>
  </si>
  <si>
    <t>Meses-Personas</t>
  </si>
  <si>
    <t>Costo Total del proyecto x número de horas:</t>
  </si>
  <si>
    <t>Sueldo mensual por empleado:</t>
  </si>
  <si>
    <t>Empleado 1:</t>
  </si>
  <si>
    <t>Empleado 2:</t>
  </si>
  <si>
    <t>Empleado..:</t>
  </si>
  <si>
    <t>Suma Total x Mes:</t>
  </si>
  <si>
    <t>Sueldo diario por empleado:</t>
  </si>
  <si>
    <t>Suma Total x Dia:</t>
  </si>
  <si>
    <t>Costo por hora de desarrollo:</t>
  </si>
  <si>
    <t>Suma Total x Hora:</t>
  </si>
  <si>
    <t>Costo final con ganancia:</t>
  </si>
  <si>
    <t>COCOMO Intermedio</t>
  </si>
  <si>
    <t>Puntos De Funcion Ajustados (FAE)</t>
  </si>
  <si>
    <t>N°</t>
  </si>
  <si>
    <t>Factor de Ajuste</t>
  </si>
  <si>
    <t>Valor - 0.0 … 5.0</t>
  </si>
  <si>
    <t>Comunicación de datos</t>
  </si>
  <si>
    <t>Proceso Distribuido</t>
  </si>
  <si>
    <t>Objetivos de Rendimiento</t>
  </si>
  <si>
    <t>Configuracion de Explotacion Compartida</t>
  </si>
  <si>
    <t>Entrada de Datos en Linea</t>
  </si>
  <si>
    <t>Eficiencia con el Usuario Final</t>
  </si>
  <si>
    <t>Tasas de Transacciones</t>
  </si>
  <si>
    <t>Instalaciones Multiples</t>
  </si>
  <si>
    <t>Factor de Ajuste total:</t>
  </si>
  <si>
    <t>Facilidad de Operación</t>
  </si>
  <si>
    <t>Facilidad de Cambios</t>
  </si>
  <si>
    <t>Conversion de instalacion Comptemplada</t>
  </si>
  <si>
    <t>Reusabilidad de Codigo</t>
  </si>
  <si>
    <t>Actualizaciones en Linea</t>
  </si>
  <si>
    <t>Lógica de Proceso Interno Compleja</t>
  </si>
  <si>
    <t>Sueldo Mensual por el proyecto:</t>
  </si>
  <si>
    <t>ANSI SQL</t>
  </si>
  <si>
    <t>JavaScript</t>
  </si>
  <si>
    <t>PHP</t>
  </si>
  <si>
    <t>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</si>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</sst>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BA6E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DBA6EC"/>
      </left>
      <right style="medium">
        <color rgb="FFDBA6EC"/>
      </right>
      <top style="medium">
        <color rgb="FFDBA6EC"/>
      </top>
      <bottom style="medium">
        <color rgb="FFDBA6EC"/>
      </bottom>
      <diagonal/>
    </border>
    <border>
      <left style="medium">
        <color rgb="FFDBA6EC"/>
      </left>
      <right/>
      <top style="medium">
        <color rgb="FFDBA6EC"/>
      </top>
      <bottom style="medium">
        <color rgb="FFDBA6EC"/>
      </bottom>
      <diagonal/>
    </border>
    <border>
      <left/>
      <right/>
      <top style="medium">
        <color rgb="FFDBA6EC"/>
      </top>
      <bottom style="medium">
        <color rgb="FFDBA6EC"/>
      </bottom>
      <diagonal/>
    </border>
    <border>
      <left/>
      <right style="medium">
        <color rgb="FFDBA6EC"/>
      </right>
      <top style="medium">
        <color rgb="FFDBA6EC"/>
      </top>
      <bottom style="medium">
        <color rgb="FFDBA6EC"/>
      </bottom>
      <diagonal/>
    </border>
    <border>
      <left style="medium">
        <color rgb="FFDBA6EC"/>
      </left>
      <right style="medium">
        <color rgb="FFDBA6EC"/>
      </right>
      <top style="medium">
        <color rgb="FFDBA6EC"/>
      </top>
      <bottom/>
      <diagonal/>
    </border>
    <border>
      <left style="medium">
        <color rgb="FFDBA6EC"/>
      </left>
      <right style="medium">
        <color rgb="FFDBA6EC"/>
      </right>
      <top/>
      <bottom style="medium">
        <color rgb="FFDBA6EC"/>
      </bottom>
      <diagonal/>
    </border>
    <border>
      <left style="medium">
        <color rgb="FFDBA6EC"/>
      </left>
      <right/>
      <top style="medium">
        <color rgb="FFDBA6EC"/>
      </top>
      <bottom/>
      <diagonal/>
    </border>
    <border>
      <left style="medium">
        <color rgb="FFDBA6EC"/>
      </left>
      <right/>
      <top/>
      <bottom style="medium">
        <color rgb="FFDBA6EC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5" tint="0.39997558519241921"/>
      </left>
      <right/>
      <top style="medium">
        <color theme="5" tint="0.39997558519241921"/>
      </top>
      <bottom style="medium">
        <color theme="5" tint="0.39997558519241921"/>
      </bottom>
      <diagonal/>
    </border>
    <border>
      <left/>
      <right/>
      <top style="medium">
        <color theme="5" tint="0.39997558519241921"/>
      </top>
      <bottom style="medium">
        <color theme="5" tint="0.39997558519241921"/>
      </bottom>
      <diagonal/>
    </border>
    <border>
      <left/>
      <right style="medium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00B05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3" xfId="0" applyBorder="1"/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top" wrapText="1"/>
    </xf>
    <xf numFmtId="0" fontId="6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0" fillId="0" borderId="8" xfId="0" applyBorder="1"/>
    <xf numFmtId="0" fontId="6" fillId="0" borderId="1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9" xfId="0" applyBorder="1"/>
    <xf numFmtId="0" fontId="8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0" fillId="3" borderId="9" xfId="0" applyFill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0" fillId="4" borderId="0" xfId="0" applyFont="1" applyFill="1" applyBorder="1" applyAlignment="1">
      <alignment horizontal="center" vertical="center" wrapText="1"/>
    </xf>
    <xf numFmtId="0" fontId="0" fillId="0" borderId="20" xfId="0" applyBorder="1"/>
    <xf numFmtId="0" fontId="10" fillId="4" borderId="2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9" fillId="4" borderId="19" xfId="0" applyFont="1" applyFill="1" applyBorder="1" applyAlignment="1">
      <alignment horizontal="center" vertical="center"/>
    </xf>
    <xf numFmtId="0" fontId="1" fillId="6" borderId="23" xfId="0" applyFont="1" applyFill="1" applyBorder="1"/>
    <xf numFmtId="0" fontId="1" fillId="0" borderId="24" xfId="0" applyFont="1" applyBorder="1"/>
    <xf numFmtId="0" fontId="1" fillId="6" borderId="24" xfId="0" applyFont="1" applyFill="1" applyBorder="1"/>
    <xf numFmtId="0" fontId="1" fillId="6" borderId="25" xfId="0" applyFont="1" applyFill="1" applyBorder="1"/>
    <xf numFmtId="0" fontId="10" fillId="6" borderId="29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0" fillId="0" borderId="0" xfId="0" applyBorder="1" applyAlignment="1">
      <alignment horizontal="right" vertical="center"/>
    </xf>
    <xf numFmtId="0" fontId="1" fillId="0" borderId="38" xfId="0" applyFont="1" applyBorder="1" applyAlignment="1">
      <alignment horizontal="right"/>
    </xf>
    <xf numFmtId="164" fontId="0" fillId="0" borderId="38" xfId="0" applyNumberFormat="1" applyBorder="1"/>
    <xf numFmtId="0" fontId="3" fillId="0" borderId="0" xfId="0" applyFont="1" applyFill="1" applyBorder="1" applyAlignment="1">
      <alignment horizontal="right" wrapText="1"/>
    </xf>
    <xf numFmtId="0" fontId="0" fillId="0" borderId="0" xfId="0" applyFill="1"/>
    <xf numFmtId="165" fontId="11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45" xfId="0" applyBorder="1"/>
    <xf numFmtId="0" fontId="6" fillId="0" borderId="49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65" fontId="0" fillId="0" borderId="0" xfId="0" applyNumberFormat="1"/>
    <xf numFmtId="0" fontId="1" fillId="0" borderId="14" xfId="0" applyFont="1" applyBorder="1" applyAlignment="1">
      <alignment horizontal="right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13" fillId="6" borderId="35" xfId="0" applyFont="1" applyFill="1" applyBorder="1" applyAlignment="1">
      <alignment horizontal="center" vertical="center"/>
    </xf>
    <xf numFmtId="0" fontId="13" fillId="6" borderId="36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3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 vertical="center"/>
    </xf>
    <xf numFmtId="0" fontId="3" fillId="7" borderId="39" xfId="0" applyFont="1" applyFill="1" applyBorder="1" applyAlignment="1">
      <alignment horizontal="right" wrapText="1"/>
    </xf>
    <xf numFmtId="0" fontId="3" fillId="7" borderId="40" xfId="0" applyFont="1" applyFill="1" applyBorder="1" applyAlignment="1">
      <alignment horizontal="right" wrapText="1"/>
    </xf>
    <xf numFmtId="165" fontId="11" fillId="0" borderId="40" xfId="0" applyNumberFormat="1" applyFont="1" applyBorder="1" applyAlignment="1">
      <alignment horizontal="center"/>
    </xf>
    <xf numFmtId="165" fontId="11" fillId="0" borderId="41" xfId="0" applyNumberFormat="1" applyFont="1" applyBorder="1" applyAlignment="1">
      <alignment horizontal="center"/>
    </xf>
    <xf numFmtId="0" fontId="3" fillId="5" borderId="42" xfId="0" applyFont="1" applyFill="1" applyBorder="1" applyAlignment="1">
      <alignment horizontal="right" wrapText="1"/>
    </xf>
    <xf numFmtId="0" fontId="3" fillId="5" borderId="43" xfId="0" applyFont="1" applyFill="1" applyBorder="1" applyAlignment="1">
      <alignment horizontal="right" wrapText="1"/>
    </xf>
    <xf numFmtId="0" fontId="3" fillId="5" borderId="44" xfId="0" applyFont="1" applyFill="1" applyBorder="1" applyAlignment="1">
      <alignment horizontal="right" wrapText="1"/>
    </xf>
    <xf numFmtId="165" fontId="11" fillId="0" borderId="42" xfId="0" applyNumberFormat="1" applyFont="1" applyBorder="1" applyAlignment="1">
      <alignment horizontal="center"/>
    </xf>
    <xf numFmtId="165" fontId="11" fillId="0" borderId="43" xfId="0" applyNumberFormat="1" applyFont="1" applyBorder="1" applyAlignment="1">
      <alignment horizontal="center"/>
    </xf>
    <xf numFmtId="165" fontId="11" fillId="0" borderId="44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2" fillId="8" borderId="47" xfId="0" applyFont="1" applyFill="1" applyBorder="1" applyAlignment="1">
      <alignment horizontal="center" vertical="center" wrapText="1"/>
    </xf>
    <xf numFmtId="0" fontId="2" fillId="8" borderId="48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0" fillId="9" borderId="37" xfId="0" applyFill="1" applyBorder="1" applyAlignment="1">
      <alignment horizontal="right"/>
    </xf>
    <xf numFmtId="0" fontId="0" fillId="9" borderId="37" xfId="0" applyFill="1" applyBorder="1"/>
    <xf numFmtId="165" fontId="0" fillId="9" borderId="14" xfId="0" applyNumberFormat="1" applyFill="1" applyBorder="1" applyAlignment="1">
      <alignment horizontal="right"/>
    </xf>
    <xf numFmtId="0" fontId="0" fillId="9" borderId="0" xfId="0" applyFill="1"/>
    <xf numFmtId="165" fontId="0" fillId="9" borderId="0" xfId="0" applyNumberFormat="1" applyFill="1"/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Border="1" applyAlignment="1">
      <alignment horizontal="center"/>
    </xf>
    <xf numFmtId="0" fontId="3" fillId="11" borderId="53" xfId="0" applyFont="1" applyFill="1" applyBorder="1" applyAlignment="1">
      <alignment horizontal="right" wrapText="1"/>
    </xf>
    <xf numFmtId="0" fontId="3" fillId="11" borderId="54" xfId="0" applyFont="1" applyFill="1" applyBorder="1" applyAlignment="1">
      <alignment horizontal="right" wrapText="1"/>
    </xf>
    <xf numFmtId="165" fontId="11" fillId="0" borderId="54" xfId="0" applyNumberFormat="1" applyFont="1" applyBorder="1" applyAlignment="1">
      <alignment horizontal="center"/>
    </xf>
    <xf numFmtId="165" fontId="11" fillId="0" borderId="55" xfId="0" applyNumberFormat="1" applyFont="1" applyBorder="1" applyAlignment="1">
      <alignment horizontal="center"/>
    </xf>
    <xf numFmtId="165" fontId="11" fillId="0" borderId="57" xfId="0" applyNumberFormat="1" applyFont="1" applyBorder="1" applyAlignment="1">
      <alignment horizontal="center"/>
    </xf>
    <xf numFmtId="165" fontId="11" fillId="0" borderId="58" xfId="0" applyNumberFormat="1" applyFon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0" fontId="0" fillId="0" borderId="56" xfId="0" applyBorder="1" applyAlignment="1">
      <alignment horizontal="center"/>
    </xf>
  </cellXfs>
  <cellStyles count="1">
    <cellStyle name="Normal" xfId="0" builtinId="0"/>
  </cellStyles>
  <dxfs count="1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BA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</xdr:colOff>
      <xdr:row>2</xdr:row>
      <xdr:rowOff>9525</xdr:rowOff>
    </xdr:from>
    <xdr:ext cx="6981826" cy="1297919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199" y="495300"/>
          <a:ext cx="6981826" cy="1297919"/>
        </a:xfrm>
        <a:prstGeom prst="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r>
            <a:rPr lang="es-MX" b="1"/>
            <a:t>Modelos Algorítmicos: </a:t>
          </a:r>
          <a:r>
            <a:rPr lang="es-MX"/>
            <a:t>Estos métodos proveen uno o más algoritmos que estiman el costo del software en función de un número de variables que se consideran los principales factores de costo. El modelo </a:t>
          </a:r>
          <a:r>
            <a:rPr lang="es-MX" b="1"/>
            <a:t>COCOMO</a:t>
          </a:r>
          <a:r>
            <a:rPr lang="es-MX"/>
            <a:t> es un ejemplo de modelo algorítmico.</a:t>
          </a:r>
          <a:endParaRPr lang="es-MX" sz="1100" b="1"/>
        </a:p>
        <a:p>
          <a:endParaRPr lang="es-MX" sz="1100" b="1"/>
        </a:p>
        <a:p>
          <a:r>
            <a:rPr lang="es-MX"/>
            <a:t>En el año 1981 Barry Boehm publica el modelo COCOMO, acorde a las prácticas de desarrollo de software de aquel momento [Boehm 1981]. Durante la década de los 80, el modelo se continuó perfeccionando y consolidando, siendo el modelo de estimación de costos más ampliamente utilizado en el mundo.</a:t>
          </a:r>
          <a:endParaRPr lang="es-MX" sz="1100" b="1"/>
        </a:p>
      </xdr:txBody>
    </xdr:sp>
    <xdr:clientData/>
  </xdr:oneCellAnchor>
  <xdr:oneCellAnchor>
    <xdr:from>
      <xdr:col>0</xdr:col>
      <xdr:colOff>95248</xdr:colOff>
      <xdr:row>9</xdr:row>
      <xdr:rowOff>85725</xdr:rowOff>
    </xdr:from>
    <xdr:ext cx="6980400" cy="95346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48" y="1905000"/>
          <a:ext cx="6980400" cy="953466"/>
        </a:xfrm>
        <a:prstGeom prst="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s-MX"/>
            <a:t>COCOMO</a:t>
          </a:r>
          <a:r>
            <a:rPr lang="es-MX" baseline="0"/>
            <a:t> </a:t>
          </a:r>
          <a:r>
            <a:rPr lang="es-MX"/>
            <a:t> está compuesto por tres modelos que corresponden a distintos niveles de detalle y precisión. Mencionados en orden creciente son: </a:t>
          </a:r>
          <a:r>
            <a:rPr lang="es-MX" b="1"/>
            <a:t>Modelo Básico, Intermedio y Detallado. </a:t>
          </a:r>
          <a:r>
            <a:rPr lang="es-MX"/>
            <a:t>La estimación es más precisa a medida que se toman en cuenta mayor cantidad de factores que influyen en el desarrollo de un producto de software. COCOMO permite estimar cómo se distribuye el </a:t>
          </a:r>
          <a:r>
            <a:rPr lang="es-MX" b="1"/>
            <a:t>esfuerzo y el tiempo</a:t>
          </a:r>
          <a:r>
            <a:rPr lang="es-MX"/>
            <a:t> en las distintas fases del desarrollo de un proyecto y dentro de cada fase, en las actividades principales. </a:t>
          </a:r>
          <a:endParaRPr lang="es-MX" sz="1100"/>
        </a:p>
      </xdr:txBody>
    </xdr:sp>
    <xdr:clientData/>
  </xdr:oneCellAnchor>
  <xdr:oneCellAnchor>
    <xdr:from>
      <xdr:col>0</xdr:col>
      <xdr:colOff>85724</xdr:colOff>
      <xdr:row>15</xdr:row>
      <xdr:rowOff>9525</xdr:rowOff>
    </xdr:from>
    <xdr:ext cx="6980400" cy="43678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5724" y="2971800"/>
          <a:ext cx="6980400" cy="436786"/>
        </a:xfrm>
        <a:prstGeom prst="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/>
            <a:t>En el modelo COCOMO uno de los factores más importantes que influye en la duración y el costo de un proyecto de software es el Modo de Desarrollo. </a:t>
          </a:r>
          <a:r>
            <a:rPr lang="es-MX" b="1" u="sng"/>
            <a:t>Todo proyecto corresponde a uno de los siguientes tres modos</a:t>
          </a:r>
          <a:r>
            <a:rPr lang="es-MX"/>
            <a:t>:</a:t>
          </a:r>
          <a:endParaRPr lang="es-MX" sz="1100"/>
        </a:p>
      </xdr:txBody>
    </xdr:sp>
    <xdr:clientData/>
  </xdr:oneCellAnchor>
  <xdr:oneCellAnchor>
    <xdr:from>
      <xdr:col>0</xdr:col>
      <xdr:colOff>114300</xdr:colOff>
      <xdr:row>17</xdr:row>
      <xdr:rowOff>180975</xdr:rowOff>
    </xdr:from>
    <xdr:ext cx="6944400" cy="43678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4300" y="3524250"/>
          <a:ext cx="6944400" cy="436786"/>
        </a:xfrm>
        <a:prstGeom prst="rect">
          <a:avLst/>
        </a:prstGeom>
        <a:solidFill>
          <a:sysClr val="window" lastClr="FFFFFF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/>
            <a:t>Organico: </a:t>
          </a:r>
          <a:r>
            <a:rPr lang="es-MX" sz="1100"/>
            <a:t>Un pequeño</a:t>
          </a:r>
          <a:r>
            <a:rPr lang="es-MX" sz="1100" baseline="0"/>
            <a:t> grupo de programadores experimentados desarrollan software en un ambiente familiar. Proyectos relativamente sencillos(menores de 50KDLC) lineas de codigo</a:t>
          </a:r>
          <a:endParaRPr lang="es-MX" sz="1100"/>
        </a:p>
      </xdr:txBody>
    </xdr:sp>
    <xdr:clientData/>
  </xdr:oneCellAnchor>
  <xdr:oneCellAnchor>
    <xdr:from>
      <xdr:col>0</xdr:col>
      <xdr:colOff>114300</xdr:colOff>
      <xdr:row>21</xdr:row>
      <xdr:rowOff>9525</xdr:rowOff>
    </xdr:from>
    <xdr:ext cx="6944400" cy="436786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4300" y="4114800"/>
          <a:ext cx="6944400" cy="436786"/>
        </a:xfrm>
        <a:prstGeom prst="rect">
          <a:avLst/>
        </a:prstGeom>
        <a:solidFill>
          <a:sysClr val="window" lastClr="FFFFFF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/>
            <a:t>Semi-Acoplado:</a:t>
          </a:r>
          <a:r>
            <a:rPr lang="es-MX" sz="1100" b="1" baseline="0"/>
            <a:t> </a:t>
          </a:r>
          <a:r>
            <a:rPr lang="es-MX" sz="1100" b="0" baseline="0"/>
            <a:t>Proyectos intermedios en complejidad y tamaño (menores de 300 KDLC), donde la experencia en este tipo de proyectos es variable, y las restricciones intermedias.</a:t>
          </a:r>
          <a:endParaRPr lang="es-MX" sz="1100" b="0"/>
        </a:p>
      </xdr:txBody>
    </xdr:sp>
    <xdr:clientData/>
  </xdr:oneCellAnchor>
  <xdr:oneCellAnchor>
    <xdr:from>
      <xdr:col>0</xdr:col>
      <xdr:colOff>123825</xdr:colOff>
      <xdr:row>24</xdr:row>
      <xdr:rowOff>9525</xdr:rowOff>
    </xdr:from>
    <xdr:ext cx="6944400" cy="436786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3825" y="4686300"/>
          <a:ext cx="6944400" cy="436786"/>
        </a:xfrm>
        <a:prstGeom prst="rect">
          <a:avLst/>
        </a:prstGeom>
        <a:solidFill>
          <a:sysClr val="window" lastClr="FFFFFF"/>
        </a:solidFill>
        <a:ln w="28575">
          <a:solidFill>
            <a:srgbClr val="7030A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/>
            <a:t>Empotrado: </a:t>
          </a:r>
          <a:r>
            <a:rPr lang="es-MX" sz="1100" b="0"/>
            <a:t>P</a:t>
          </a:r>
          <a:r>
            <a:rPr lang="es-MX" sz="1100"/>
            <a:t>royectos bastante complejos, en los que apenas se tiene experiencia y se engloban en un entorno de gran innovacion</a:t>
          </a:r>
          <a:r>
            <a:rPr lang="es-MX" sz="1100" baseline="0"/>
            <a:t> tecnica. Ademas se trabaja con unos requisitos muy restictivos y de gran volatilidad.</a:t>
          </a:r>
          <a:endParaRPr lang="es-MX" sz="1100"/>
        </a:p>
      </xdr:txBody>
    </xdr:sp>
    <xdr:clientData/>
  </xdr:oneCellAnchor>
  <xdr:oneCellAnchor>
    <xdr:from>
      <xdr:col>0</xdr:col>
      <xdr:colOff>114300</xdr:colOff>
      <xdr:row>26</xdr:row>
      <xdr:rowOff>186892</xdr:rowOff>
    </xdr:from>
    <xdr:ext cx="6980400" cy="179889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14300" y="5244667"/>
          <a:ext cx="6980400" cy="1798890"/>
        </a:xfrm>
        <a:prstGeom prst="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s-MX" sz="1400" b="1"/>
            <a:t>Ventajas y desventajas:</a:t>
          </a:r>
        </a:p>
        <a:p>
          <a:endParaRPr lang="es-MX" sz="500" b="1"/>
        </a:p>
        <a:p>
          <a:r>
            <a:rPr lang="es-MX" sz="1200" b="1">
              <a:solidFill>
                <a:srgbClr val="0070C0"/>
              </a:solidFill>
            </a:rPr>
            <a:t>Ventajas:</a:t>
          </a:r>
        </a:p>
        <a:p>
          <a:r>
            <a:rPr lang="es-MX" sz="1100"/>
            <a:t>-Es</a:t>
          </a:r>
          <a:r>
            <a:rPr lang="es-MX" sz="1100" baseline="0"/>
            <a:t> facil de realizar y de interpretar.</a:t>
          </a:r>
        </a:p>
        <a:p>
          <a:r>
            <a:rPr lang="es-MX" sz="1100" baseline="0"/>
            <a:t>-Tiene pocas variables.</a:t>
          </a:r>
        </a:p>
        <a:p>
          <a:r>
            <a:rPr lang="es-MX" sz="1100" baseline="0"/>
            <a:t>-Se acerca a la realidad en la mayoria de los casos.</a:t>
          </a:r>
        </a:p>
        <a:p>
          <a:endParaRPr lang="es-MX" sz="1100" baseline="0"/>
        </a:p>
        <a:p>
          <a:r>
            <a:rPr lang="es-MX" sz="1200" b="1" baseline="0">
              <a:solidFill>
                <a:srgbClr val="0070C0"/>
              </a:solidFill>
            </a:rPr>
            <a:t>Desventajas:</a:t>
          </a:r>
        </a:p>
        <a:p>
          <a:r>
            <a:rPr lang="es-MX" sz="1100" b="0" baseline="0">
              <a:solidFill>
                <a:sysClr val="windowText" lastClr="000000"/>
              </a:solidFill>
            </a:rPr>
            <a:t>-No saca resultados fiables en proyectos demasiado pequeños.</a:t>
          </a:r>
        </a:p>
        <a:p>
          <a:r>
            <a:rPr lang="es-MX" sz="1100" b="0" baseline="0">
              <a:solidFill>
                <a:sysClr val="windowText" lastClr="000000"/>
              </a:solidFill>
            </a:rPr>
            <a:t>-La elección de las variables es muy subjetiva y depende de la persona que realiza el estudio.</a:t>
          </a:r>
          <a:endParaRPr lang="es-MX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12</xdr:row>
      <xdr:rowOff>33337</xdr:rowOff>
    </xdr:from>
    <xdr:ext cx="24289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85750" y="2471737"/>
              <a:ext cx="2428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1">
                        <a:latin typeface="Cambria Math" panose="02040503050406030204" pitchFamily="18" charset="0"/>
                      </a:rPr>
                      <m:t>𝑷𝑭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𝑺𝒖𝒎𝒂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𝑻𝒐𝒕𝒂𝒍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𝟔𝟓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𝟎𝟏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0" y="2471737"/>
              <a:ext cx="2428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𝑷𝑭=𝑺𝒖𝒎𝒂 𝑻𝒐𝒕𝒂𝒍∗(𝟎.𝟔𝟓+𝟎.𝟎𝟏∗𝒇)</a:t>
              </a:r>
              <a:endParaRPr lang="es-MX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180975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33350" y="44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142875</xdr:colOff>
      <xdr:row>1</xdr:row>
      <xdr:rowOff>114688</xdr:rowOff>
    </xdr:from>
    <xdr:ext cx="7791450" cy="78124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42875" y="381388"/>
          <a:ext cx="7791450" cy="781240"/>
        </a:xfrm>
        <a:prstGeom prst="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s-MX"/>
            <a:t>El </a:t>
          </a:r>
          <a:r>
            <a:rPr lang="es-MX" b="1"/>
            <a:t>Modelo Básico de COCOMO </a:t>
          </a:r>
          <a:r>
            <a:rPr lang="es-MX"/>
            <a:t>estima el esfuerzo y el tiempo empleado en el desarrollo de un proyecto de software usando dos variables predictivas denominadas factores de costo (cost drivers): el tamaño del software y el modo de desarrollo. </a:t>
          </a:r>
        </a:p>
        <a:p>
          <a:endParaRPr lang="es-MX"/>
        </a:p>
        <a:p>
          <a:r>
            <a:rPr lang="es-MX" b="1"/>
            <a:t>Las ecuaciones básicas son:</a:t>
          </a:r>
          <a:endParaRPr lang="es-MX" sz="1100" b="1"/>
        </a:p>
      </xdr:txBody>
    </xdr:sp>
    <xdr:clientData/>
  </xdr:oneCellAnchor>
  <xdr:twoCellAnchor>
    <xdr:from>
      <xdr:col>2</xdr:col>
      <xdr:colOff>619125</xdr:colOff>
      <xdr:row>10</xdr:row>
      <xdr:rowOff>123825</xdr:rowOff>
    </xdr:from>
    <xdr:to>
      <xdr:col>2</xdr:col>
      <xdr:colOff>1552575</xdr:colOff>
      <xdr:row>10</xdr:row>
      <xdr:rowOff>323850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2238375"/>
          <a:ext cx="933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619125</xdr:colOff>
      <xdr:row>11</xdr:row>
      <xdr:rowOff>133350</xdr:rowOff>
    </xdr:from>
    <xdr:to>
      <xdr:col>2</xdr:col>
      <xdr:colOff>1552575</xdr:colOff>
      <xdr:row>11</xdr:row>
      <xdr:rowOff>323850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2657475"/>
          <a:ext cx="933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619125</xdr:colOff>
      <xdr:row>12</xdr:row>
      <xdr:rowOff>133350</xdr:rowOff>
    </xdr:from>
    <xdr:to>
      <xdr:col>2</xdr:col>
      <xdr:colOff>1552575</xdr:colOff>
      <xdr:row>12</xdr:row>
      <xdr:rowOff>323850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3067050"/>
          <a:ext cx="933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10</xdr:row>
      <xdr:rowOff>123825</xdr:rowOff>
    </xdr:from>
    <xdr:to>
      <xdr:col>3</xdr:col>
      <xdr:colOff>1704975</xdr:colOff>
      <xdr:row>10</xdr:row>
      <xdr:rowOff>314325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238375"/>
          <a:ext cx="1181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552450</xdr:colOff>
      <xdr:row>11</xdr:row>
      <xdr:rowOff>133350</xdr:rowOff>
    </xdr:from>
    <xdr:to>
      <xdr:col>3</xdr:col>
      <xdr:colOff>1733550</xdr:colOff>
      <xdr:row>11</xdr:row>
      <xdr:rowOff>333375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2657475"/>
          <a:ext cx="1181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590550</xdr:colOff>
      <xdr:row>12</xdr:row>
      <xdr:rowOff>114300</xdr:rowOff>
    </xdr:from>
    <xdr:to>
      <xdr:col>3</xdr:col>
      <xdr:colOff>1771650</xdr:colOff>
      <xdr:row>12</xdr:row>
      <xdr:rowOff>304800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3048000"/>
          <a:ext cx="1181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419100</xdr:colOff>
      <xdr:row>10</xdr:row>
      <xdr:rowOff>114300</xdr:rowOff>
    </xdr:from>
    <xdr:to>
      <xdr:col>4</xdr:col>
      <xdr:colOff>1666875</xdr:colOff>
      <xdr:row>10</xdr:row>
      <xdr:rowOff>295275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228850"/>
          <a:ext cx="1247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438150</xdr:colOff>
      <xdr:row>11</xdr:row>
      <xdr:rowOff>133350</xdr:rowOff>
    </xdr:from>
    <xdr:to>
      <xdr:col>4</xdr:col>
      <xdr:colOff>1685925</xdr:colOff>
      <xdr:row>11</xdr:row>
      <xdr:rowOff>314325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2657475"/>
          <a:ext cx="1247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428625</xdr:colOff>
      <xdr:row>12</xdr:row>
      <xdr:rowOff>142875</xdr:rowOff>
    </xdr:from>
    <xdr:to>
      <xdr:col>4</xdr:col>
      <xdr:colOff>1676400</xdr:colOff>
      <xdr:row>12</xdr:row>
      <xdr:rowOff>323850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3076575"/>
          <a:ext cx="1247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142875</xdr:colOff>
      <xdr:row>23</xdr:row>
      <xdr:rowOff>114688</xdr:rowOff>
    </xdr:from>
    <xdr:ext cx="7790400" cy="43678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42875" y="5648713"/>
          <a:ext cx="7790400" cy="436786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s-MX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Un mes-persona equivale a 152 horas de trabajo y corresponde a la cantidad de tiempo que una persona dedica durante un mes a trabajar en un proyecto de desarrollo de software. Este valor tiene en cuenta los fines de semana pero excluye feriados y vacaciones.</a:t>
          </a:r>
          <a:endParaRPr lang="es-MX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180975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3350" y="44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85723</xdr:colOff>
      <xdr:row>1</xdr:row>
      <xdr:rowOff>44131</xdr:rowOff>
    </xdr:from>
    <xdr:ext cx="7762877" cy="250350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5723" y="310831"/>
          <a:ext cx="7762877" cy="2503506"/>
        </a:xfrm>
        <a:prstGeom prst="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s-MX"/>
            <a:t>El </a:t>
          </a:r>
          <a:r>
            <a:rPr lang="es-MX" b="1"/>
            <a:t>Modelo Intermedio de COCOMO </a:t>
          </a:r>
          <a:r>
            <a:rPr lang="es-MX"/>
            <a:t>provee un nivel de detalle y precisión superior, por</a:t>
          </a:r>
          <a:r>
            <a:rPr lang="es-MX" baseline="0"/>
            <a:t> </a:t>
          </a:r>
          <a:r>
            <a:rPr lang="es-MX"/>
            <a:t>lo cual es más apropiado para la estimación de costos en etapas de mayor especificación. </a:t>
          </a:r>
          <a:r>
            <a:rPr lang="es-MX" b="1"/>
            <a:t>COCOMO</a:t>
          </a:r>
          <a:r>
            <a:rPr lang="es-MX" b="1" baseline="0"/>
            <a:t> </a:t>
          </a:r>
          <a:r>
            <a:rPr lang="es-MX" b="1"/>
            <a:t>Intermedio </a:t>
          </a:r>
          <a:r>
            <a:rPr lang="es-MX"/>
            <a:t>incorpora un conjunto de quince variables de predicción que toman en cuenta las</a:t>
          </a:r>
          <a:r>
            <a:rPr lang="es-MX" baseline="0"/>
            <a:t> </a:t>
          </a:r>
          <a:r>
            <a:rPr lang="es-MX"/>
            <a:t>variaciones de costos no consideradas por </a:t>
          </a:r>
          <a:r>
            <a:rPr lang="es-MX" b="1"/>
            <a:t>COCOMO Básico.</a:t>
          </a:r>
        </a:p>
        <a:p>
          <a:pPr algn="l"/>
          <a:endParaRPr lang="es-MX" b="1"/>
        </a:p>
        <a:p>
          <a:pPr algn="l"/>
          <a:r>
            <a:rPr lang="es-MX" sz="1100" b="1" i="1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COCOMO Intermedio </a:t>
          </a:r>
          <a:r>
            <a:rPr lang="es-MX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posibilita estimar el esfuerzo de un proyecto al nivel de componentes. De esta manera, cada componente individual tendrá sus propios parámetros representativos del tamaño y de los 15 factores de costo. En consecuencia, es factible experimentar con diferentes estrategias de desarrollo que hacen posible encontrar el plan que mejor se ajuste a las necesidades y recursos existentes.</a:t>
          </a:r>
        </a:p>
        <a:p>
          <a:pPr algn="l"/>
          <a:endParaRPr lang="es-MX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Es importante destacar que este modelo tiene dos limitaciones importantes a la hora de estimar grandes proyectos de software:</a:t>
          </a:r>
        </a:p>
        <a:p>
          <a:pPr algn="l"/>
          <a:r>
            <a:rPr lang="es-MX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- La estimación de la distribución del esfuerzo para cada fase resulta imprecisa.</a:t>
          </a:r>
        </a:p>
        <a:p>
          <a:pPr algn="l"/>
          <a:r>
            <a:rPr lang="es-MX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- No es muy práctico si el producto de software tiene un gran número de componentes.</a:t>
          </a:r>
          <a:endParaRPr lang="es-MX" b="1"/>
        </a:p>
        <a:p>
          <a:pPr algn="l"/>
          <a:endParaRPr lang="es-MX"/>
        </a:p>
        <a:p>
          <a:pPr algn="l"/>
          <a:r>
            <a:rPr lang="es-MX" b="1"/>
            <a:t>Las ecuaciones básicas son:</a:t>
          </a:r>
          <a:endParaRPr lang="es-MX" sz="1100" b="1"/>
        </a:p>
      </xdr:txBody>
    </xdr:sp>
    <xdr:clientData/>
  </xdr:oneCellAnchor>
  <xdr:twoCellAnchor>
    <xdr:from>
      <xdr:col>3</xdr:col>
      <xdr:colOff>523875</xdr:colOff>
      <xdr:row>19</xdr:row>
      <xdr:rowOff>123825</xdr:rowOff>
    </xdr:from>
    <xdr:to>
      <xdr:col>3</xdr:col>
      <xdr:colOff>1704975</xdr:colOff>
      <xdr:row>19</xdr:row>
      <xdr:rowOff>314325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1943100"/>
          <a:ext cx="1181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552450</xdr:colOff>
      <xdr:row>20</xdr:row>
      <xdr:rowOff>133350</xdr:rowOff>
    </xdr:from>
    <xdr:to>
      <xdr:col>3</xdr:col>
      <xdr:colOff>1733550</xdr:colOff>
      <xdr:row>20</xdr:row>
      <xdr:rowOff>333375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2362200"/>
          <a:ext cx="1181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590550</xdr:colOff>
      <xdr:row>21</xdr:row>
      <xdr:rowOff>114300</xdr:rowOff>
    </xdr:from>
    <xdr:to>
      <xdr:col>3</xdr:col>
      <xdr:colOff>1771650</xdr:colOff>
      <xdr:row>21</xdr:row>
      <xdr:rowOff>304800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2752725"/>
          <a:ext cx="1181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419100</xdr:colOff>
      <xdr:row>19</xdr:row>
      <xdr:rowOff>114300</xdr:rowOff>
    </xdr:from>
    <xdr:to>
      <xdr:col>4</xdr:col>
      <xdr:colOff>1666875</xdr:colOff>
      <xdr:row>19</xdr:row>
      <xdr:rowOff>295275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933575"/>
          <a:ext cx="1247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438150</xdr:colOff>
      <xdr:row>20</xdr:row>
      <xdr:rowOff>133350</xdr:rowOff>
    </xdr:from>
    <xdr:to>
      <xdr:col>4</xdr:col>
      <xdr:colOff>1685925</xdr:colOff>
      <xdr:row>20</xdr:row>
      <xdr:rowOff>314325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362200"/>
          <a:ext cx="1247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428625</xdr:colOff>
      <xdr:row>21</xdr:row>
      <xdr:rowOff>142875</xdr:rowOff>
    </xdr:from>
    <xdr:to>
      <xdr:col>4</xdr:col>
      <xdr:colOff>1676400</xdr:colOff>
      <xdr:row>21</xdr:row>
      <xdr:rowOff>323850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2781300"/>
          <a:ext cx="1247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142875</xdr:colOff>
      <xdr:row>50</xdr:row>
      <xdr:rowOff>114688</xdr:rowOff>
    </xdr:from>
    <xdr:ext cx="7790400" cy="436786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142875" y="5648713"/>
          <a:ext cx="7790400" cy="436786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s-MX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Un mes-persona equivale a 152 horas de trabajo y corresponde a la cantidad de tiempo que una persona dedica durante un mes a trabajar en un proyecto de desarrollo de software. Este valor tiene en cuenta los fines de semana pero excluye feriados y vacaciones.</a:t>
          </a:r>
          <a:endParaRPr lang="es-MX" sz="1100"/>
        </a:p>
      </xdr:txBody>
    </xdr:sp>
    <xdr:clientData/>
  </xdr:oneCellAnchor>
  <xdr:twoCellAnchor>
    <xdr:from>
      <xdr:col>2</xdr:col>
      <xdr:colOff>314325</xdr:colOff>
      <xdr:row>19</xdr:row>
      <xdr:rowOff>104775</xdr:rowOff>
    </xdr:from>
    <xdr:to>
      <xdr:col>2</xdr:col>
      <xdr:colOff>1676400</xdr:colOff>
      <xdr:row>19</xdr:row>
      <xdr:rowOff>304800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638550"/>
          <a:ext cx="13620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314325</xdr:colOff>
      <xdr:row>20</xdr:row>
      <xdr:rowOff>76200</xdr:rowOff>
    </xdr:from>
    <xdr:to>
      <xdr:col>2</xdr:col>
      <xdr:colOff>1676400</xdr:colOff>
      <xdr:row>20</xdr:row>
      <xdr:rowOff>266700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019550"/>
          <a:ext cx="1362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295275</xdr:colOff>
      <xdr:row>21</xdr:row>
      <xdr:rowOff>123825</xdr:rowOff>
    </xdr:from>
    <xdr:to>
      <xdr:col>2</xdr:col>
      <xdr:colOff>1657350</xdr:colOff>
      <xdr:row>21</xdr:row>
      <xdr:rowOff>314325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76750"/>
          <a:ext cx="1362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190499</xdr:rowOff>
    </xdr:from>
    <xdr:to>
      <xdr:col>14</xdr:col>
      <xdr:colOff>9525</xdr:colOff>
      <xdr:row>56</xdr:row>
      <xdr:rowOff>86381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499"/>
          <a:ext cx="9153525" cy="10182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P3:R25" totalsRowShown="0" headerRowDxfId="17">
  <autoFilter ref="P3:R2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Lenguaje"/>
    <tableColumn id="2" xr3:uid="{00000000-0010-0000-0000-000002000000}" name="Factor" dataDxfId="16"/>
    <tableColumn id="3" xr3:uid="{00000000-0010-0000-0000-000003000000}" name="LDC/PF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16:C17" headerRowCount="0" totalsRowShown="0" headerRowDxfId="14">
  <tableColumns count="2">
    <tableColumn id="1" xr3:uid="{00000000-0010-0000-0100-000001000000}" name="Columna1" headerRowDxfId="13"/>
    <tableColumn id="2" xr3:uid="{00000000-0010-0000-0100-000002000000}" name="Columna2" headerRowDxfId="12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G9:K12" totalsRowShown="0" headerRowDxfId="11" dataDxfId="10">
  <autoFilter ref="G9:K1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Modo"/>
    <tableColumn id="2" xr3:uid="{00000000-0010-0000-0200-000002000000}" name="a" dataDxfId="9"/>
    <tableColumn id="3" xr3:uid="{00000000-0010-0000-0200-000003000000}" name="b" dataDxfId="8"/>
    <tableColumn id="4" xr3:uid="{00000000-0010-0000-0200-000004000000}" name="c" dataDxfId="7"/>
    <tableColumn id="5" xr3:uid="{00000000-0010-0000-0200-000005000000}" name="d" dataDxfId="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36" displayName="Tabla36" ref="G18:K21" totalsRowShown="0" headerRowDxfId="5" dataDxfId="4">
  <autoFilter ref="G18:K21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300-000001000000}" name="Modo"/>
    <tableColumn id="2" xr3:uid="{00000000-0010-0000-0300-000002000000}" name="a" dataDxfId="3"/>
    <tableColumn id="3" xr3:uid="{00000000-0010-0000-0300-000003000000}" name="b" dataDxfId="2"/>
    <tableColumn id="4" xr3:uid="{00000000-0010-0000-0300-000004000000}" name="c" dataDxfId="1"/>
    <tableColumn id="5" xr3:uid="{00000000-0010-0000-0300-000005000000}" name="d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"/>
  <sheetViews>
    <sheetView topLeftCell="A24" workbookViewId="0">
      <selection activeCell="L31" sqref="L31"/>
    </sheetView>
  </sheetViews>
  <sheetFormatPr baseColWidth="10" defaultRowHeight="15" x14ac:dyDescent="0.25"/>
  <sheetData>
    <row r="1" spans="1:1" ht="23.25" x14ac:dyDescent="0.35">
      <c r="A1" s="2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R25"/>
  <sheetViews>
    <sheetView zoomScale="160" zoomScaleNormal="160" workbookViewId="0">
      <selection activeCell="I8" sqref="I8"/>
    </sheetView>
  </sheetViews>
  <sheetFormatPr baseColWidth="10" defaultRowHeight="15" x14ac:dyDescent="0.25"/>
  <cols>
    <col min="1" max="1" width="3.28515625" customWidth="1"/>
    <col min="2" max="2" width="19.140625" customWidth="1"/>
    <col min="3" max="3" width="12" customWidth="1"/>
    <col min="4" max="5" width="3.7109375" customWidth="1"/>
    <col min="6" max="6" width="8.7109375" customWidth="1"/>
    <col min="7" max="8" width="3.7109375" customWidth="1"/>
    <col min="9" max="9" width="8.7109375" customWidth="1"/>
    <col min="10" max="11" width="3.7109375" customWidth="1"/>
    <col min="12" max="12" width="3" customWidth="1"/>
    <col min="13" max="13" width="9.42578125" customWidth="1"/>
    <col min="14" max="14" width="2.140625" customWidth="1"/>
    <col min="16" max="16" width="20.28515625" customWidth="1"/>
  </cols>
  <sheetData>
    <row r="1" spans="2:18" ht="18.75" customHeight="1" x14ac:dyDescent="0.25">
      <c r="B1" s="78" t="s">
        <v>14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2:18" ht="15.75" thickBot="1" x14ac:dyDescent="0.3"/>
    <row r="3" spans="2:18" x14ac:dyDescent="0.25">
      <c r="B3" s="75" t="s">
        <v>10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7"/>
      <c r="P3" s="14" t="s">
        <v>24</v>
      </c>
      <c r="Q3" s="14" t="s">
        <v>25</v>
      </c>
      <c r="R3" s="14" t="s">
        <v>26</v>
      </c>
    </row>
    <row r="4" spans="2:18" x14ac:dyDescent="0.25">
      <c r="B4" s="72" t="s">
        <v>11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4"/>
      <c r="P4" t="s">
        <v>27</v>
      </c>
      <c r="Q4" s="13">
        <v>1</v>
      </c>
      <c r="R4" s="12">
        <v>320</v>
      </c>
    </row>
    <row r="5" spans="2:18" x14ac:dyDescent="0.25">
      <c r="B5" s="22" t="s">
        <v>12</v>
      </c>
      <c r="C5" s="23" t="s">
        <v>13</v>
      </c>
      <c r="D5" s="24"/>
      <c r="E5" s="24"/>
      <c r="F5" s="23" t="s">
        <v>21</v>
      </c>
      <c r="G5" s="24"/>
      <c r="H5" s="24"/>
      <c r="I5" s="25" t="s">
        <v>22</v>
      </c>
      <c r="J5" s="24"/>
      <c r="K5" s="24"/>
      <c r="L5" s="24"/>
      <c r="M5" s="24"/>
      <c r="N5" s="26"/>
      <c r="P5" t="s">
        <v>28</v>
      </c>
      <c r="Q5" s="13">
        <v>2.5</v>
      </c>
      <c r="R5" s="12">
        <v>128</v>
      </c>
    </row>
    <row r="6" spans="2:18" x14ac:dyDescent="0.25">
      <c r="B6" s="18" t="s">
        <v>15</v>
      </c>
      <c r="C6" s="19"/>
      <c r="D6" s="16" t="s">
        <v>20</v>
      </c>
      <c r="E6" s="16">
        <v>3</v>
      </c>
      <c r="F6" s="19"/>
      <c r="G6" s="16" t="s">
        <v>20</v>
      </c>
      <c r="H6" s="16">
        <v>4</v>
      </c>
      <c r="I6" s="69"/>
      <c r="J6" s="16" t="s">
        <v>20</v>
      </c>
      <c r="K6" s="15">
        <v>6</v>
      </c>
      <c r="L6" s="20"/>
      <c r="M6" s="20">
        <f>(C6*E6)+(F6*H6)+(I6*K6)</f>
        <v>0</v>
      </c>
      <c r="N6" s="17"/>
      <c r="P6" t="s">
        <v>29</v>
      </c>
      <c r="Q6" s="13">
        <v>3.5</v>
      </c>
      <c r="R6" s="12">
        <v>91</v>
      </c>
    </row>
    <row r="7" spans="2:18" x14ac:dyDescent="0.25">
      <c r="B7" s="18" t="s">
        <v>16</v>
      </c>
      <c r="C7" s="19"/>
      <c r="D7" s="16" t="s">
        <v>20</v>
      </c>
      <c r="E7" s="16">
        <v>4</v>
      </c>
      <c r="F7" s="19"/>
      <c r="G7" s="16" t="s">
        <v>20</v>
      </c>
      <c r="H7" s="16">
        <v>5</v>
      </c>
      <c r="I7" s="69"/>
      <c r="J7" s="16" t="s">
        <v>20</v>
      </c>
      <c r="K7" s="15">
        <v>7</v>
      </c>
      <c r="L7" s="20"/>
      <c r="M7" s="20">
        <f>(C7*E7)+(F7*H7)+(I7*K7)</f>
        <v>0</v>
      </c>
      <c r="N7" s="17"/>
      <c r="P7" t="s">
        <v>30</v>
      </c>
      <c r="Q7" s="13">
        <v>5</v>
      </c>
      <c r="R7" s="12">
        <v>64</v>
      </c>
    </row>
    <row r="8" spans="2:18" x14ac:dyDescent="0.25">
      <c r="B8" s="18" t="s">
        <v>17</v>
      </c>
      <c r="C8" s="19">
        <v>5</v>
      </c>
      <c r="D8" s="16" t="s">
        <v>20</v>
      </c>
      <c r="E8" s="16">
        <v>3</v>
      </c>
      <c r="F8" s="19">
        <v>4</v>
      </c>
      <c r="G8" s="16" t="s">
        <v>20</v>
      </c>
      <c r="H8" s="16">
        <v>4</v>
      </c>
      <c r="I8" s="69">
        <v>1</v>
      </c>
      <c r="J8" s="16" t="s">
        <v>20</v>
      </c>
      <c r="K8" s="15">
        <v>6</v>
      </c>
      <c r="L8" s="20"/>
      <c r="M8" s="20">
        <f t="shared" ref="M8:M10" si="0">(C8*E8)+(F8*H8)+(I8*K8)</f>
        <v>37</v>
      </c>
      <c r="N8" s="17"/>
      <c r="P8" t="s">
        <v>31</v>
      </c>
      <c r="Q8" s="13">
        <v>5</v>
      </c>
      <c r="R8" s="12">
        <v>64</v>
      </c>
    </row>
    <row r="9" spans="2:18" x14ac:dyDescent="0.25">
      <c r="B9" s="18" t="s">
        <v>18</v>
      </c>
      <c r="C9" s="19"/>
      <c r="D9" s="16" t="s">
        <v>20</v>
      </c>
      <c r="E9" s="16">
        <v>7</v>
      </c>
      <c r="F9" s="19"/>
      <c r="G9" s="16" t="s">
        <v>20</v>
      </c>
      <c r="H9" s="16">
        <v>10</v>
      </c>
      <c r="I9" s="69"/>
      <c r="J9" s="16" t="s">
        <v>20</v>
      </c>
      <c r="K9" s="15">
        <v>15</v>
      </c>
      <c r="L9" s="20"/>
      <c r="M9" s="20">
        <f t="shared" si="0"/>
        <v>0</v>
      </c>
      <c r="N9" s="17"/>
      <c r="P9" t="s">
        <v>32</v>
      </c>
      <c r="Q9" s="13">
        <v>6</v>
      </c>
      <c r="R9" s="12">
        <v>53</v>
      </c>
    </row>
    <row r="10" spans="2:18" ht="15.75" thickBot="1" x14ac:dyDescent="0.3">
      <c r="B10" s="18" t="s">
        <v>19</v>
      </c>
      <c r="C10" s="19"/>
      <c r="D10" s="16" t="s">
        <v>20</v>
      </c>
      <c r="E10" s="16">
        <v>5</v>
      </c>
      <c r="F10" s="19"/>
      <c r="G10" s="16" t="s">
        <v>20</v>
      </c>
      <c r="H10" s="16">
        <v>7</v>
      </c>
      <c r="I10" s="69"/>
      <c r="J10" s="16" t="s">
        <v>20</v>
      </c>
      <c r="K10" s="15">
        <v>10</v>
      </c>
      <c r="L10" s="20"/>
      <c r="M10" s="20">
        <f t="shared" si="0"/>
        <v>0</v>
      </c>
      <c r="N10" s="17"/>
      <c r="P10" t="s">
        <v>33</v>
      </c>
      <c r="Q10" s="13">
        <v>6</v>
      </c>
      <c r="R10" s="12">
        <v>53</v>
      </c>
    </row>
    <row r="11" spans="2:18" ht="21.75" customHeight="1" thickBot="1" x14ac:dyDescent="0.3">
      <c r="B11" s="10"/>
      <c r="C11" s="21"/>
      <c r="D11" s="21"/>
      <c r="E11" s="21"/>
      <c r="F11" s="21"/>
      <c r="G11" s="21"/>
      <c r="H11" s="21"/>
      <c r="I11" s="71" t="s">
        <v>23</v>
      </c>
      <c r="J11" s="71"/>
      <c r="K11" s="71"/>
      <c r="L11" s="71"/>
      <c r="M11" s="27">
        <f>SUM(M6:M10)</f>
        <v>37</v>
      </c>
      <c r="N11" s="28"/>
      <c r="P11" t="s">
        <v>34</v>
      </c>
      <c r="Q11" s="13">
        <v>6.5</v>
      </c>
      <c r="R11" s="12">
        <v>49</v>
      </c>
    </row>
    <row r="12" spans="2:18" x14ac:dyDescent="0.25">
      <c r="P12" t="s">
        <v>35</v>
      </c>
      <c r="Q12" s="13">
        <v>8</v>
      </c>
      <c r="R12" s="12">
        <v>40</v>
      </c>
    </row>
    <row r="13" spans="2:18" x14ac:dyDescent="0.25">
      <c r="P13" t="s">
        <v>36</v>
      </c>
      <c r="Q13" s="13">
        <v>9</v>
      </c>
      <c r="R13" s="12">
        <v>36</v>
      </c>
    </row>
    <row r="14" spans="2:18" x14ac:dyDescent="0.25">
      <c r="P14" t="s">
        <v>37</v>
      </c>
      <c r="Q14" s="13">
        <v>11</v>
      </c>
      <c r="R14" s="12">
        <v>29</v>
      </c>
    </row>
    <row r="15" spans="2:18" x14ac:dyDescent="0.25">
      <c r="I15" s="83">
        <f>M11*(0.65+0.01*C17)</f>
        <v>33.300000000000004</v>
      </c>
      <c r="J15" s="83"/>
      <c r="P15" t="s">
        <v>38</v>
      </c>
      <c r="Q15" s="13">
        <v>11</v>
      </c>
      <c r="R15" s="12">
        <v>29</v>
      </c>
    </row>
    <row r="16" spans="2:18" ht="15.75" thickBot="1" x14ac:dyDescent="0.3">
      <c r="B16" s="14" t="s">
        <v>24</v>
      </c>
      <c r="C16" s="14" t="s">
        <v>47</v>
      </c>
      <c r="D16" s="88" t="s">
        <v>49</v>
      </c>
      <c r="E16" s="89"/>
      <c r="G16" s="87" t="s">
        <v>46</v>
      </c>
      <c r="H16" s="87"/>
      <c r="I16" s="84"/>
      <c r="J16" s="84"/>
      <c r="P16" t="s">
        <v>39</v>
      </c>
      <c r="Q16" s="13">
        <v>16</v>
      </c>
      <c r="R16" s="12">
        <v>20</v>
      </c>
    </row>
    <row r="17" spans="2:18" x14ac:dyDescent="0.25">
      <c r="B17" s="13" t="s">
        <v>40</v>
      </c>
      <c r="C17" s="12">
        <f>VLOOKUP(Tabla2[[#This Row],[Columna1]],Tabla1[],2,FALSE)</f>
        <v>25</v>
      </c>
      <c r="D17" s="90">
        <f>VLOOKUP(Tabla2[[#This Row],[Columna1]],Tabla1[],3,FALSE)</f>
        <v>13</v>
      </c>
      <c r="E17" s="91"/>
      <c r="I17" s="85">
        <f>I15*D17</f>
        <v>432.90000000000003</v>
      </c>
      <c r="J17" s="85"/>
      <c r="P17" t="s">
        <v>40</v>
      </c>
      <c r="Q17" s="13">
        <v>25</v>
      </c>
      <c r="R17" s="12">
        <v>13</v>
      </c>
    </row>
    <row r="18" spans="2:18" ht="15.75" thickBot="1" x14ac:dyDescent="0.3">
      <c r="G18" s="87" t="s">
        <v>48</v>
      </c>
      <c r="H18" s="87"/>
      <c r="I18" s="86"/>
      <c r="J18" s="86"/>
      <c r="P18" t="s">
        <v>41</v>
      </c>
      <c r="Q18" s="13">
        <v>50</v>
      </c>
      <c r="R18" s="12">
        <v>6</v>
      </c>
    </row>
    <row r="19" spans="2:18" ht="15.75" thickBot="1" x14ac:dyDescent="0.3">
      <c r="B19" s="29"/>
      <c r="P19" t="s">
        <v>42</v>
      </c>
      <c r="Q19" s="13">
        <v>57</v>
      </c>
      <c r="R19" s="12">
        <v>6</v>
      </c>
    </row>
    <row r="20" spans="2:18" x14ac:dyDescent="0.25">
      <c r="B20" s="79" t="s">
        <v>62</v>
      </c>
      <c r="C20" s="81">
        <f>(I17)/1000</f>
        <v>0.43290000000000001</v>
      </c>
      <c r="P20" t="s">
        <v>43</v>
      </c>
      <c r="Q20" s="13">
        <v>60</v>
      </c>
      <c r="R20" s="12">
        <v>5</v>
      </c>
    </row>
    <row r="21" spans="2:18" ht="15.75" thickBot="1" x14ac:dyDescent="0.3">
      <c r="B21" s="80"/>
      <c r="C21" s="82"/>
      <c r="P21" t="s">
        <v>44</v>
      </c>
      <c r="Q21" s="13">
        <v>60</v>
      </c>
      <c r="R21" s="12">
        <v>5</v>
      </c>
    </row>
    <row r="22" spans="2:18" x14ac:dyDescent="0.25">
      <c r="P22" t="s">
        <v>45</v>
      </c>
      <c r="Q22" s="13">
        <v>70</v>
      </c>
      <c r="R22" s="12">
        <v>5</v>
      </c>
    </row>
    <row r="23" spans="2:18" x14ac:dyDescent="0.25">
      <c r="P23" t="s">
        <v>98</v>
      </c>
      <c r="Q23" s="13"/>
      <c r="R23" s="12"/>
    </row>
    <row r="24" spans="2:18" x14ac:dyDescent="0.25">
      <c r="P24" t="s">
        <v>99</v>
      </c>
      <c r="Q24" s="13">
        <v>6</v>
      </c>
      <c r="R24" s="12">
        <v>54</v>
      </c>
    </row>
    <row r="25" spans="2:18" x14ac:dyDescent="0.25">
      <c r="P25" t="s">
        <v>100</v>
      </c>
      <c r="Q25" s="13">
        <v>6</v>
      </c>
      <c r="R25" s="12">
        <v>53</v>
      </c>
    </row>
  </sheetData>
  <mergeCells count="12">
    <mergeCell ref="I11:L11"/>
    <mergeCell ref="B4:N4"/>
    <mergeCell ref="B3:N3"/>
    <mergeCell ref="B1:P1"/>
    <mergeCell ref="B20:B21"/>
    <mergeCell ref="C20:C21"/>
    <mergeCell ref="I15:J16"/>
    <mergeCell ref="I17:J18"/>
    <mergeCell ref="G16:H16"/>
    <mergeCell ref="G18:H18"/>
    <mergeCell ref="D16:E16"/>
    <mergeCell ref="D17:E17"/>
  </mergeCells>
  <dataValidations count="1">
    <dataValidation type="list" allowBlank="1" showInputMessage="1" showErrorMessage="1" sqref="B17" xr:uid="{00000000-0002-0000-0100-000000000000}">
      <formula1>$P$4:$P$25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K52"/>
  <sheetViews>
    <sheetView topLeftCell="A15" zoomScale="85" zoomScaleNormal="85" workbookViewId="0">
      <selection activeCell="G29" sqref="G29:K29"/>
    </sheetView>
  </sheetViews>
  <sheetFormatPr baseColWidth="10" defaultRowHeight="15" x14ac:dyDescent="0.25"/>
  <cols>
    <col min="1" max="1" width="2.28515625" customWidth="1"/>
    <col min="2" max="2" width="23.42578125" customWidth="1"/>
    <col min="3" max="5" width="30.7109375" customWidth="1"/>
    <col min="6" max="6" width="3.7109375" customWidth="1"/>
    <col min="7" max="7" width="14.85546875" customWidth="1"/>
    <col min="8" max="11" width="5.7109375" customWidth="1"/>
  </cols>
  <sheetData>
    <row r="1" spans="1:11" ht="21" x14ac:dyDescent="0.35">
      <c r="A1" s="1" t="s">
        <v>1</v>
      </c>
    </row>
    <row r="7" spans="1:11" ht="7.5" customHeight="1" thickBot="1" x14ac:dyDescent="0.3"/>
    <row r="8" spans="1:11" ht="15.75" hidden="1" thickBot="1" x14ac:dyDescent="0.3"/>
    <row r="9" spans="1:11" ht="16.5" thickBot="1" x14ac:dyDescent="0.3">
      <c r="B9" s="92" t="s">
        <v>2</v>
      </c>
      <c r="C9" s="94" t="s">
        <v>3</v>
      </c>
      <c r="D9" s="95"/>
      <c r="E9" s="96"/>
      <c r="G9" s="32" t="s">
        <v>50</v>
      </c>
      <c r="H9" s="32" t="s">
        <v>51</v>
      </c>
      <c r="I9" s="32" t="s">
        <v>52</v>
      </c>
      <c r="J9" s="32" t="s">
        <v>53</v>
      </c>
      <c r="K9" s="32" t="s">
        <v>54</v>
      </c>
    </row>
    <row r="10" spans="1:11" ht="23.25" customHeight="1" thickBot="1" x14ac:dyDescent="0.3">
      <c r="B10" s="93"/>
      <c r="C10" s="7" t="s">
        <v>4</v>
      </c>
      <c r="D10" s="4" t="s">
        <v>5</v>
      </c>
      <c r="E10" s="4" t="s">
        <v>6</v>
      </c>
      <c r="G10" s="30" t="s">
        <v>55</v>
      </c>
      <c r="H10" s="31">
        <v>2.4</v>
      </c>
      <c r="I10" s="31">
        <v>1.05</v>
      </c>
      <c r="J10" s="31">
        <v>2.5</v>
      </c>
      <c r="K10" s="31">
        <v>0.38</v>
      </c>
    </row>
    <row r="11" spans="1:11" ht="32.25" customHeight="1" thickBot="1" x14ac:dyDescent="0.3">
      <c r="B11" s="6" t="s">
        <v>7</v>
      </c>
      <c r="C11" s="8"/>
      <c r="D11" s="8"/>
      <c r="E11" s="9"/>
      <c r="G11" s="32" t="s">
        <v>56</v>
      </c>
      <c r="H11" s="31">
        <v>3</v>
      </c>
      <c r="I11" s="31">
        <v>1.1200000000000001</v>
      </c>
      <c r="J11" s="31">
        <v>2.5</v>
      </c>
      <c r="K11" s="31">
        <v>0.35</v>
      </c>
    </row>
    <row r="12" spans="1:11" ht="32.25" customHeight="1" thickBot="1" x14ac:dyDescent="0.3">
      <c r="B12" s="6" t="s">
        <v>8</v>
      </c>
      <c r="C12" s="3"/>
      <c r="D12" s="8"/>
      <c r="E12" s="11"/>
      <c r="G12" s="32" t="s">
        <v>57</v>
      </c>
      <c r="H12" s="31">
        <v>3.6</v>
      </c>
      <c r="I12" s="31">
        <v>1.2</v>
      </c>
      <c r="J12" s="31">
        <v>2.5</v>
      </c>
      <c r="K12" s="31">
        <v>0.32</v>
      </c>
    </row>
    <row r="13" spans="1:11" ht="35.25" customHeight="1" thickBot="1" x14ac:dyDescent="0.3">
      <c r="B13" s="6" t="s">
        <v>9</v>
      </c>
      <c r="C13" s="3"/>
      <c r="D13" s="8"/>
      <c r="E13" s="5"/>
    </row>
    <row r="14" spans="1:11" ht="15.75" thickBot="1" x14ac:dyDescent="0.3"/>
    <row r="15" spans="1:11" ht="15.75" thickBot="1" x14ac:dyDescent="0.3">
      <c r="B15" s="34"/>
      <c r="G15" s="41" t="s">
        <v>50</v>
      </c>
      <c r="H15" s="42" t="s">
        <v>51</v>
      </c>
      <c r="I15" s="43" t="s">
        <v>52</v>
      </c>
      <c r="J15" s="42" t="s">
        <v>53</v>
      </c>
      <c r="K15" s="44" t="s">
        <v>54</v>
      </c>
    </row>
    <row r="16" spans="1:11" ht="30" customHeight="1" thickBot="1" x14ac:dyDescent="0.3">
      <c r="B16" s="33" t="s">
        <v>58</v>
      </c>
      <c r="C16" s="49" t="s">
        <v>55</v>
      </c>
      <c r="G16" s="37" t="str">
        <f>VLOOKUP(C16,Tabla3[],1,FALSE)</f>
        <v>Orgánico</v>
      </c>
      <c r="H16" s="38">
        <f>VLOOKUP(C16,Tabla3[],2,FALSE)</f>
        <v>2.4</v>
      </c>
      <c r="I16" s="38">
        <f>VLOOKUP(C16,Tabla3[],3,FALSE)</f>
        <v>1.05</v>
      </c>
      <c r="J16" s="38">
        <f>VLOOKUP(C16,Tabla3[],4,FALSE)</f>
        <v>2.5</v>
      </c>
      <c r="K16" s="39">
        <f>VLOOKUP(C16,Tabla3[],5,FALSE)</f>
        <v>0.38</v>
      </c>
    </row>
    <row r="17" spans="2:11" ht="9.75" customHeight="1" thickBot="1" x14ac:dyDescent="0.3"/>
    <row r="18" spans="2:11" ht="30" customHeight="1" thickBot="1" x14ac:dyDescent="0.3">
      <c r="B18" s="35" t="s">
        <v>59</v>
      </c>
      <c r="C18" s="46">
        <f>H16*(H18^I16)</f>
        <v>0.99636441140680287</v>
      </c>
      <c r="D18" t="s">
        <v>65</v>
      </c>
      <c r="G18" s="45" t="s">
        <v>62</v>
      </c>
      <c r="H18" s="97">
        <f>'Estimación Lineas De Código'!C20</f>
        <v>0.43290000000000001</v>
      </c>
      <c r="I18" s="98"/>
      <c r="J18" s="98"/>
      <c r="K18" s="99"/>
    </row>
    <row r="19" spans="2:11" ht="8.25" customHeight="1" thickBot="1" x14ac:dyDescent="0.3">
      <c r="C19" s="47"/>
    </row>
    <row r="20" spans="2:11" ht="30" customHeight="1" thickBot="1" x14ac:dyDescent="0.3">
      <c r="B20" s="36" t="s">
        <v>60</v>
      </c>
      <c r="C20" s="48">
        <f>J16*(C18^K16)</f>
        <v>2.4965422906212318</v>
      </c>
      <c r="D20" t="s">
        <v>64</v>
      </c>
      <c r="I20" s="20"/>
    </row>
    <row r="21" spans="2:11" ht="8.25" customHeight="1" thickBot="1" x14ac:dyDescent="0.3">
      <c r="C21" s="47"/>
    </row>
    <row r="22" spans="2:11" ht="30" customHeight="1" thickBot="1" x14ac:dyDescent="0.3">
      <c r="B22" s="40" t="s">
        <v>61</v>
      </c>
      <c r="C22" s="46">
        <f>C18/C20</f>
        <v>0.39909775017625304</v>
      </c>
      <c r="D22" t="s">
        <v>63</v>
      </c>
    </row>
    <row r="28" spans="2:11" ht="15.75" thickBot="1" x14ac:dyDescent="0.3"/>
    <row r="29" spans="2:11" ht="18.75" customHeight="1" thickBot="1" x14ac:dyDescent="0.35">
      <c r="B29" s="106" t="s">
        <v>66</v>
      </c>
      <c r="C29" s="107"/>
      <c r="D29" s="107"/>
      <c r="E29" s="107"/>
      <c r="F29" s="107"/>
      <c r="G29" s="108">
        <f>C20*E38</f>
        <v>7489.6268718636957</v>
      </c>
      <c r="H29" s="108"/>
      <c r="I29" s="108"/>
      <c r="J29" s="108"/>
      <c r="K29" s="109"/>
    </row>
    <row r="30" spans="2:11" s="57" customFormat="1" ht="18.75" customHeight="1" thickBot="1" x14ac:dyDescent="0.35">
      <c r="B30" s="56"/>
      <c r="C30" s="56"/>
      <c r="D30" s="56"/>
      <c r="E30" s="56"/>
      <c r="F30" s="56"/>
      <c r="G30" s="58"/>
      <c r="H30" s="58"/>
      <c r="I30" s="58"/>
      <c r="J30" s="58"/>
      <c r="K30" s="58"/>
    </row>
    <row r="31" spans="2:11" ht="18.75" customHeight="1" thickBot="1" x14ac:dyDescent="0.35">
      <c r="B31" s="110" t="s">
        <v>76</v>
      </c>
      <c r="C31" s="111"/>
      <c r="D31" s="111"/>
      <c r="E31" s="111"/>
      <c r="F31" s="112"/>
      <c r="G31" s="113">
        <f>G29*1.3</f>
        <v>9736.5149334228045</v>
      </c>
      <c r="H31" s="114"/>
      <c r="I31" s="114"/>
      <c r="J31" s="114"/>
      <c r="K31" s="115"/>
    </row>
    <row r="33" spans="2:7" ht="18.75" x14ac:dyDescent="0.3">
      <c r="B33" s="100" t="s">
        <v>67</v>
      </c>
      <c r="C33" s="100"/>
    </row>
    <row r="34" spans="2:7" x14ac:dyDescent="0.25">
      <c r="E34" s="104" t="s">
        <v>97</v>
      </c>
      <c r="F34" s="104"/>
      <c r="G34" s="104"/>
    </row>
    <row r="35" spans="2:7" x14ac:dyDescent="0.25">
      <c r="C35" s="29" t="s">
        <v>68</v>
      </c>
      <c r="D35">
        <v>6500</v>
      </c>
      <c r="E35" s="102">
        <f>D35/3</f>
        <v>2166.6666666666665</v>
      </c>
      <c r="F35" s="102"/>
      <c r="G35" s="102"/>
    </row>
    <row r="36" spans="2:7" x14ac:dyDescent="0.25">
      <c r="C36" s="29" t="s">
        <v>69</v>
      </c>
      <c r="D36">
        <v>7000</v>
      </c>
      <c r="E36" s="102">
        <f t="shared" ref="E36:E37" si="0">D36/3</f>
        <v>2333.3333333333335</v>
      </c>
      <c r="F36" s="102"/>
      <c r="G36" s="102"/>
    </row>
    <row r="37" spans="2:7" ht="15.75" thickBot="1" x14ac:dyDescent="0.3">
      <c r="C37" s="124" t="s">
        <v>70</v>
      </c>
      <c r="D37" s="125">
        <v>9000</v>
      </c>
      <c r="E37" s="126">
        <f t="shared" si="0"/>
        <v>3000</v>
      </c>
      <c r="F37" s="126"/>
      <c r="G37" s="126"/>
    </row>
    <row r="38" spans="2:7" x14ac:dyDescent="0.25">
      <c r="C38" s="50" t="s">
        <v>71</v>
      </c>
      <c r="D38">
        <f>D37</f>
        <v>9000</v>
      </c>
      <c r="E38" s="103">
        <f>E37</f>
        <v>3000</v>
      </c>
      <c r="F38" s="103"/>
      <c r="G38" s="103"/>
    </row>
    <row r="40" spans="2:7" ht="15" customHeight="1" x14ac:dyDescent="0.25">
      <c r="B40" s="101" t="s">
        <v>72</v>
      </c>
      <c r="C40" s="101"/>
    </row>
    <row r="42" spans="2:7" x14ac:dyDescent="0.25">
      <c r="C42" s="51" t="s">
        <v>68</v>
      </c>
      <c r="D42" s="52">
        <f>((D35/152)*8)/3</f>
        <v>114.03508771929825</v>
      </c>
      <c r="E42" s="70">
        <f>(E35/152)*8</f>
        <v>114.03508771929823</v>
      </c>
    </row>
    <row r="43" spans="2:7" x14ac:dyDescent="0.25">
      <c r="C43" s="51" t="s">
        <v>69</v>
      </c>
      <c r="D43" s="52">
        <f t="shared" ref="D43:D44" si="1">((D36/152)*8)/3</f>
        <v>122.80701754385966</v>
      </c>
      <c r="E43" s="70">
        <f t="shared" ref="E43:E44" si="2">(E36/152)*8</f>
        <v>122.80701754385966</v>
      </c>
    </row>
    <row r="44" spans="2:7" ht="15.75" thickBot="1" x14ac:dyDescent="0.3">
      <c r="C44" s="53" t="s">
        <v>70</v>
      </c>
      <c r="D44" s="52">
        <f t="shared" si="1"/>
        <v>157.89473684210526</v>
      </c>
      <c r="E44" s="70">
        <f t="shared" si="2"/>
        <v>157.89473684210526</v>
      </c>
    </row>
    <row r="45" spans="2:7" x14ac:dyDescent="0.25">
      <c r="C45" s="54" t="s">
        <v>73</v>
      </c>
      <c r="D45" s="55">
        <f>SUM(D43)</f>
        <v>122.80701754385966</v>
      </c>
      <c r="E45" s="70">
        <f>SUM(E43)</f>
        <v>122.80701754385966</v>
      </c>
    </row>
    <row r="47" spans="2:7" ht="15" customHeight="1" x14ac:dyDescent="0.25">
      <c r="B47" s="105" t="s">
        <v>74</v>
      </c>
      <c r="C47" s="105"/>
    </row>
    <row r="49" spans="3:4" x14ac:dyDescent="0.25">
      <c r="C49" s="51" t="s">
        <v>68</v>
      </c>
      <c r="D49" s="52">
        <f>(D35/152)/3</f>
        <v>14.254385964912281</v>
      </c>
    </row>
    <row r="50" spans="3:4" x14ac:dyDescent="0.25">
      <c r="C50" s="51" t="s">
        <v>69</v>
      </c>
      <c r="D50" s="52">
        <f t="shared" ref="D50:D51" si="3">(D36/152)/3</f>
        <v>15.350877192982457</v>
      </c>
    </row>
    <row r="51" spans="3:4" ht="15.75" thickBot="1" x14ac:dyDescent="0.3">
      <c r="C51" s="53" t="s">
        <v>70</v>
      </c>
      <c r="D51" s="52">
        <f t="shared" si="3"/>
        <v>19.736842105263158</v>
      </c>
    </row>
    <row r="52" spans="3:4" x14ac:dyDescent="0.25">
      <c r="C52" s="54" t="s">
        <v>75</v>
      </c>
      <c r="D52" s="55">
        <f>SUM(D50)</f>
        <v>15.350877192982457</v>
      </c>
    </row>
  </sheetData>
  <mergeCells count="15">
    <mergeCell ref="B47:C47"/>
    <mergeCell ref="B29:F29"/>
    <mergeCell ref="G29:K29"/>
    <mergeCell ref="B31:F31"/>
    <mergeCell ref="G31:K31"/>
    <mergeCell ref="B9:B10"/>
    <mergeCell ref="C9:E9"/>
    <mergeCell ref="H18:K18"/>
    <mergeCell ref="B33:C33"/>
    <mergeCell ref="B40:C40"/>
    <mergeCell ref="E35:G35"/>
    <mergeCell ref="E36:G36"/>
    <mergeCell ref="E37:G37"/>
    <mergeCell ref="E38:G38"/>
    <mergeCell ref="E34:G34"/>
  </mergeCells>
  <dataValidations count="1">
    <dataValidation type="list" allowBlank="1" showInputMessage="1" showErrorMessage="1" sqref="C16" xr:uid="{00000000-0002-0000-0200-000000000000}">
      <formula1>$G$10:$G$12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9"/>
  <sheetViews>
    <sheetView topLeftCell="A47" workbookViewId="0">
      <selection activeCell="G57" sqref="G57"/>
    </sheetView>
  </sheetViews>
  <sheetFormatPr baseColWidth="10" defaultRowHeight="15" x14ac:dyDescent="0.25"/>
  <cols>
    <col min="1" max="1" width="2.28515625" customWidth="1"/>
    <col min="2" max="2" width="23.42578125" customWidth="1"/>
    <col min="3" max="5" width="30.7109375" customWidth="1"/>
    <col min="6" max="6" width="3.7109375" customWidth="1"/>
    <col min="7" max="7" width="14.85546875" customWidth="1"/>
    <col min="8" max="11" width="5.7109375" customWidth="1"/>
  </cols>
  <sheetData>
    <row r="1" spans="1:1" ht="21" x14ac:dyDescent="0.35">
      <c r="A1" s="1" t="s">
        <v>77</v>
      </c>
    </row>
    <row r="16" spans="1:1" ht="7.5" customHeight="1" thickBot="1" x14ac:dyDescent="0.3"/>
    <row r="17" spans="1:11" ht="15.75" hidden="1" thickBot="1" x14ac:dyDescent="0.3"/>
    <row r="18" spans="1:11" ht="16.5" thickBot="1" x14ac:dyDescent="0.3">
      <c r="B18" s="92" t="s">
        <v>2</v>
      </c>
      <c r="C18" s="94" t="s">
        <v>3</v>
      </c>
      <c r="D18" s="95"/>
      <c r="E18" s="96"/>
      <c r="G18" s="32" t="s">
        <v>50</v>
      </c>
      <c r="H18" s="32" t="s">
        <v>51</v>
      </c>
      <c r="I18" s="32" t="s">
        <v>52</v>
      </c>
      <c r="J18" s="32" t="s">
        <v>53</v>
      </c>
      <c r="K18" s="32" t="s">
        <v>54</v>
      </c>
    </row>
    <row r="19" spans="1:11" ht="23.25" customHeight="1" thickBot="1" x14ac:dyDescent="0.3">
      <c r="B19" s="93"/>
      <c r="C19" s="7" t="s">
        <v>4</v>
      </c>
      <c r="D19" s="4" t="s">
        <v>5</v>
      </c>
      <c r="E19" s="4" t="s">
        <v>6</v>
      </c>
      <c r="G19" s="30" t="s">
        <v>55</v>
      </c>
      <c r="H19" s="31">
        <v>3.2</v>
      </c>
      <c r="I19" s="31">
        <v>1.05</v>
      </c>
      <c r="J19" s="31">
        <v>2.5</v>
      </c>
      <c r="K19" s="31">
        <v>0.38</v>
      </c>
    </row>
    <row r="20" spans="1:11" ht="32.25" customHeight="1" thickBot="1" x14ac:dyDescent="0.3">
      <c r="B20" s="6" t="s">
        <v>7</v>
      </c>
      <c r="C20" s="8"/>
      <c r="D20" s="8"/>
      <c r="E20" s="9"/>
      <c r="G20" s="32" t="s">
        <v>56</v>
      </c>
      <c r="H20" s="31">
        <v>3</v>
      </c>
      <c r="I20" s="31">
        <v>1.1200000000000001</v>
      </c>
      <c r="J20" s="31">
        <v>2.5</v>
      </c>
      <c r="K20" s="31">
        <v>0.35</v>
      </c>
    </row>
    <row r="21" spans="1:11" ht="32.25" customHeight="1" thickBot="1" x14ac:dyDescent="0.3">
      <c r="B21" s="6" t="s">
        <v>8</v>
      </c>
      <c r="C21" s="8"/>
      <c r="D21" s="8"/>
      <c r="E21" s="11"/>
      <c r="G21" s="32" t="s">
        <v>57</v>
      </c>
      <c r="H21" s="31">
        <v>2.8</v>
      </c>
      <c r="I21" s="31">
        <v>1.2</v>
      </c>
      <c r="J21" s="31">
        <v>2.5</v>
      </c>
      <c r="K21" s="31">
        <v>0.32</v>
      </c>
    </row>
    <row r="22" spans="1:11" ht="35.25" customHeight="1" thickBot="1" x14ac:dyDescent="0.3">
      <c r="B22" s="6" t="s">
        <v>9</v>
      </c>
      <c r="C22" s="8"/>
      <c r="D22" s="8"/>
      <c r="E22" s="5"/>
    </row>
    <row r="23" spans="1:11" ht="35.25" customHeight="1" thickBot="1" x14ac:dyDescent="0.3">
      <c r="B23" s="59"/>
      <c r="C23" s="20"/>
      <c r="D23" s="20"/>
      <c r="E23" s="60"/>
    </row>
    <row r="24" spans="1:11" ht="35.25" customHeight="1" x14ac:dyDescent="0.25">
      <c r="B24" s="118" t="s">
        <v>78</v>
      </c>
      <c r="C24" s="119"/>
      <c r="D24" s="119"/>
      <c r="E24" s="120"/>
    </row>
    <row r="25" spans="1:11" ht="23.25" customHeight="1" thickBot="1" x14ac:dyDescent="0.3">
      <c r="A25" s="62"/>
      <c r="B25" s="65" t="s">
        <v>79</v>
      </c>
      <c r="C25" s="121" t="s">
        <v>80</v>
      </c>
      <c r="D25" s="121"/>
      <c r="E25" s="66" t="s">
        <v>81</v>
      </c>
    </row>
    <row r="26" spans="1:11" ht="24.95" customHeight="1" x14ac:dyDescent="0.25">
      <c r="A26" s="62"/>
      <c r="B26" s="63">
        <v>1</v>
      </c>
      <c r="C26" s="122" t="s">
        <v>82</v>
      </c>
      <c r="D26" s="122"/>
      <c r="E26" s="67">
        <v>1</v>
      </c>
    </row>
    <row r="27" spans="1:11" ht="24.95" customHeight="1" x14ac:dyDescent="0.25">
      <c r="B27" s="63">
        <v>2</v>
      </c>
      <c r="C27" s="122" t="s">
        <v>83</v>
      </c>
      <c r="D27" s="122"/>
      <c r="E27" s="67"/>
    </row>
    <row r="28" spans="1:11" ht="24.95" customHeight="1" x14ac:dyDescent="0.25">
      <c r="B28" s="63">
        <v>3</v>
      </c>
      <c r="C28" s="116" t="s">
        <v>84</v>
      </c>
      <c r="D28" s="116"/>
      <c r="E28" s="67">
        <v>1</v>
      </c>
    </row>
    <row r="29" spans="1:11" ht="24.95" customHeight="1" x14ac:dyDescent="0.25">
      <c r="B29" s="63">
        <v>4</v>
      </c>
      <c r="C29" s="116" t="s">
        <v>85</v>
      </c>
      <c r="D29" s="116"/>
      <c r="E29" s="67">
        <v>2</v>
      </c>
    </row>
    <row r="30" spans="1:11" ht="24.95" customHeight="1" x14ac:dyDescent="0.25">
      <c r="B30" s="63">
        <v>5</v>
      </c>
      <c r="C30" s="116" t="s">
        <v>88</v>
      </c>
      <c r="D30" s="116"/>
      <c r="E30" s="67">
        <v>2</v>
      </c>
    </row>
    <row r="31" spans="1:11" ht="24.95" customHeight="1" x14ac:dyDescent="0.25">
      <c r="B31" s="63">
        <v>6</v>
      </c>
      <c r="C31" s="116" t="s">
        <v>86</v>
      </c>
      <c r="D31" s="116"/>
      <c r="E31" s="67"/>
    </row>
    <row r="32" spans="1:11" ht="24.95" customHeight="1" x14ac:dyDescent="0.25">
      <c r="B32" s="63">
        <v>7</v>
      </c>
      <c r="C32" s="116" t="s">
        <v>87</v>
      </c>
      <c r="D32" s="116"/>
      <c r="E32" s="67">
        <v>4</v>
      </c>
    </row>
    <row r="33" spans="2:11" ht="24.95" customHeight="1" x14ac:dyDescent="0.25">
      <c r="B33" s="63">
        <v>8</v>
      </c>
      <c r="C33" s="116" t="s">
        <v>95</v>
      </c>
      <c r="D33" s="116"/>
      <c r="E33" s="67"/>
    </row>
    <row r="34" spans="2:11" ht="24.95" customHeight="1" x14ac:dyDescent="0.25">
      <c r="B34" s="63">
        <v>9</v>
      </c>
      <c r="C34" s="116" t="s">
        <v>96</v>
      </c>
      <c r="D34" s="116"/>
      <c r="E34" s="67">
        <v>3</v>
      </c>
    </row>
    <row r="35" spans="2:11" ht="24.95" customHeight="1" x14ac:dyDescent="0.25">
      <c r="B35" s="63">
        <v>10</v>
      </c>
      <c r="C35" s="116" t="s">
        <v>94</v>
      </c>
      <c r="D35" s="116"/>
      <c r="E35" s="67"/>
    </row>
    <row r="36" spans="2:11" ht="24.95" customHeight="1" x14ac:dyDescent="0.25">
      <c r="B36" s="63">
        <v>11</v>
      </c>
      <c r="C36" s="116" t="s">
        <v>93</v>
      </c>
      <c r="D36" s="116"/>
      <c r="E36" s="67">
        <v>2</v>
      </c>
    </row>
    <row r="37" spans="2:11" ht="24.95" customHeight="1" x14ac:dyDescent="0.25">
      <c r="B37" s="63">
        <v>12</v>
      </c>
      <c r="C37" s="116" t="s">
        <v>91</v>
      </c>
      <c r="D37" s="116"/>
      <c r="E37" s="67">
        <v>4</v>
      </c>
    </row>
    <row r="38" spans="2:11" ht="24.95" customHeight="1" x14ac:dyDescent="0.25">
      <c r="B38" s="63">
        <v>13</v>
      </c>
      <c r="C38" s="116" t="s">
        <v>89</v>
      </c>
      <c r="D38" s="116"/>
      <c r="E38" s="67">
        <v>2</v>
      </c>
    </row>
    <row r="39" spans="2:11" ht="24.95" customHeight="1" thickBot="1" x14ac:dyDescent="0.3">
      <c r="B39" s="64">
        <v>14</v>
      </c>
      <c r="C39" s="117" t="s">
        <v>92</v>
      </c>
      <c r="D39" s="117"/>
      <c r="E39" s="68">
        <v>3</v>
      </c>
    </row>
    <row r="40" spans="2:11" ht="24.95" customHeight="1" x14ac:dyDescent="0.25">
      <c r="B40" s="61"/>
      <c r="C40" s="123" t="s">
        <v>90</v>
      </c>
      <c r="D40" s="123"/>
      <c r="E40" s="61">
        <f>SUM(E26:E39)</f>
        <v>24</v>
      </c>
    </row>
    <row r="41" spans="2:11" ht="15.75" thickBot="1" x14ac:dyDescent="0.3"/>
    <row r="42" spans="2:11" ht="15.75" thickBot="1" x14ac:dyDescent="0.3">
      <c r="B42" s="34"/>
      <c r="G42" s="41" t="s">
        <v>50</v>
      </c>
      <c r="H42" s="42" t="s">
        <v>51</v>
      </c>
      <c r="I42" s="43" t="s">
        <v>52</v>
      </c>
      <c r="J42" s="42" t="s">
        <v>53</v>
      </c>
      <c r="K42" s="44" t="s">
        <v>54</v>
      </c>
    </row>
    <row r="43" spans="2:11" ht="30" customHeight="1" thickBot="1" x14ac:dyDescent="0.3">
      <c r="B43" s="33" t="s">
        <v>58</v>
      </c>
      <c r="C43" s="49" t="s">
        <v>55</v>
      </c>
      <c r="G43" s="37" t="str">
        <f>VLOOKUP(C43,Tabla36[],1,FALSE)</f>
        <v>Orgánico</v>
      </c>
      <c r="H43" s="38">
        <f>VLOOKUP(C43,Tabla36[],2,FALSE)</f>
        <v>3.2</v>
      </c>
      <c r="I43" s="38">
        <f>VLOOKUP(C43,Tabla36[],3,FALSE)</f>
        <v>1.05</v>
      </c>
      <c r="J43" s="38">
        <f>VLOOKUP(C43,Tabla36[],4,FALSE)</f>
        <v>2.5</v>
      </c>
      <c r="K43" s="39">
        <f>VLOOKUP(C43,Tabla36[],5,FALSE)</f>
        <v>0.38</v>
      </c>
    </row>
    <row r="44" spans="2:11" ht="9.75" customHeight="1" thickBot="1" x14ac:dyDescent="0.3"/>
    <row r="45" spans="2:11" ht="30" customHeight="1" thickBot="1" x14ac:dyDescent="0.3">
      <c r="B45" s="35" t="s">
        <v>59</v>
      </c>
      <c r="C45" s="46">
        <f>(H43*(H45^I43))*E40</f>
        <v>31.883661165017699</v>
      </c>
      <c r="D45" t="s">
        <v>65</v>
      </c>
      <c r="G45" s="45" t="s">
        <v>62</v>
      </c>
      <c r="H45" s="97">
        <f>'Estimación Lineas De Código'!C20</f>
        <v>0.43290000000000001</v>
      </c>
      <c r="I45" s="98"/>
      <c r="J45" s="98"/>
      <c r="K45" s="99"/>
    </row>
    <row r="46" spans="2:11" ht="8.25" customHeight="1" thickBot="1" x14ac:dyDescent="0.3">
      <c r="C46" s="47"/>
    </row>
    <row r="47" spans="2:11" ht="30" customHeight="1" thickBot="1" x14ac:dyDescent="0.3">
      <c r="B47" s="36" t="s">
        <v>60</v>
      </c>
      <c r="C47" s="48">
        <f>J43*(C45^K43)</f>
        <v>9.3174252876659267</v>
      </c>
      <c r="D47" t="s">
        <v>64</v>
      </c>
      <c r="I47" s="20"/>
    </row>
    <row r="48" spans="2:11" ht="8.25" customHeight="1" thickBot="1" x14ac:dyDescent="0.3">
      <c r="C48" s="47"/>
    </row>
    <row r="49" spans="2:11" ht="30" customHeight="1" thickBot="1" x14ac:dyDescent="0.3">
      <c r="B49" s="40" t="s">
        <v>61</v>
      </c>
      <c r="C49" s="46">
        <f>C45/C47</f>
        <v>3.4219390207747784</v>
      </c>
      <c r="D49" t="s">
        <v>63</v>
      </c>
    </row>
    <row r="55" spans="2:11" ht="15.75" thickBot="1" x14ac:dyDescent="0.3"/>
    <row r="56" spans="2:11" ht="18.75" customHeight="1" thickBot="1" x14ac:dyDescent="0.35">
      <c r="B56" s="106" t="s">
        <v>66</v>
      </c>
      <c r="C56" s="107"/>
      <c r="D56" s="107"/>
      <c r="E56" s="107"/>
      <c r="F56" s="107"/>
      <c r="G56" s="108">
        <f>G65*C47</f>
        <v>40375.509579885678</v>
      </c>
      <c r="H56" s="108"/>
      <c r="I56" s="108"/>
      <c r="J56" s="108"/>
      <c r="K56" s="109"/>
    </row>
    <row r="57" spans="2:11" s="57" customFormat="1" ht="18.75" customHeight="1" thickBot="1" x14ac:dyDescent="0.35">
      <c r="B57" s="56"/>
      <c r="C57" s="56"/>
      <c r="D57" s="56"/>
      <c r="E57" s="56"/>
      <c r="F57" s="56"/>
      <c r="G57" s="58"/>
      <c r="H57" s="58"/>
      <c r="I57" s="58"/>
      <c r="J57" s="58"/>
      <c r="K57" s="58"/>
    </row>
    <row r="58" spans="2:11" ht="18.75" customHeight="1" thickBot="1" x14ac:dyDescent="0.35">
      <c r="B58" s="110" t="s">
        <v>76</v>
      </c>
      <c r="C58" s="111"/>
      <c r="D58" s="111"/>
      <c r="E58" s="111"/>
      <c r="F58" s="112"/>
      <c r="G58" s="113">
        <f>G56*1.25</f>
        <v>50469.386974857101</v>
      </c>
      <c r="H58" s="114"/>
      <c r="I58" s="114"/>
      <c r="J58" s="114"/>
      <c r="K58" s="115"/>
    </row>
    <row r="60" spans="2:11" ht="18.75" x14ac:dyDescent="0.3">
      <c r="B60" s="100" t="s">
        <v>67</v>
      </c>
      <c r="C60" s="100"/>
    </row>
    <row r="62" spans="2:11" x14ac:dyDescent="0.25">
      <c r="C62" s="29" t="s">
        <v>68</v>
      </c>
      <c r="D62">
        <v>11500</v>
      </c>
      <c r="G62" s="70">
        <f>D62/3</f>
        <v>3833.3333333333335</v>
      </c>
    </row>
    <row r="63" spans="2:11" x14ac:dyDescent="0.25">
      <c r="C63" s="29" t="s">
        <v>69</v>
      </c>
      <c r="D63">
        <v>12500</v>
      </c>
      <c r="G63" s="70">
        <f t="shared" ref="G63:G64" si="0">D63/3</f>
        <v>4166.666666666667</v>
      </c>
    </row>
    <row r="64" spans="2:11" ht="15.75" thickBot="1" x14ac:dyDescent="0.3">
      <c r="C64" s="124" t="s">
        <v>70</v>
      </c>
      <c r="D64" s="125">
        <v>13000</v>
      </c>
      <c r="E64" s="127"/>
      <c r="F64" s="127"/>
      <c r="G64" s="128">
        <f t="shared" si="0"/>
        <v>4333.333333333333</v>
      </c>
    </row>
    <row r="65" spans="2:7" x14ac:dyDescent="0.25">
      <c r="C65" s="50" t="s">
        <v>71</v>
      </c>
      <c r="D65">
        <f>D64</f>
        <v>13000</v>
      </c>
      <c r="G65" s="70">
        <f>SUM(G64)</f>
        <v>4333.333333333333</v>
      </c>
    </row>
    <row r="67" spans="2:7" ht="15" customHeight="1" x14ac:dyDescent="0.25">
      <c r="B67" s="101" t="s">
        <v>72</v>
      </c>
      <c r="C67" s="101"/>
    </row>
    <row r="69" spans="2:7" x14ac:dyDescent="0.25">
      <c r="C69" s="51" t="s">
        <v>68</v>
      </c>
      <c r="D69" s="52">
        <f>((D62/152)*8)/3</f>
        <v>201.7543859649123</v>
      </c>
    </row>
    <row r="70" spans="2:7" x14ac:dyDescent="0.25">
      <c r="C70" s="51" t="s">
        <v>69</v>
      </c>
      <c r="D70" s="52">
        <f t="shared" ref="D70:D71" si="1">((D63/152)*8)/3</f>
        <v>219.2982456140351</v>
      </c>
    </row>
    <row r="71" spans="2:7" ht="15.75" thickBot="1" x14ac:dyDescent="0.3">
      <c r="C71" s="53" t="s">
        <v>70</v>
      </c>
      <c r="D71" s="52">
        <f t="shared" si="1"/>
        <v>228.07017543859649</v>
      </c>
    </row>
    <row r="72" spans="2:7" x14ac:dyDescent="0.25">
      <c r="C72" s="54" t="s">
        <v>73</v>
      </c>
      <c r="D72" s="55">
        <f>SUM(D71)</f>
        <v>228.07017543859649</v>
      </c>
    </row>
    <row r="74" spans="2:7" ht="15" customHeight="1" x14ac:dyDescent="0.25">
      <c r="B74" s="105" t="s">
        <v>74</v>
      </c>
      <c r="C74" s="105"/>
    </row>
    <row r="76" spans="2:7" x14ac:dyDescent="0.25">
      <c r="C76" s="51" t="s">
        <v>68</v>
      </c>
      <c r="D76" s="52">
        <f>(D62/152)/3</f>
        <v>25.219298245614038</v>
      </c>
    </row>
    <row r="77" spans="2:7" x14ac:dyDescent="0.25">
      <c r="C77" s="51" t="s">
        <v>69</v>
      </c>
      <c r="D77" s="52">
        <f t="shared" ref="D77:D78" si="2">(D63/152)/3</f>
        <v>27.412280701754387</v>
      </c>
    </row>
    <row r="78" spans="2:7" ht="15.75" thickBot="1" x14ac:dyDescent="0.3">
      <c r="C78" s="53" t="s">
        <v>70</v>
      </c>
      <c r="D78" s="52">
        <f t="shared" si="2"/>
        <v>28.508771929824562</v>
      </c>
    </row>
    <row r="79" spans="2:7" x14ac:dyDescent="0.25">
      <c r="C79" s="54" t="s">
        <v>75</v>
      </c>
      <c r="D79" s="55">
        <f>SUM(D78)</f>
        <v>28.508771929824562</v>
      </c>
    </row>
  </sheetData>
  <mergeCells count="27">
    <mergeCell ref="B74:C74"/>
    <mergeCell ref="C25:D25"/>
    <mergeCell ref="C26:D26"/>
    <mergeCell ref="C27:D27"/>
    <mergeCell ref="C28:D28"/>
    <mergeCell ref="C29:D29"/>
    <mergeCell ref="C30:D30"/>
    <mergeCell ref="B58:F58"/>
    <mergeCell ref="C33:D33"/>
    <mergeCell ref="C34:D34"/>
    <mergeCell ref="B60:C60"/>
    <mergeCell ref="B67:C67"/>
    <mergeCell ref="C38:D38"/>
    <mergeCell ref="C40:D40"/>
    <mergeCell ref="C37:D37"/>
    <mergeCell ref="C35:D35"/>
    <mergeCell ref="G58:K58"/>
    <mergeCell ref="C31:D31"/>
    <mergeCell ref="C32:D32"/>
    <mergeCell ref="C39:D39"/>
    <mergeCell ref="B18:B19"/>
    <mergeCell ref="C18:E18"/>
    <mergeCell ref="H45:K45"/>
    <mergeCell ref="B56:F56"/>
    <mergeCell ref="G56:K56"/>
    <mergeCell ref="B24:E24"/>
    <mergeCell ref="C36:D36"/>
  </mergeCells>
  <dataValidations count="1">
    <dataValidation type="list" allowBlank="1" showInputMessage="1" showErrorMessage="1" sqref="C43" xr:uid="{00000000-0002-0000-0300-000000000000}">
      <formula1>$G$19:$G$21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68C1-37B9-4950-B9A8-09843813C9BA}">
  <dimension ref="A2:K6"/>
  <sheetViews>
    <sheetView tabSelected="1" workbookViewId="0">
      <selection activeCell="I14" sqref="I14"/>
    </sheetView>
  </sheetViews>
  <sheetFormatPr baseColWidth="10" defaultRowHeight="15" x14ac:dyDescent="0.25"/>
  <sheetData>
    <row r="2" spans="1:11" ht="15.75" thickBot="1" x14ac:dyDescent="0.3"/>
    <row r="3" spans="1:11" ht="19.5" thickBot="1" x14ac:dyDescent="0.35">
      <c r="A3" s="129" t="s">
        <v>100</v>
      </c>
      <c r="B3" s="131" t="s">
        <v>66</v>
      </c>
      <c r="C3" s="132"/>
      <c r="D3" s="132"/>
      <c r="E3" s="132"/>
      <c r="F3" s="132"/>
      <c r="G3" s="133">
        <v>24834.67</v>
      </c>
      <c r="H3" s="133"/>
      <c r="I3" s="133"/>
      <c r="J3" s="133"/>
      <c r="K3" s="134"/>
    </row>
    <row r="4" spans="1:11" ht="19.5" thickBot="1" x14ac:dyDescent="0.35">
      <c r="A4" s="129" t="s">
        <v>101</v>
      </c>
      <c r="B4" s="131" t="s">
        <v>66</v>
      </c>
      <c r="C4" s="132"/>
      <c r="D4" s="132"/>
      <c r="E4" s="132"/>
      <c r="F4" s="132"/>
      <c r="G4" s="133">
        <v>8168.43</v>
      </c>
      <c r="H4" s="133"/>
      <c r="I4" s="133"/>
      <c r="J4" s="133"/>
      <c r="K4" s="134"/>
    </row>
    <row r="5" spans="1:11" ht="19.5" thickBot="1" x14ac:dyDescent="0.35">
      <c r="A5" s="129" t="s">
        <v>40</v>
      </c>
      <c r="B5" s="131" t="s">
        <v>66</v>
      </c>
      <c r="C5" s="132"/>
      <c r="D5" s="132"/>
      <c r="E5" s="132"/>
      <c r="F5" s="132"/>
      <c r="G5" s="135">
        <v>7489.63</v>
      </c>
      <c r="H5" s="135"/>
      <c r="I5" s="135"/>
      <c r="J5" s="135"/>
      <c r="K5" s="136"/>
    </row>
    <row r="6" spans="1:11" ht="18.75" x14ac:dyDescent="0.3">
      <c r="E6" s="130" t="s">
        <v>102</v>
      </c>
      <c r="F6" s="130"/>
      <c r="G6" s="137">
        <f>(G3+G4+G5)*0.3+G3+G4+G5</f>
        <v>52640.548999999992</v>
      </c>
      <c r="H6" s="138"/>
      <c r="I6" s="138"/>
      <c r="J6" s="138"/>
      <c r="K6" s="138"/>
    </row>
  </sheetData>
  <mergeCells count="8">
    <mergeCell ref="E6:F6"/>
    <mergeCell ref="G6:K6"/>
    <mergeCell ref="B3:F3"/>
    <mergeCell ref="G3:K3"/>
    <mergeCell ref="B4:F4"/>
    <mergeCell ref="G4:K4"/>
    <mergeCell ref="B5:F5"/>
    <mergeCell ref="G5:K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C1" workbookViewId="0">
      <selection activeCell="P44" sqref="P4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Teoria</vt:lpstr>
      <vt:lpstr>Estimación Lineas De Código</vt:lpstr>
      <vt:lpstr>COCOMO Básico</vt:lpstr>
      <vt:lpstr>COCOMO Intermedio</vt:lpstr>
      <vt:lpstr>Sumatoria TOTAL</vt:lpstr>
      <vt:lpstr>Distribucion de Esfuerzo y Cron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ThMorales</dc:creator>
  <cp:lastModifiedBy>Raul Simental</cp:lastModifiedBy>
  <dcterms:created xsi:type="dcterms:W3CDTF">2019-09-22T22:45:51Z</dcterms:created>
  <dcterms:modified xsi:type="dcterms:W3CDTF">2020-02-18T18:47:33Z</dcterms:modified>
</cp:coreProperties>
</file>