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lcain\Downloads\"/>
    </mc:Choice>
  </mc:AlternateContent>
  <xr:revisionPtr revIDLastSave="0" documentId="8_{722CA4BA-31FC-4850-836A-2013637F2F42}" xr6:coauthVersionLast="46" xr6:coauthVersionMax="46" xr10:uidLastSave="{00000000-0000-0000-0000-000000000000}"/>
  <bookViews>
    <workbookView xWindow="-120" yWindow="-120" windowWidth="24240" windowHeight="13140" firstSheet="4" activeTab="6" xr2:uid="{00000000-000D-0000-FFFF-FFFF00000000}"/>
  </bookViews>
  <sheets>
    <sheet name="CPU_O3" sheetId="8" r:id="rId1"/>
    <sheet name="CPU_O2" sheetId="1" r:id="rId2"/>
    <sheet name="CPU_OpenMP_O3" sheetId="9" r:id="rId3"/>
    <sheet name="CPU_OpenMP" sheetId="2" r:id="rId4"/>
    <sheet name="CUDA-GM" sheetId="6" r:id="rId5"/>
    <sheet name="CUDA-GM2" sheetId="5" r:id="rId6"/>
    <sheet name="CUDA-SM" sheetId="3" r:id="rId7"/>
    <sheet name="DGXvsK40C_v2" sheetId="13" r:id="rId8"/>
    <sheet name="ThreadsBlock_CUDA" sheetId="7" r:id="rId9"/>
    <sheet name="Conclusions" sheetId="4" r:id="rId10"/>
    <sheet name="Update" sheetId="14" r:id="rId11"/>
    <sheet name="Platforms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3" l="1"/>
  <c r="S87" i="4" l="1"/>
  <c r="R87" i="4"/>
  <c r="Q87" i="4"/>
  <c r="P87" i="4"/>
  <c r="S86" i="4"/>
  <c r="R86" i="4"/>
  <c r="Q86" i="4"/>
  <c r="P86" i="4"/>
  <c r="S85" i="4"/>
  <c r="R85" i="4"/>
  <c r="Q85" i="4"/>
  <c r="P85" i="4"/>
  <c r="S84" i="4"/>
  <c r="R84" i="4"/>
  <c r="Q84" i="4"/>
  <c r="P84" i="4"/>
  <c r="S83" i="4"/>
  <c r="R83" i="4"/>
  <c r="Q83" i="4"/>
  <c r="P83" i="4"/>
  <c r="J9" i="14" l="1"/>
  <c r="J10" i="14"/>
  <c r="J11" i="14"/>
  <c r="J12" i="14"/>
  <c r="J15" i="14"/>
  <c r="J16" i="14"/>
  <c r="J17" i="14"/>
  <c r="M17" i="14"/>
  <c r="H5" i="14"/>
  <c r="L5" i="14" s="1"/>
  <c r="I5" i="14"/>
  <c r="M5" i="14" s="1"/>
  <c r="H6" i="14"/>
  <c r="I6" i="14"/>
  <c r="H7" i="14"/>
  <c r="I7" i="14"/>
  <c r="H8" i="14"/>
  <c r="I8" i="14"/>
  <c r="H9" i="14"/>
  <c r="L9" i="14" s="1"/>
  <c r="I9" i="14"/>
  <c r="M9" i="14" s="1"/>
  <c r="H10" i="14"/>
  <c r="L10" i="14" s="1"/>
  <c r="I10" i="14"/>
  <c r="M10" i="14" s="1"/>
  <c r="H11" i="14"/>
  <c r="L11" i="14" s="1"/>
  <c r="I11" i="14"/>
  <c r="M11" i="14" s="1"/>
  <c r="H12" i="14"/>
  <c r="I12" i="14"/>
  <c r="H13" i="14"/>
  <c r="I13" i="14"/>
  <c r="H14" i="14"/>
  <c r="I14" i="14"/>
  <c r="H15" i="14"/>
  <c r="L15" i="14" s="1"/>
  <c r="I15" i="14"/>
  <c r="M15" i="14" s="1"/>
  <c r="H16" i="14"/>
  <c r="L16" i="14" s="1"/>
  <c r="I16" i="14"/>
  <c r="M16" i="14" s="1"/>
  <c r="H17" i="14"/>
  <c r="L17" i="14" s="1"/>
  <c r="I17" i="14"/>
  <c r="H18" i="14"/>
  <c r="I18" i="14"/>
  <c r="H19" i="14"/>
  <c r="I19" i="14"/>
  <c r="H20" i="14"/>
  <c r="L20" i="14" s="1"/>
  <c r="I20" i="14"/>
  <c r="H21" i="14"/>
  <c r="I21" i="14"/>
  <c r="M21" i="14" s="1"/>
  <c r="I4" i="14"/>
  <c r="M4" i="14" s="1"/>
  <c r="H4" i="14"/>
  <c r="D13" i="14"/>
  <c r="J13" i="14" s="1"/>
  <c r="D14" i="14"/>
  <c r="J14" i="14" s="1"/>
  <c r="D15" i="14"/>
  <c r="D16" i="14"/>
  <c r="D17" i="14"/>
  <c r="D18" i="14"/>
  <c r="L18" i="14" s="1"/>
  <c r="D19" i="14"/>
  <c r="M19" i="14" s="1"/>
  <c r="D20" i="14"/>
  <c r="M20" i="14" s="1"/>
  <c r="D21" i="14"/>
  <c r="L21" i="14" s="1"/>
  <c r="D4" i="14"/>
  <c r="J4" i="14" s="1"/>
  <c r="D5" i="14"/>
  <c r="J5" i="14" s="1"/>
  <c r="D6" i="14"/>
  <c r="L6" i="14" s="1"/>
  <c r="D7" i="14"/>
  <c r="L7" i="14" s="1"/>
  <c r="D8" i="14"/>
  <c r="L8" i="14" s="1"/>
  <c r="D9" i="14"/>
  <c r="D10" i="14"/>
  <c r="D11" i="14"/>
  <c r="D12" i="14"/>
  <c r="L12" i="14" s="1"/>
  <c r="E14" i="14"/>
  <c r="E15" i="14"/>
  <c r="E16" i="14"/>
  <c r="E17" i="14"/>
  <c r="E18" i="14"/>
  <c r="E19" i="14"/>
  <c r="E20" i="14"/>
  <c r="J20" i="14" s="1"/>
  <c r="E21" i="14"/>
  <c r="J21" i="14" s="1"/>
  <c r="E4" i="14"/>
  <c r="E5" i="14"/>
  <c r="E6" i="14"/>
  <c r="E7" i="14"/>
  <c r="E8" i="14"/>
  <c r="E9" i="14"/>
  <c r="E10" i="14"/>
  <c r="E11" i="14"/>
  <c r="E12" i="14"/>
  <c r="E13" i="14"/>
  <c r="H29" i="14"/>
  <c r="I29" i="14"/>
  <c r="M29" i="14" s="1"/>
  <c r="H30" i="14"/>
  <c r="I30" i="14"/>
  <c r="H31" i="14"/>
  <c r="L31" i="14" s="1"/>
  <c r="I31" i="14"/>
  <c r="H32" i="14"/>
  <c r="L32" i="14" s="1"/>
  <c r="I32" i="14"/>
  <c r="H33" i="14"/>
  <c r="I33" i="14"/>
  <c r="H34" i="14"/>
  <c r="I34" i="14"/>
  <c r="H35" i="14"/>
  <c r="L35" i="14" s="1"/>
  <c r="I35" i="14"/>
  <c r="M35" i="14" s="1"/>
  <c r="H36" i="14"/>
  <c r="I36" i="14"/>
  <c r="H37" i="14"/>
  <c r="I37" i="14"/>
  <c r="M37" i="14" s="1"/>
  <c r="H38" i="14"/>
  <c r="I38" i="14"/>
  <c r="H39" i="14"/>
  <c r="I39" i="14"/>
  <c r="H40" i="14"/>
  <c r="I40" i="14"/>
  <c r="M40" i="14" s="1"/>
  <c r="H41" i="14"/>
  <c r="I41" i="14"/>
  <c r="M41" i="14" s="1"/>
  <c r="H42" i="14"/>
  <c r="I42" i="14"/>
  <c r="H43" i="14"/>
  <c r="L43" i="14" s="1"/>
  <c r="I43" i="14"/>
  <c r="H44" i="14"/>
  <c r="L44" i="14" s="1"/>
  <c r="I44" i="14"/>
  <c r="H45" i="14"/>
  <c r="I45" i="14"/>
  <c r="I28" i="14"/>
  <c r="M28" i="14" s="1"/>
  <c r="H28" i="14"/>
  <c r="E45" i="14"/>
  <c r="M45" i="14" s="1"/>
  <c r="J29" i="14"/>
  <c r="E28" i="14"/>
  <c r="E29" i="14"/>
  <c r="E30" i="14"/>
  <c r="M30" i="14" s="1"/>
  <c r="E31" i="14"/>
  <c r="M31" i="14" s="1"/>
  <c r="E32" i="14"/>
  <c r="M32" i="14" s="1"/>
  <c r="E33" i="14"/>
  <c r="M33" i="14" s="1"/>
  <c r="E34" i="14"/>
  <c r="M34" i="14" s="1"/>
  <c r="E35" i="14"/>
  <c r="E36" i="14"/>
  <c r="M36" i="14" s="1"/>
  <c r="E37" i="14"/>
  <c r="E38" i="14"/>
  <c r="M38" i="14" s="1"/>
  <c r="E39" i="14"/>
  <c r="M39" i="14" s="1"/>
  <c r="E40" i="14"/>
  <c r="E41" i="14"/>
  <c r="E42" i="14"/>
  <c r="M42" i="14" s="1"/>
  <c r="E43" i="14"/>
  <c r="M43" i="14" s="1"/>
  <c r="E44" i="14"/>
  <c r="M44" i="14" s="1"/>
  <c r="D28" i="14"/>
  <c r="J28" i="14" s="1"/>
  <c r="D29" i="14"/>
  <c r="L29" i="14" s="1"/>
  <c r="D30" i="14"/>
  <c r="L30" i="14" s="1"/>
  <c r="D31" i="14"/>
  <c r="J31" i="14" s="1"/>
  <c r="D32" i="14"/>
  <c r="J32" i="14" s="1"/>
  <c r="D33" i="14"/>
  <c r="J33" i="14" s="1"/>
  <c r="D34" i="14"/>
  <c r="J34" i="14" s="1"/>
  <c r="D35" i="14"/>
  <c r="J35" i="14" s="1"/>
  <c r="D36" i="14"/>
  <c r="L36" i="14" s="1"/>
  <c r="D37" i="14"/>
  <c r="L37" i="14" s="1"/>
  <c r="D38" i="14"/>
  <c r="L38" i="14" s="1"/>
  <c r="D39" i="14"/>
  <c r="L39" i="14" s="1"/>
  <c r="D40" i="14"/>
  <c r="L40" i="14" s="1"/>
  <c r="D41" i="14"/>
  <c r="J41" i="14" s="1"/>
  <c r="D42" i="14"/>
  <c r="L42" i="14" s="1"/>
  <c r="D43" i="14"/>
  <c r="J43" i="14" s="1"/>
  <c r="D44" i="14"/>
  <c r="J44" i="14" s="1"/>
  <c r="D45" i="14"/>
  <c r="J45" i="14" s="1"/>
  <c r="M53" i="14"/>
  <c r="M54" i="14"/>
  <c r="M55" i="14"/>
  <c r="M56" i="14"/>
  <c r="M57" i="14"/>
  <c r="M65" i="14"/>
  <c r="M66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49" i="14"/>
  <c r="L52" i="14"/>
  <c r="L53" i="14"/>
  <c r="L54" i="14"/>
  <c r="L56" i="14"/>
  <c r="L57" i="14"/>
  <c r="L64" i="14"/>
  <c r="L65" i="14"/>
  <c r="L66" i="14"/>
  <c r="H50" i="14"/>
  <c r="H51" i="14"/>
  <c r="L51" i="14" s="1"/>
  <c r="H52" i="14"/>
  <c r="H53" i="14"/>
  <c r="H54" i="14"/>
  <c r="H55" i="14"/>
  <c r="H56" i="14"/>
  <c r="H57" i="14"/>
  <c r="H58" i="14"/>
  <c r="H59" i="14"/>
  <c r="H60" i="14"/>
  <c r="H61" i="14"/>
  <c r="H62" i="14"/>
  <c r="H63" i="14"/>
  <c r="L63" i="14" s="1"/>
  <c r="H64" i="14"/>
  <c r="H65" i="14"/>
  <c r="H66" i="14"/>
  <c r="H49" i="14"/>
  <c r="J53" i="14"/>
  <c r="J54" i="14"/>
  <c r="J56" i="14"/>
  <c r="J57" i="14"/>
  <c r="J65" i="14"/>
  <c r="J66" i="14"/>
  <c r="D49" i="14"/>
  <c r="L49" i="14" s="1"/>
  <c r="D50" i="14"/>
  <c r="J50" i="14" s="1"/>
  <c r="D51" i="14"/>
  <c r="D52" i="14"/>
  <c r="D53" i="14"/>
  <c r="D54" i="14"/>
  <c r="D55" i="14"/>
  <c r="L55" i="14" s="1"/>
  <c r="D56" i="14"/>
  <c r="D57" i="14"/>
  <c r="D58" i="14"/>
  <c r="L58" i="14" s="1"/>
  <c r="D59" i="14"/>
  <c r="L59" i="14" s="1"/>
  <c r="D60" i="14"/>
  <c r="L60" i="14" s="1"/>
  <c r="D61" i="14"/>
  <c r="J61" i="14" s="1"/>
  <c r="D62" i="14"/>
  <c r="L62" i="14" s="1"/>
  <c r="D63" i="14"/>
  <c r="D64" i="14"/>
  <c r="D65" i="14"/>
  <c r="D66" i="14"/>
  <c r="E66" i="14"/>
  <c r="E65" i="14"/>
  <c r="E64" i="14"/>
  <c r="M64" i="14" s="1"/>
  <c r="E63" i="14"/>
  <c r="M63" i="14" s="1"/>
  <c r="E62" i="14"/>
  <c r="M62" i="14" s="1"/>
  <c r="E61" i="14"/>
  <c r="M61" i="14" s="1"/>
  <c r="E60" i="14"/>
  <c r="M60" i="14" s="1"/>
  <c r="E59" i="14"/>
  <c r="M59" i="14" s="1"/>
  <c r="E58" i="14"/>
  <c r="M58" i="14" s="1"/>
  <c r="E57" i="14"/>
  <c r="E56" i="14"/>
  <c r="E55" i="14"/>
  <c r="E54" i="14"/>
  <c r="E53" i="14"/>
  <c r="E52" i="14"/>
  <c r="M52" i="14" s="1"/>
  <c r="E51" i="14"/>
  <c r="M51" i="14" s="1"/>
  <c r="E50" i="14"/>
  <c r="M50" i="14" s="1"/>
  <c r="E49" i="14"/>
  <c r="M49" i="14" s="1"/>
  <c r="J40" i="14" l="1"/>
  <c r="L41" i="14"/>
  <c r="J49" i="14"/>
  <c r="J55" i="14"/>
  <c r="J39" i="14"/>
  <c r="L28" i="14"/>
  <c r="L4" i="14"/>
  <c r="J38" i="14"/>
  <c r="L34" i="14"/>
  <c r="J37" i="14"/>
  <c r="J8" i="14"/>
  <c r="J64" i="14"/>
  <c r="J52" i="14"/>
  <c r="J36" i="14"/>
  <c r="L45" i="14"/>
  <c r="L33" i="14"/>
  <c r="J19" i="14"/>
  <c r="J7" i="14"/>
  <c r="J63" i="14"/>
  <c r="J51" i="14"/>
  <c r="M14" i="14"/>
  <c r="M8" i="14"/>
  <c r="J18" i="14"/>
  <c r="J6" i="14"/>
  <c r="J62" i="14"/>
  <c r="L14" i="14"/>
  <c r="L61" i="14"/>
  <c r="L19" i="14"/>
  <c r="L13" i="14"/>
  <c r="L50" i="14"/>
  <c r="M7" i="14"/>
  <c r="M13" i="14"/>
  <c r="J60" i="14"/>
  <c r="J59" i="14"/>
  <c r="M18" i="14"/>
  <c r="M12" i="14"/>
  <c r="M6" i="14"/>
  <c r="J58" i="14"/>
  <c r="J42" i="14"/>
  <c r="J30" i="14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7" i="13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43" i="4"/>
  <c r="C44" i="4"/>
  <c r="I44" i="4" s="1"/>
  <c r="C45" i="4"/>
  <c r="I45" i="4" s="1"/>
  <c r="C46" i="4"/>
  <c r="I46" i="4" s="1"/>
  <c r="C47" i="4"/>
  <c r="I47" i="4" s="1"/>
  <c r="C48" i="4"/>
  <c r="I48" i="4" s="1"/>
  <c r="C49" i="4"/>
  <c r="I49" i="4" s="1"/>
  <c r="C50" i="4"/>
  <c r="I50" i="4" s="1"/>
  <c r="C51" i="4"/>
  <c r="I51" i="4" s="1"/>
  <c r="C52" i="4"/>
  <c r="I52" i="4" s="1"/>
  <c r="C53" i="4"/>
  <c r="I53" i="4" s="1"/>
  <c r="C54" i="4"/>
  <c r="I54" i="4" s="1"/>
  <c r="C55" i="4"/>
  <c r="I55" i="4" s="1"/>
  <c r="C56" i="4"/>
  <c r="I56" i="4" s="1"/>
  <c r="C57" i="4"/>
  <c r="I57" i="4" s="1"/>
  <c r="C58" i="4"/>
  <c r="I58" i="4" s="1"/>
  <c r="C59" i="4"/>
  <c r="I59" i="4" s="1"/>
  <c r="C60" i="4"/>
  <c r="I60" i="4" s="1"/>
  <c r="C4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3" i="4"/>
  <c r="C24" i="4"/>
  <c r="H24" i="4" s="1"/>
  <c r="C25" i="4"/>
  <c r="H25" i="4" s="1"/>
  <c r="C26" i="4"/>
  <c r="H26" i="4" s="1"/>
  <c r="C27" i="4"/>
  <c r="H27" i="4" s="1"/>
  <c r="C28" i="4"/>
  <c r="H28" i="4" s="1"/>
  <c r="C29" i="4"/>
  <c r="H29" i="4" s="1"/>
  <c r="C30" i="4"/>
  <c r="H30" i="4" s="1"/>
  <c r="C31" i="4"/>
  <c r="H31" i="4" s="1"/>
  <c r="C32" i="4"/>
  <c r="H32" i="4" s="1"/>
  <c r="C33" i="4"/>
  <c r="H33" i="4" s="1"/>
  <c r="C34" i="4"/>
  <c r="H34" i="4" s="1"/>
  <c r="C35" i="4"/>
  <c r="H35" i="4" s="1"/>
  <c r="C36" i="4"/>
  <c r="H36" i="4" s="1"/>
  <c r="C37" i="4"/>
  <c r="H37" i="4" s="1"/>
  <c r="C38" i="4"/>
  <c r="H38" i="4" s="1"/>
  <c r="C39" i="4"/>
  <c r="H39" i="4" s="1"/>
  <c r="C40" i="4"/>
  <c r="H40" i="4" s="1"/>
  <c r="C23" i="4"/>
  <c r="H23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3" i="4"/>
  <c r="N3" i="3" l="1"/>
  <c r="G23" i="4" s="1"/>
  <c r="M22" i="9" l="1"/>
  <c r="L22" i="9"/>
  <c r="K22" i="9"/>
  <c r="J22" i="9"/>
  <c r="I22" i="9"/>
  <c r="H22" i="9"/>
  <c r="G22" i="9"/>
  <c r="F22" i="9"/>
  <c r="E22" i="9"/>
  <c r="D22" i="9"/>
  <c r="C22" i="9"/>
  <c r="B22" i="9"/>
  <c r="F22" i="2"/>
  <c r="G22" i="2"/>
  <c r="H22" i="2"/>
  <c r="I22" i="2"/>
  <c r="J22" i="2"/>
  <c r="K22" i="2"/>
  <c r="L22" i="2"/>
  <c r="M22" i="2"/>
  <c r="B22" i="2"/>
  <c r="C22" i="2"/>
  <c r="D22" i="2"/>
  <c r="E22" i="2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3" i="8" s="1"/>
  <c r="E4" i="1"/>
  <c r="E3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B29" i="6"/>
  <c r="E21" i="1" l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E21" i="8"/>
  <c r="B29" i="3"/>
  <c r="B29" i="5"/>
  <c r="G7" i="5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G3" i="6"/>
  <c r="F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18" i="5" l="1"/>
  <c r="G18" i="5"/>
  <c r="E17" i="5"/>
  <c r="G17" i="5"/>
  <c r="E16" i="5"/>
  <c r="G16" i="5"/>
  <c r="E15" i="5"/>
  <c r="G15" i="5"/>
  <c r="E6" i="5"/>
  <c r="G6" i="5"/>
  <c r="E5" i="5"/>
  <c r="G5" i="5"/>
  <c r="E4" i="5"/>
  <c r="G4" i="5"/>
  <c r="F3" i="5"/>
  <c r="F12" i="5"/>
  <c r="F9" i="5"/>
  <c r="F11" i="5"/>
  <c r="F10" i="5"/>
  <c r="E14" i="5"/>
  <c r="F20" i="5"/>
  <c r="F8" i="5"/>
  <c r="G14" i="5"/>
  <c r="E13" i="5"/>
  <c r="F19" i="5"/>
  <c r="F7" i="5"/>
  <c r="G13" i="5"/>
  <c r="E12" i="5"/>
  <c r="F18" i="5"/>
  <c r="F6" i="5"/>
  <c r="G12" i="5"/>
  <c r="E11" i="5"/>
  <c r="F17" i="5"/>
  <c r="F5" i="5"/>
  <c r="G11" i="5"/>
  <c r="E10" i="5"/>
  <c r="F16" i="5"/>
  <c r="F4" i="5"/>
  <c r="G10" i="5"/>
  <c r="E3" i="5"/>
  <c r="E9" i="5"/>
  <c r="F15" i="5"/>
  <c r="G3" i="5"/>
  <c r="G9" i="5"/>
  <c r="E20" i="5"/>
  <c r="E8" i="5"/>
  <c r="F14" i="5"/>
  <c r="G20" i="5"/>
  <c r="G8" i="5"/>
  <c r="E19" i="5"/>
  <c r="E7" i="5"/>
  <c r="F13" i="5"/>
  <c r="G19" i="5"/>
  <c r="O35" i="4"/>
  <c r="M26" i="4"/>
  <c r="M30" i="4"/>
  <c r="M38" i="4"/>
  <c r="I28" i="4"/>
  <c r="I34" i="4"/>
  <c r="I37" i="4"/>
  <c r="J31" i="4" l="1"/>
  <c r="H58" i="4"/>
  <c r="H54" i="4"/>
  <c r="H50" i="4"/>
  <c r="H46" i="4"/>
  <c r="O34" i="4"/>
  <c r="J36" i="4"/>
  <c r="M60" i="4"/>
  <c r="M56" i="4"/>
  <c r="M52" i="4"/>
  <c r="M48" i="4"/>
  <c r="M44" i="4"/>
  <c r="O60" i="4"/>
  <c r="O56" i="4"/>
  <c r="O52" i="4"/>
  <c r="O48" i="4"/>
  <c r="O44" i="4"/>
  <c r="L29" i="4"/>
  <c r="I43" i="4"/>
  <c r="J40" i="4"/>
  <c r="I40" i="4"/>
  <c r="J35" i="4"/>
  <c r="M23" i="4"/>
  <c r="L23" i="4"/>
  <c r="O39" i="4"/>
  <c r="O31" i="4"/>
  <c r="O27" i="4"/>
  <c r="M37" i="4"/>
  <c r="L37" i="4"/>
  <c r="M25" i="4"/>
  <c r="L25" i="4"/>
  <c r="J39" i="4"/>
  <c r="I39" i="4"/>
  <c r="M33" i="4"/>
  <c r="L33" i="4"/>
  <c r="M29" i="4"/>
  <c r="J26" i="4"/>
  <c r="M40" i="4"/>
  <c r="L40" i="4"/>
  <c r="M36" i="4"/>
  <c r="L36" i="4"/>
  <c r="M32" i="4"/>
  <c r="L32" i="4"/>
  <c r="M28" i="4"/>
  <c r="L28" i="4"/>
  <c r="M24" i="4"/>
  <c r="L24" i="4"/>
  <c r="J38" i="4"/>
  <c r="O30" i="4"/>
  <c r="O55" i="4"/>
  <c r="J23" i="4"/>
  <c r="I23" i="4"/>
  <c r="J37" i="4"/>
  <c r="J33" i="4"/>
  <c r="J29" i="4"/>
  <c r="J25" i="4"/>
  <c r="M39" i="4"/>
  <c r="L39" i="4"/>
  <c r="M35" i="4"/>
  <c r="L35" i="4"/>
  <c r="M31" i="4"/>
  <c r="L31" i="4"/>
  <c r="M27" i="4"/>
  <c r="L27" i="4"/>
  <c r="O23" i="4"/>
  <c r="O37" i="4"/>
  <c r="O33" i="4"/>
  <c r="O29" i="4"/>
  <c r="O25" i="4"/>
  <c r="I33" i="4"/>
  <c r="O26" i="4"/>
  <c r="J59" i="4"/>
  <c r="H59" i="4"/>
  <c r="J55" i="4"/>
  <c r="H55" i="4"/>
  <c r="J51" i="4"/>
  <c r="H51" i="4"/>
  <c r="J47" i="4"/>
  <c r="H47" i="4"/>
  <c r="M43" i="4"/>
  <c r="L43" i="4"/>
  <c r="M57" i="4"/>
  <c r="L57" i="4"/>
  <c r="M53" i="4"/>
  <c r="L53" i="4"/>
  <c r="M49" i="4"/>
  <c r="L49" i="4"/>
  <c r="M45" i="4"/>
  <c r="L45" i="4"/>
  <c r="O43" i="4"/>
  <c r="O57" i="4"/>
  <c r="O53" i="4"/>
  <c r="O49" i="4"/>
  <c r="O45" i="4"/>
  <c r="O59" i="4"/>
  <c r="O51" i="4"/>
  <c r="I36" i="4"/>
  <c r="I32" i="4"/>
  <c r="J24" i="4"/>
  <c r="I24" i="4"/>
  <c r="L38" i="4"/>
  <c r="L34" i="4"/>
  <c r="L30" i="4"/>
  <c r="L26" i="4"/>
  <c r="O40" i="4"/>
  <c r="O36" i="4"/>
  <c r="O32" i="4"/>
  <c r="O28" i="4"/>
  <c r="O24" i="4"/>
  <c r="I29" i="4"/>
  <c r="J34" i="4"/>
  <c r="M34" i="4"/>
  <c r="O38" i="4"/>
  <c r="H43" i="4"/>
  <c r="H57" i="4"/>
  <c r="H53" i="4"/>
  <c r="H49" i="4"/>
  <c r="H45" i="4"/>
  <c r="J43" i="4"/>
  <c r="J58" i="4"/>
  <c r="J54" i="4"/>
  <c r="J50" i="4"/>
  <c r="J46" i="4"/>
  <c r="M59" i="4"/>
  <c r="M55" i="4"/>
  <c r="M51" i="4"/>
  <c r="M47" i="4"/>
  <c r="O47" i="4"/>
  <c r="H60" i="4"/>
  <c r="H56" i="4"/>
  <c r="H52" i="4"/>
  <c r="H48" i="4"/>
  <c r="H44" i="4"/>
  <c r="J57" i="4"/>
  <c r="J53" i="4"/>
  <c r="J49" i="4"/>
  <c r="J45" i="4"/>
  <c r="L60" i="4"/>
  <c r="L56" i="4"/>
  <c r="L52" i="4"/>
  <c r="L48" i="4"/>
  <c r="L44" i="4"/>
  <c r="M58" i="4"/>
  <c r="M54" i="4"/>
  <c r="M50" i="4"/>
  <c r="M46" i="4"/>
  <c r="O58" i="4"/>
  <c r="O54" i="4"/>
  <c r="O50" i="4"/>
  <c r="O46" i="4"/>
  <c r="J60" i="4"/>
  <c r="J56" i="4"/>
  <c r="J52" i="4"/>
  <c r="J48" i="4"/>
  <c r="J44" i="4"/>
  <c r="L59" i="4"/>
  <c r="L55" i="4"/>
  <c r="L51" i="4"/>
  <c r="L47" i="4"/>
  <c r="L58" i="4"/>
  <c r="L54" i="4"/>
  <c r="L50" i="4"/>
  <c r="L46" i="4"/>
  <c r="I38" i="4"/>
  <c r="I35" i="4"/>
  <c r="J32" i="4"/>
  <c r="I31" i="4"/>
  <c r="J30" i="4"/>
  <c r="I30" i="4"/>
  <c r="J28" i="4"/>
  <c r="I27" i="4"/>
  <c r="J27" i="4"/>
  <c r="I26" i="4"/>
  <c r="I25" i="4"/>
  <c r="M4" i="4"/>
  <c r="M8" i="4"/>
  <c r="M14" i="4"/>
  <c r="M16" i="4"/>
  <c r="M20" i="4"/>
  <c r="L4" i="4"/>
  <c r="L6" i="4"/>
  <c r="L8" i="4"/>
  <c r="L9" i="4"/>
  <c r="L12" i="4"/>
  <c r="L14" i="4"/>
  <c r="L20" i="4"/>
  <c r="O18" i="4" l="1"/>
  <c r="I3" i="4"/>
  <c r="J3" i="4"/>
  <c r="H13" i="4"/>
  <c r="I13" i="4"/>
  <c r="J13" i="4"/>
  <c r="H9" i="4"/>
  <c r="I9" i="4"/>
  <c r="J9" i="4"/>
  <c r="H5" i="4"/>
  <c r="I5" i="4"/>
  <c r="J5" i="4"/>
  <c r="O3" i="4"/>
  <c r="O17" i="4"/>
  <c r="O13" i="4"/>
  <c r="O9" i="4"/>
  <c r="O5" i="4"/>
  <c r="L13" i="4"/>
  <c r="M18" i="4"/>
  <c r="M19" i="4"/>
  <c r="H6" i="4"/>
  <c r="I6" i="4"/>
  <c r="J6" i="4"/>
  <c r="O10" i="4"/>
  <c r="I8" i="4"/>
  <c r="J8" i="4"/>
  <c r="H8" i="4"/>
  <c r="O16" i="4"/>
  <c r="M17" i="4"/>
  <c r="L17" i="4"/>
  <c r="H3" i="4"/>
  <c r="M10" i="4"/>
  <c r="H10" i="4"/>
  <c r="I10" i="4"/>
  <c r="J10" i="4"/>
  <c r="M3" i="4"/>
  <c r="O14" i="4"/>
  <c r="O6" i="4"/>
  <c r="L10" i="4"/>
  <c r="M7" i="4"/>
  <c r="M11" i="4"/>
  <c r="I12" i="4"/>
  <c r="J12" i="4"/>
  <c r="H12" i="4"/>
  <c r="I4" i="4"/>
  <c r="J4" i="4"/>
  <c r="H4" i="4"/>
  <c r="O20" i="4"/>
  <c r="O12" i="4"/>
  <c r="O8" i="4"/>
  <c r="O4" i="4"/>
  <c r="M13" i="4"/>
  <c r="M9" i="4"/>
  <c r="M5" i="4"/>
  <c r="J11" i="4"/>
  <c r="H11" i="4"/>
  <c r="I11" i="4"/>
  <c r="J7" i="4"/>
  <c r="H7" i="4"/>
  <c r="I7" i="4"/>
  <c r="O19" i="4"/>
  <c r="L19" i="4"/>
  <c r="O15" i="4"/>
  <c r="L15" i="4"/>
  <c r="O11" i="4"/>
  <c r="L11" i="4"/>
  <c r="O7" i="4"/>
  <c r="L7" i="4"/>
  <c r="L16" i="4"/>
  <c r="L5" i="4"/>
  <c r="L3" i="4"/>
  <c r="M12" i="4"/>
  <c r="M15" i="4"/>
  <c r="M6" i="4"/>
  <c r="L18" i="4"/>
  <c r="J20" i="4"/>
  <c r="I20" i="4"/>
  <c r="H20" i="4"/>
  <c r="J19" i="4"/>
  <c r="H19" i="4"/>
  <c r="I19" i="4"/>
  <c r="J18" i="4"/>
  <c r="I18" i="4"/>
  <c r="H18" i="4"/>
  <c r="J17" i="4"/>
  <c r="I17" i="4"/>
  <c r="H17" i="4"/>
  <c r="J16" i="4"/>
  <c r="I16" i="4"/>
  <c r="H16" i="4"/>
  <c r="I15" i="4"/>
  <c r="H15" i="4"/>
  <c r="J15" i="4"/>
  <c r="J14" i="4"/>
  <c r="H14" i="4"/>
  <c r="I14" i="4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F4" i="3"/>
  <c r="G4" i="4" s="1"/>
  <c r="F5" i="3"/>
  <c r="G5" i="4" s="1"/>
  <c r="F6" i="3"/>
  <c r="G6" i="4" s="1"/>
  <c r="F7" i="3"/>
  <c r="G7" i="4" s="1"/>
  <c r="F8" i="3"/>
  <c r="G8" i="4" s="1"/>
  <c r="F9" i="3"/>
  <c r="G9" i="4" s="1"/>
  <c r="F10" i="3"/>
  <c r="G10" i="4" s="1"/>
  <c r="F11" i="3"/>
  <c r="G11" i="4" s="1"/>
  <c r="F12" i="3"/>
  <c r="G12" i="4" s="1"/>
  <c r="F13" i="3"/>
  <c r="G13" i="4" s="1"/>
  <c r="F14" i="3"/>
  <c r="G14" i="4" s="1"/>
  <c r="F15" i="3"/>
  <c r="G15" i="4" s="1"/>
  <c r="F16" i="3"/>
  <c r="G16" i="4" s="1"/>
  <c r="F17" i="3"/>
  <c r="G17" i="4" s="1"/>
  <c r="F18" i="3"/>
  <c r="G18" i="4" s="1"/>
  <c r="F19" i="3"/>
  <c r="G19" i="4" s="1"/>
  <c r="F20" i="3"/>
  <c r="G20" i="4" s="1"/>
  <c r="F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G29" i="4" l="1"/>
  <c r="G35" i="4"/>
  <c r="G43" i="4"/>
  <c r="V21" i="3"/>
  <c r="G49" i="4"/>
  <c r="G55" i="4"/>
  <c r="G24" i="4"/>
  <c r="N21" i="3"/>
  <c r="G30" i="4"/>
  <c r="G36" i="4"/>
  <c r="N36" i="4" s="1"/>
  <c r="G44" i="4"/>
  <c r="G50" i="4"/>
  <c r="G56" i="4"/>
  <c r="G25" i="4"/>
  <c r="K25" i="4" s="1"/>
  <c r="G31" i="4"/>
  <c r="G37" i="4"/>
  <c r="G45" i="4"/>
  <c r="G51" i="4"/>
  <c r="Q51" i="4" s="1"/>
  <c r="G57" i="4"/>
  <c r="G26" i="4"/>
  <c r="G32" i="4"/>
  <c r="G38" i="4"/>
  <c r="P38" i="4" s="1"/>
  <c r="G46" i="4"/>
  <c r="G52" i="4"/>
  <c r="G58" i="4"/>
  <c r="G3" i="4"/>
  <c r="P3" i="4" s="1"/>
  <c r="F21" i="3"/>
  <c r="G27" i="4"/>
  <c r="G33" i="4"/>
  <c r="G39" i="4"/>
  <c r="G47" i="4"/>
  <c r="G53" i="4"/>
  <c r="G59" i="4"/>
  <c r="G28" i="4"/>
  <c r="G34" i="4"/>
  <c r="G40" i="4"/>
  <c r="G48" i="4"/>
  <c r="G54" i="4"/>
  <c r="G60" i="4"/>
  <c r="N20" i="4"/>
  <c r="G42" i="3"/>
  <c r="N6" i="4"/>
  <c r="G28" i="3"/>
  <c r="N4" i="4"/>
  <c r="G26" i="3"/>
  <c r="N15" i="4"/>
  <c r="G37" i="3"/>
  <c r="Q23" i="4"/>
  <c r="H25" i="3"/>
  <c r="H31" i="3"/>
  <c r="H37" i="3"/>
  <c r="I25" i="3"/>
  <c r="I31" i="3"/>
  <c r="I37" i="3"/>
  <c r="N16" i="4"/>
  <c r="G38" i="3"/>
  <c r="N14" i="4"/>
  <c r="G36" i="3"/>
  <c r="N18" i="4"/>
  <c r="G40" i="3"/>
  <c r="N13" i="4"/>
  <c r="G35" i="3"/>
  <c r="H26" i="3"/>
  <c r="H32" i="3"/>
  <c r="H38" i="3"/>
  <c r="I26" i="3"/>
  <c r="I32" i="3"/>
  <c r="I38" i="3"/>
  <c r="N12" i="4"/>
  <c r="G34" i="3"/>
  <c r="N11" i="4"/>
  <c r="G33" i="3"/>
  <c r="H27" i="3"/>
  <c r="H33" i="3"/>
  <c r="H39" i="3"/>
  <c r="I27" i="3"/>
  <c r="I33" i="3"/>
  <c r="I39" i="3"/>
  <c r="N10" i="4"/>
  <c r="G32" i="3"/>
  <c r="G25" i="3"/>
  <c r="N9" i="4"/>
  <c r="G31" i="3"/>
  <c r="H28" i="3"/>
  <c r="H34" i="3"/>
  <c r="H40" i="3"/>
  <c r="I28" i="3"/>
  <c r="I34" i="3"/>
  <c r="I40" i="3"/>
  <c r="N8" i="4"/>
  <c r="G30" i="3"/>
  <c r="N19" i="4"/>
  <c r="G41" i="3"/>
  <c r="N7" i="4"/>
  <c r="G29" i="3"/>
  <c r="H29" i="3"/>
  <c r="H35" i="3"/>
  <c r="H41" i="3"/>
  <c r="I29" i="3"/>
  <c r="I35" i="3"/>
  <c r="I41" i="3"/>
  <c r="N17" i="4"/>
  <c r="G39" i="3"/>
  <c r="N5" i="4"/>
  <c r="G27" i="3"/>
  <c r="H30" i="3"/>
  <c r="H36" i="3"/>
  <c r="H42" i="3"/>
  <c r="I30" i="3"/>
  <c r="I36" i="3"/>
  <c r="I42" i="3"/>
  <c r="Q24" i="4"/>
  <c r="K24" i="4"/>
  <c r="P24" i="4"/>
  <c r="N24" i="4"/>
  <c r="Q26" i="4"/>
  <c r="P26" i="4"/>
  <c r="K26" i="4"/>
  <c r="N26" i="4"/>
  <c r="P28" i="4"/>
  <c r="Q28" i="4"/>
  <c r="N28" i="4"/>
  <c r="K28" i="4"/>
  <c r="N30" i="4"/>
  <c r="Q30" i="4"/>
  <c r="K30" i="4"/>
  <c r="P30" i="4"/>
  <c r="N32" i="4"/>
  <c r="K32" i="4"/>
  <c r="P32" i="4"/>
  <c r="Q32" i="4"/>
  <c r="K34" i="4"/>
  <c r="P34" i="4"/>
  <c r="N34" i="4"/>
  <c r="Q34" i="4"/>
  <c r="K40" i="4"/>
  <c r="Q40" i="4"/>
  <c r="N40" i="4"/>
  <c r="P40" i="4"/>
  <c r="K44" i="4"/>
  <c r="Q44" i="4"/>
  <c r="N44" i="4"/>
  <c r="P44" i="4"/>
  <c r="N46" i="4"/>
  <c r="K46" i="4"/>
  <c r="P46" i="4"/>
  <c r="Q46" i="4"/>
  <c r="Q48" i="4"/>
  <c r="N48" i="4"/>
  <c r="P48" i="4"/>
  <c r="K48" i="4"/>
  <c r="P50" i="4"/>
  <c r="Q50" i="4"/>
  <c r="N50" i="4"/>
  <c r="K50" i="4"/>
  <c r="P52" i="4"/>
  <c r="Q52" i="4"/>
  <c r="K52" i="4"/>
  <c r="N52" i="4"/>
  <c r="K54" i="4"/>
  <c r="Q54" i="4"/>
  <c r="N54" i="4"/>
  <c r="P54" i="4"/>
  <c r="K56" i="4"/>
  <c r="Q56" i="4"/>
  <c r="N56" i="4"/>
  <c r="P56" i="4"/>
  <c r="K58" i="4"/>
  <c r="N58" i="4"/>
  <c r="P58" i="4"/>
  <c r="Q58" i="4"/>
  <c r="K60" i="4"/>
  <c r="Q60" i="4"/>
  <c r="N60" i="4"/>
  <c r="P60" i="4"/>
  <c r="K18" i="4"/>
  <c r="K19" i="4"/>
  <c r="Q16" i="4"/>
  <c r="K7" i="4"/>
  <c r="K11" i="4"/>
  <c r="P6" i="4"/>
  <c r="P16" i="4"/>
  <c r="Q10" i="4"/>
  <c r="P5" i="4"/>
  <c r="P13" i="4"/>
  <c r="Q11" i="4"/>
  <c r="K16" i="4"/>
  <c r="K17" i="4"/>
  <c r="K20" i="4"/>
  <c r="Q4" i="4"/>
  <c r="Q20" i="4"/>
  <c r="P15" i="4"/>
  <c r="Q9" i="4"/>
  <c r="P4" i="4"/>
  <c r="P12" i="4"/>
  <c r="K4" i="4"/>
  <c r="K12" i="4"/>
  <c r="K10" i="4"/>
  <c r="Q7" i="4"/>
  <c r="Q14" i="4"/>
  <c r="K5" i="4"/>
  <c r="K9" i="4"/>
  <c r="K13" i="4"/>
  <c r="Q19" i="4"/>
  <c r="N25" i="4"/>
  <c r="Q27" i="4"/>
  <c r="N27" i="4"/>
  <c r="P27" i="4"/>
  <c r="K27" i="4"/>
  <c r="Q29" i="4"/>
  <c r="N29" i="4"/>
  <c r="P29" i="4"/>
  <c r="K29" i="4"/>
  <c r="N31" i="4"/>
  <c r="P31" i="4"/>
  <c r="Q31" i="4"/>
  <c r="K31" i="4"/>
  <c r="Q33" i="4"/>
  <c r="N33" i="4"/>
  <c r="K33" i="4"/>
  <c r="P33" i="4"/>
  <c r="K35" i="4"/>
  <c r="N35" i="4"/>
  <c r="P35" i="4"/>
  <c r="Q35" i="4"/>
  <c r="Q37" i="4"/>
  <c r="N37" i="4"/>
  <c r="K37" i="4"/>
  <c r="P37" i="4"/>
  <c r="P39" i="4"/>
  <c r="Q39" i="4"/>
  <c r="N39" i="4"/>
  <c r="K39" i="4"/>
  <c r="Q43" i="4"/>
  <c r="P43" i="4"/>
  <c r="K43" i="4"/>
  <c r="N43" i="4"/>
  <c r="Q45" i="4"/>
  <c r="K45" i="4"/>
  <c r="P45" i="4"/>
  <c r="N45" i="4"/>
  <c r="P47" i="4"/>
  <c r="K47" i="4"/>
  <c r="N47" i="4"/>
  <c r="Q47" i="4"/>
  <c r="K49" i="4"/>
  <c r="P49" i="4"/>
  <c r="N49" i="4"/>
  <c r="Q49" i="4"/>
  <c r="P51" i="4"/>
  <c r="N53" i="4"/>
  <c r="P53" i="4"/>
  <c r="Q53" i="4"/>
  <c r="K53" i="4"/>
  <c r="K55" i="4"/>
  <c r="Q55" i="4"/>
  <c r="N55" i="4"/>
  <c r="P55" i="4"/>
  <c r="N57" i="4"/>
  <c r="Q57" i="4"/>
  <c r="K57" i="4"/>
  <c r="P57" i="4"/>
  <c r="K59" i="4"/>
  <c r="Q59" i="4"/>
  <c r="P59" i="4"/>
  <c r="N59" i="4"/>
  <c r="K14" i="4"/>
  <c r="Q8" i="4"/>
  <c r="P7" i="4"/>
  <c r="P11" i="4"/>
  <c r="P14" i="4"/>
  <c r="Q17" i="4"/>
  <c r="K8" i="4"/>
  <c r="P10" i="4"/>
  <c r="Q18" i="4"/>
  <c r="P9" i="4"/>
  <c r="P17" i="4"/>
  <c r="P18" i="4"/>
  <c r="K15" i="4"/>
  <c r="Q12" i="4"/>
  <c r="P19" i="4"/>
  <c r="Q5" i="4"/>
  <c r="Q13" i="4"/>
  <c r="P8" i="4"/>
  <c r="P20" i="4"/>
  <c r="Q15" i="4"/>
  <c r="K6" i="4"/>
  <c r="Q6" i="4"/>
  <c r="Q25" i="4" l="1"/>
  <c r="K38" i="4"/>
  <c r="Q38" i="4"/>
  <c r="P25" i="4"/>
  <c r="N38" i="4"/>
  <c r="K51" i="4"/>
  <c r="N3" i="4"/>
  <c r="P36" i="4"/>
  <c r="Q36" i="4"/>
  <c r="K3" i="4"/>
  <c r="K36" i="4"/>
  <c r="N51" i="4"/>
  <c r="Q3" i="4"/>
  <c r="K23" i="4"/>
  <c r="N23" i="4"/>
  <c r="P23" i="4"/>
</calcChain>
</file>

<file path=xl/sharedStrings.xml><?xml version="1.0" encoding="utf-8"?>
<sst xmlns="http://schemas.openxmlformats.org/spreadsheetml/2006/main" count="229" uniqueCount="74">
  <si>
    <t>Nh 11x11x11</t>
  </si>
  <si>
    <t>Nh 9x9x9</t>
  </si>
  <si>
    <t>Nh 7x7x7</t>
  </si>
  <si>
    <t>Number of Threads</t>
  </si>
  <si>
    <t>Intel</t>
  </si>
  <si>
    <t>Atlas</t>
  </si>
  <si>
    <t>Std</t>
  </si>
  <si>
    <t>Avg seconds</t>
  </si>
  <si>
    <t>Iter minutes</t>
  </si>
  <si>
    <t>11x11x11</t>
  </si>
  <si>
    <t>9x9x9</t>
  </si>
  <si>
    <t>7x7x7</t>
  </si>
  <si>
    <t xml:space="preserve">CPU </t>
  </si>
  <si>
    <t>OpenMP</t>
  </si>
  <si>
    <t>GPU</t>
  </si>
  <si>
    <t>Op</t>
  </si>
  <si>
    <t>Op1</t>
  </si>
  <si>
    <t>Op2</t>
  </si>
  <si>
    <t>CPU vs OpenMP</t>
  </si>
  <si>
    <t>CPU vs GPU_Op</t>
  </si>
  <si>
    <t>OpenMP vs GPU_OP</t>
  </si>
  <si>
    <t>OpenMP vs GPU_OP1</t>
  </si>
  <si>
    <t>OpenMP vs GPU_OP2</t>
  </si>
  <si>
    <t>GPU_Op vs GPU_Op1</t>
  </si>
  <si>
    <t>GPU_Op vs GPU_Op2</t>
  </si>
  <si>
    <t>GPU_Op1 vs GPU_Op2</t>
  </si>
  <si>
    <t xml:space="preserve">Thread Block </t>
  </si>
  <si>
    <t>8x8x8</t>
  </si>
  <si>
    <t>10x10x10</t>
  </si>
  <si>
    <t>nh</t>
  </si>
  <si>
    <t>patch</t>
  </si>
  <si>
    <t>nx</t>
  </si>
  <si>
    <t>ny</t>
  </si>
  <si>
    <t>nz</t>
  </si>
  <si>
    <t>N</t>
  </si>
  <si>
    <t>Effective Bandwidth GB/s</t>
  </si>
  <si>
    <t>Time  in minutes</t>
  </si>
  <si>
    <t>N number of the elements for calculation ()</t>
  </si>
  <si>
    <t>CUDA_GM</t>
  </si>
  <si>
    <t>CUDA_GM2</t>
  </si>
  <si>
    <t>8x8x4</t>
  </si>
  <si>
    <t>8x8x10</t>
  </si>
  <si>
    <t>Time in minutes</t>
  </si>
  <si>
    <t>Size 222x222x112</t>
  </si>
  <si>
    <t>Time in min</t>
  </si>
  <si>
    <t>K40C</t>
  </si>
  <si>
    <t>DGX</t>
  </si>
  <si>
    <t>Time in seconds</t>
  </si>
  <si>
    <t>Speedup Nh 9</t>
  </si>
  <si>
    <t>Speedup Nh 7</t>
  </si>
  <si>
    <t>Time in Seconds</t>
  </si>
  <si>
    <t>Speedup Nh 11</t>
  </si>
  <si>
    <t>Intel C++ 19 Xeonv3</t>
  </si>
  <si>
    <t>Clang XeonV4</t>
  </si>
  <si>
    <t>CUDA-SM</t>
  </si>
  <si>
    <t>Speedup</t>
  </si>
  <si>
    <t>CPU vs GPU_Op1</t>
  </si>
  <si>
    <t>CPU vs GPU_Op2</t>
  </si>
  <si>
    <t>CUDA 6.5</t>
  </si>
  <si>
    <t>Xeon v3: Intel Xeon E5-1650v3, 3.5 GHz hexa-core processor, from the</t>
  </si>
  <si>
    <t>2014 Intel Haswell architecture (Haswell-EP), 1.5MB L2 cache, and 15MB</t>
  </si>
  <si>
    <t>L3 cache with 64GB DDR3 RAM [128]. The CPU uses a Microsoft Windows</t>
  </si>
  <si>
    <t>Server 2012R2 as the operating system.</t>
  </si>
  <si>
    <t>Xeon v4: Intel Xeon E5 2698v4 2.2 GHz 20 cores [129]. The CPU uses a</t>
  </si>
  <si>
    <t>Ubuntu 18.04.4 LTS (Bionic Beaver) https://releases.ubuntu.com/18.</t>
  </si>
  <si>
    <t>04/ Desktop Linux as operating system.</t>
  </si>
  <si>
    <t>K40C: The Tesla K40c professional platform (with the NVIDIA Kepler</t>
  </si>
  <si>
    <t>GK110 architecture supporting CUDA compute capability 3.5) with 12GB</t>
  </si>
  <si>
    <t>RAM GDDR5, with 15 streaming multiprocessors of 192 CUDA cores</t>
  </si>
  <si>
    <t>each giving a total of 2880 CUDA cores. 5.046 TFlops [201].</t>
  </si>
  <si>
    <t>DGX: DGX station (with the NVIDIA Volta 4 Tesla V100 architecture supporting</t>
  </si>
  <si>
    <t>CUDA compute capability 7.0) 480 TFlops (GPU FP16), GPU Memory</t>
  </si>
  <si>
    <t>64 GB total NVIDIA Tensor Cores 2560 NVIDIA CUDA© Cores 20480</t>
  </si>
  <si>
    <t>hosted on Xeon v4 [199].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</si>
</sst>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/>
    <xf numFmtId="164" fontId="0" fillId="0" borderId="0" xfId="0" applyNumberFormat="1"/>
    <xf numFmtId="2" fontId="0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/>
    <xf numFmtId="2" fontId="0" fillId="0" borderId="7" xfId="0" applyNumberFormat="1" applyBorder="1"/>
    <xf numFmtId="0" fontId="0" fillId="0" borderId="0" xfId="0" applyAlignment="1">
      <alignment horizontal="center"/>
    </xf>
    <xf numFmtId="2" fontId="5" fillId="0" borderId="0" xfId="0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K40C</a:t>
            </a:r>
            <a:r>
              <a:rPr lang="es-ES" baseline="0"/>
              <a:t> vs DGX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DGXvsK40C_v2!$G$6</c:f>
              <c:strCache>
                <c:ptCount val="1"/>
                <c:pt idx="0">
                  <c:v>Speedup Nh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DGXvsK40C_v2!$G$7:$G$24</c:f>
              <c:numCache>
                <c:formatCode>0.00</c:formatCode>
                <c:ptCount val="18"/>
                <c:pt idx="0">
                  <c:v>10.958081274919845</c:v>
                </c:pt>
                <c:pt idx="1">
                  <c:v>11.599488739671282</c:v>
                </c:pt>
                <c:pt idx="2">
                  <c:v>11.581868397401275</c:v>
                </c:pt>
                <c:pt idx="3">
                  <c:v>12.084250936169118</c:v>
                </c:pt>
                <c:pt idx="4">
                  <c:v>12.101065474105065</c:v>
                </c:pt>
                <c:pt idx="5">
                  <c:v>12.279274620430787</c:v>
                </c:pt>
                <c:pt idx="6">
                  <c:v>12.308049442869123</c:v>
                </c:pt>
                <c:pt idx="7">
                  <c:v>12.338556401250734</c:v>
                </c:pt>
                <c:pt idx="8">
                  <c:v>12.322037187997362</c:v>
                </c:pt>
                <c:pt idx="9">
                  <c:v>12.344092870567071</c:v>
                </c:pt>
                <c:pt idx="10">
                  <c:v>12.422869692439196</c:v>
                </c:pt>
                <c:pt idx="11">
                  <c:v>12.356134794728469</c:v>
                </c:pt>
                <c:pt idx="12">
                  <c:v>12.453130940096672</c:v>
                </c:pt>
                <c:pt idx="13">
                  <c:v>12.449223928900897</c:v>
                </c:pt>
                <c:pt idx="14">
                  <c:v>12.449906140173418</c:v>
                </c:pt>
                <c:pt idx="15">
                  <c:v>12.380749788923124</c:v>
                </c:pt>
                <c:pt idx="16">
                  <c:v>12.478297861717907</c:v>
                </c:pt>
                <c:pt idx="17">
                  <c:v>12.488635827421867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492B-AD43-B8660926D255}"/>
            </c:ext>
          </c:extLst>
        </c:ser>
        <c:ser>
          <c:idx val="1"/>
          <c:order val="1"/>
          <c:tx>
            <c:strRef>
              <c:f>DGXvsK40C_v2!$D$6</c:f>
              <c:strCache>
                <c:ptCount val="1"/>
                <c:pt idx="0">
                  <c:v>Speedup Nh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DGXvsK40C_v2!$D$7:$D$24</c:f>
              <c:numCache>
                <c:formatCode>0.00</c:formatCode>
                <c:ptCount val="18"/>
                <c:pt idx="0">
                  <c:v>9.2339859738769974</c:v>
                </c:pt>
                <c:pt idx="1">
                  <c:v>10.542659676612871</c:v>
                </c:pt>
                <c:pt idx="2">
                  <c:v>11.066366426243151</c:v>
                </c:pt>
                <c:pt idx="3">
                  <c:v>11.252118936024319</c:v>
                </c:pt>
                <c:pt idx="4">
                  <c:v>11.117889521413828</c:v>
                </c:pt>
                <c:pt idx="5">
                  <c:v>11.527781730829441</c:v>
                </c:pt>
                <c:pt idx="6">
                  <c:v>11.609025810513062</c:v>
                </c:pt>
                <c:pt idx="7">
                  <c:v>11.770433112120154</c:v>
                </c:pt>
                <c:pt idx="8">
                  <c:v>11.757540963257199</c:v>
                </c:pt>
                <c:pt idx="9">
                  <c:v>11.773798699027767</c:v>
                </c:pt>
                <c:pt idx="10">
                  <c:v>11.880206394639902</c:v>
                </c:pt>
                <c:pt idx="11">
                  <c:v>11.752696747603052</c:v>
                </c:pt>
                <c:pt idx="12">
                  <c:v>11.942065711289757</c:v>
                </c:pt>
                <c:pt idx="13">
                  <c:v>11.964894627983677</c:v>
                </c:pt>
                <c:pt idx="14">
                  <c:v>11.938359147195818</c:v>
                </c:pt>
                <c:pt idx="15">
                  <c:v>11.769135186692219</c:v>
                </c:pt>
                <c:pt idx="16">
                  <c:v>12.000226764035222</c:v>
                </c:pt>
                <c:pt idx="17">
                  <c:v>12.006722942537493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C-492B-AD43-B8660926D255}"/>
            </c:ext>
          </c:extLst>
        </c:ser>
        <c:ser>
          <c:idx val="2"/>
          <c:order val="2"/>
          <c:tx>
            <c:v>Speedup Nh 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DGXvsK40C_v2!$J$7:$J$24</c:f>
              <c:numCache>
                <c:formatCode>General</c:formatCode>
                <c:ptCount val="18"/>
                <c:pt idx="0">
                  <c:v>5.9024864384500031</c:v>
                </c:pt>
                <c:pt idx="1">
                  <c:v>6.0837807466600076</c:v>
                </c:pt>
                <c:pt idx="2">
                  <c:v>6.132923582027817</c:v>
                </c:pt>
                <c:pt idx="3">
                  <c:v>6.1408475325217662</c:v>
                </c:pt>
                <c:pt idx="4">
                  <c:v>6.1403951697163421</c:v>
                </c:pt>
                <c:pt idx="5">
                  <c:v>6.1695349426886592</c:v>
                </c:pt>
                <c:pt idx="6">
                  <c:v>6.1591705124229863</c:v>
                </c:pt>
                <c:pt idx="7">
                  <c:v>6.1740701415191523</c:v>
                </c:pt>
                <c:pt idx="8">
                  <c:v>6.1801751395521318</c:v>
                </c:pt>
                <c:pt idx="9">
                  <c:v>6.148667669756831</c:v>
                </c:pt>
                <c:pt idx="10">
                  <c:v>6.1856611610589933</c:v>
                </c:pt>
                <c:pt idx="11">
                  <c:v>6.1902265493353301</c:v>
                </c:pt>
                <c:pt idx="12">
                  <c:v>6.1870198914194328</c:v>
                </c:pt>
                <c:pt idx="13">
                  <c:v>6.1857993197278915</c:v>
                </c:pt>
                <c:pt idx="14">
                  <c:v>6.1868925406924555</c:v>
                </c:pt>
                <c:pt idx="15">
                  <c:v>6.1937783855056896</c:v>
                </c:pt>
                <c:pt idx="16">
                  <c:v>6.1962668383062844</c:v>
                </c:pt>
                <c:pt idx="17">
                  <c:v>6.1955536744317294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C-492B-AD43-B8660926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55176"/>
        <c:axId val="566252552"/>
      </c:lineChart>
      <c:catAx>
        <c:axId val="56625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Atlas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252552"/>
        <c:crosses val="autoZero"/>
        <c:auto val="1"/>
        <c:lblAlgn val="ctr"/>
        <c:lblOffset val="100"/>
        <c:noMultiLvlLbl val="0"/>
      </c:catAx>
      <c:valAx>
        <c:axId val="5662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25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(Conclusions!$B$4,Conclusions!$B$6,Conclusions!$B$8,Conclusions!$B$10,Conclusions!$B$12,Conclusions!$B$14,Conclusions!$B$16,Conclusions!$B$18,Conclusions!$B$20)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2-4838-ADAD-B19D06C4B8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(Conclusions!$C$4,Conclusions!$C$6,Conclusions!$C$8,Conclusions!$C$10,Conclusions!$C$12,Conclusions!$C$14,Conclusions!$C$16,Conclusions!$C$18,Conclusions!$C$20)</c:f>
              <c:numCache>
                <c:formatCode>0.0</c:formatCode>
                <c:ptCount val="9"/>
                <c:pt idx="0">
                  <c:v>1192.9680000000001</c:v>
                </c:pt>
                <c:pt idx="1">
                  <c:v>2385.1259999999997</c:v>
                </c:pt>
                <c:pt idx="2">
                  <c:v>3334.056</c:v>
                </c:pt>
                <c:pt idx="3">
                  <c:v>4466.8440000000001</c:v>
                </c:pt>
                <c:pt idx="4">
                  <c:v>5544.018</c:v>
                </c:pt>
                <c:pt idx="5">
                  <c:v>6698.7</c:v>
                </c:pt>
                <c:pt idx="6">
                  <c:v>7832.88</c:v>
                </c:pt>
                <c:pt idx="7">
                  <c:v>9235.02</c:v>
                </c:pt>
                <c:pt idx="8">
                  <c:v>10406.1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2-4838-ADAD-B19D06C4B8C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(Conclusions!$D$4,Conclusions!$D$6,Conclusions!$D$8,Conclusions!$D$10,Conclusions!$D$12,Conclusions!$D$14,Conclusions!$D$16,Conclusions!$D$18,Conclusions!$D$20)</c:f>
              <c:numCache>
                <c:formatCode>0.0</c:formatCode>
                <c:ptCount val="9"/>
                <c:pt idx="0">
                  <c:v>215.97299999999998</c:v>
                </c:pt>
                <c:pt idx="1">
                  <c:v>494.10239999999999</c:v>
                </c:pt>
                <c:pt idx="2">
                  <c:v>660.30600000000004</c:v>
                </c:pt>
                <c:pt idx="3">
                  <c:v>859.65600000000006</c:v>
                </c:pt>
                <c:pt idx="4">
                  <c:v>1080.9000000000001</c:v>
                </c:pt>
                <c:pt idx="5">
                  <c:v>1306.518</c:v>
                </c:pt>
                <c:pt idx="6">
                  <c:v>1538.1120000000001</c:v>
                </c:pt>
                <c:pt idx="7">
                  <c:v>1767.9839999999999</c:v>
                </c:pt>
                <c:pt idx="8">
                  <c:v>2350.7460000000001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2-4838-ADAD-B19D06C4B8C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(Conclusions!$E$4,Conclusions!$E$6,Conclusions!$E$8,Conclusions!$E$10,Conclusions!$E$12,Conclusions!$E$14,Conclusions!$E$16,Conclusions!$E$18,Conclusions!$E$20)</c:f>
              <c:numCache>
                <c:formatCode>0.0</c:formatCode>
                <c:ptCount val="9"/>
                <c:pt idx="0">
                  <c:v>36.790140000000001</c:v>
                </c:pt>
                <c:pt idx="1">
                  <c:v>73.483800000000002</c:v>
                </c:pt>
                <c:pt idx="2">
                  <c:v>110.259</c:v>
                </c:pt>
                <c:pt idx="3">
                  <c:v>146.9682</c:v>
                </c:pt>
                <c:pt idx="4">
                  <c:v>183.71639999999999</c:v>
                </c:pt>
                <c:pt idx="5">
                  <c:v>220.46100000000001</c:v>
                </c:pt>
                <c:pt idx="6">
                  <c:v>257.28000000000003</c:v>
                </c:pt>
                <c:pt idx="7">
                  <c:v>294.08519999999999</c:v>
                </c:pt>
                <c:pt idx="8">
                  <c:v>330.80099999999999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2-4838-ADAD-B19D06C4B8C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(Conclusions!$F$4,Conclusions!$F$6,Conclusions!$F$8,Conclusions!$F$10,Conclusions!$F$12,Conclusions!$F$14,Conclusions!$F$16,Conclusions!$F$18,Conclusions!$F$20)</c:f>
              <c:numCache>
                <c:formatCode>0.0</c:formatCode>
                <c:ptCount val="9"/>
                <c:pt idx="0">
                  <c:v>22.114979999999999</c:v>
                </c:pt>
                <c:pt idx="1">
                  <c:v>44.160600000000002</c:v>
                </c:pt>
                <c:pt idx="2">
                  <c:v>66.214799999999997</c:v>
                </c:pt>
                <c:pt idx="3">
                  <c:v>88.347000000000008</c:v>
                </c:pt>
                <c:pt idx="4">
                  <c:v>110.50019999999999</c:v>
                </c:pt>
                <c:pt idx="5">
                  <c:v>132.54840000000002</c:v>
                </c:pt>
                <c:pt idx="6">
                  <c:v>154.81620000000001</c:v>
                </c:pt>
                <c:pt idx="7">
                  <c:v>176.8896</c:v>
                </c:pt>
                <c:pt idx="8">
                  <c:v>199.01759999999999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2-4838-ADAD-B19D06C4B8C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(Conclusions!$G$4,Conclusions!$G$6,Conclusions!$G$8,Conclusions!$G$10,Conclusions!$G$12,Conclusions!$G$14,Conclusions!$G$16,Conclusions!$G$18,Conclusions!$G$20)</c:f>
              <c:numCache>
                <c:formatCode>0.0</c:formatCode>
                <c:ptCount val="9"/>
                <c:pt idx="0">
                  <c:v>15.448245000000002</c:v>
                </c:pt>
                <c:pt idx="1">
                  <c:v>30.898949999999992</c:v>
                </c:pt>
                <c:pt idx="2">
                  <c:v>46.394594999999995</c:v>
                </c:pt>
                <c:pt idx="3">
                  <c:v>61.890599999999992</c:v>
                </c:pt>
                <c:pt idx="4">
                  <c:v>77.420400000000001</c:v>
                </c:pt>
                <c:pt idx="5">
                  <c:v>92.952300000000008</c:v>
                </c:pt>
                <c:pt idx="6">
                  <c:v>108.50489999999999</c:v>
                </c:pt>
                <c:pt idx="7">
                  <c:v>124.04159999999999</c:v>
                </c:pt>
                <c:pt idx="8">
                  <c:v>139.58144999999999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A2-4838-ADAD-B19D06C4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34592"/>
        <c:axId val="167953536"/>
      </c:barChart>
      <c:catAx>
        <c:axId val="167934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53536"/>
        <c:crosses val="autoZero"/>
        <c:auto val="1"/>
        <c:lblAlgn val="ctr"/>
        <c:lblOffset val="100"/>
        <c:noMultiLvlLbl val="0"/>
      </c:catAx>
      <c:valAx>
        <c:axId val="1679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323849</xdr:colOff>
      <xdr:row>4</xdr:row>
      <xdr:rowOff>157161</xdr:rowOff>
    </xdr:from>
    <xdr:to>
      <xdr:col>18</xdr:col>
      <xdr:colOff>352424</xdr:colOff>
      <xdr:row>24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255442-E2A4-4655-8E6D-D2243576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61</xdr:row>
      <xdr:rowOff>185737</xdr:rowOff>
    </xdr:from>
    <xdr:to>
      <xdr:col>12</xdr:col>
      <xdr:colOff>114300</xdr:colOff>
      <xdr:row>78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B12" sqref="B12"/>
    </sheetView>
  </sheetViews>
  <sheetFormatPr baseColWidth="10" defaultRowHeight="15" x14ac:dyDescent="0.25"/>
  <sheetData>
    <row r="1" spans="1:6" x14ac:dyDescent="0.25">
      <c r="B1" s="18" t="s">
        <v>4</v>
      </c>
      <c r="C1" s="18"/>
      <c r="D1" s="18"/>
      <c r="E1" s="16"/>
      <c r="F1" s="3"/>
    </row>
    <row r="2" spans="1:6" x14ac:dyDescent="0.25">
      <c r="A2" t="s">
        <v>5</v>
      </c>
      <c r="B2" t="s">
        <v>9</v>
      </c>
      <c r="C2" t="s">
        <v>10</v>
      </c>
      <c r="D2" t="s">
        <v>11</v>
      </c>
    </row>
    <row r="3" spans="1:6" x14ac:dyDescent="0.25">
      <c r="A3" s="1">
        <v>1</v>
      </c>
      <c r="B3" s="6">
        <v>9.1999999999999993</v>
      </c>
      <c r="C3" s="6">
        <v>5.27</v>
      </c>
      <c r="D3" s="7">
        <v>2.57</v>
      </c>
      <c r="E3" s="7">
        <f t="shared" ref="E3:E20" si="0">SUM(B3:D3)</f>
        <v>17.04</v>
      </c>
      <c r="F3" s="7">
        <f>E3</f>
        <v>17.04</v>
      </c>
    </row>
    <row r="4" spans="1:6" x14ac:dyDescent="0.25">
      <c r="A4">
        <v>2</v>
      </c>
      <c r="B4" s="7">
        <v>18.71</v>
      </c>
      <c r="C4" s="7">
        <v>10.58</v>
      </c>
      <c r="D4" s="7">
        <v>5.16</v>
      </c>
      <c r="E4" s="7">
        <f t="shared" si="0"/>
        <v>34.450000000000003</v>
      </c>
      <c r="F4" s="7">
        <f>F3+E4</f>
        <v>51.49</v>
      </c>
    </row>
    <row r="5" spans="1:6" x14ac:dyDescent="0.25">
      <c r="A5" s="1">
        <v>3</v>
      </c>
      <c r="B5" s="7">
        <v>28.1</v>
      </c>
      <c r="C5" s="7">
        <v>15.85</v>
      </c>
      <c r="D5" s="7">
        <v>7.75</v>
      </c>
      <c r="E5" s="7">
        <f t="shared" si="0"/>
        <v>51.7</v>
      </c>
      <c r="F5" s="7">
        <f>F4+E5</f>
        <v>103.19</v>
      </c>
    </row>
    <row r="6" spans="1:6" x14ac:dyDescent="0.25">
      <c r="A6">
        <v>4</v>
      </c>
      <c r="B6" s="7">
        <v>37.29</v>
      </c>
      <c r="C6" s="7">
        <v>21.09</v>
      </c>
      <c r="D6" s="7">
        <v>10.199999999999999</v>
      </c>
      <c r="E6" s="7">
        <f t="shared" si="0"/>
        <v>68.58</v>
      </c>
      <c r="F6" s="7">
        <f t="shared" ref="F6:F20" si="1">F5+E6</f>
        <v>171.76999999999998</v>
      </c>
    </row>
    <row r="7" spans="1:6" x14ac:dyDescent="0.25">
      <c r="A7" s="1">
        <v>5</v>
      </c>
      <c r="B7" s="7">
        <v>47</v>
      </c>
      <c r="C7" s="7">
        <v>26.79</v>
      </c>
      <c r="D7" s="7">
        <v>13</v>
      </c>
      <c r="E7" s="7">
        <f t="shared" si="0"/>
        <v>86.789999999999992</v>
      </c>
      <c r="F7" s="7">
        <f t="shared" si="1"/>
        <v>258.55999999999995</v>
      </c>
    </row>
    <row r="8" spans="1:6" x14ac:dyDescent="0.25">
      <c r="A8">
        <v>6</v>
      </c>
      <c r="B8" s="7">
        <v>56.22</v>
      </c>
      <c r="C8" s="7">
        <v>31.98</v>
      </c>
      <c r="D8" s="7">
        <v>15.53</v>
      </c>
      <c r="E8" s="7">
        <f t="shared" si="0"/>
        <v>103.73</v>
      </c>
      <c r="F8" s="7">
        <f t="shared" si="1"/>
        <v>362.28999999999996</v>
      </c>
    </row>
    <row r="9" spans="1:6" x14ac:dyDescent="0.25">
      <c r="A9" s="1">
        <v>7</v>
      </c>
      <c r="B9" s="17">
        <v>98.41</v>
      </c>
      <c r="C9" s="7">
        <v>37.590000000000003</v>
      </c>
      <c r="D9" s="7">
        <v>18.149999999999999</v>
      </c>
      <c r="E9" s="7">
        <f t="shared" si="0"/>
        <v>154.15</v>
      </c>
      <c r="F9" s="7">
        <f t="shared" si="1"/>
        <v>516.43999999999994</v>
      </c>
    </row>
    <row r="10" spans="1:6" x14ac:dyDescent="0.25">
      <c r="A10">
        <v>8</v>
      </c>
      <c r="B10" s="17">
        <v>140.13999999999999</v>
      </c>
      <c r="C10" s="7">
        <v>42.98</v>
      </c>
      <c r="D10" s="7">
        <v>20.86</v>
      </c>
      <c r="E10" s="7">
        <f t="shared" si="0"/>
        <v>203.97999999999996</v>
      </c>
      <c r="F10" s="7">
        <f t="shared" si="1"/>
        <v>720.41999999999985</v>
      </c>
    </row>
    <row r="11" spans="1:6" x14ac:dyDescent="0.25">
      <c r="A11" s="1">
        <v>9</v>
      </c>
      <c r="B11" s="17">
        <v>162.51</v>
      </c>
      <c r="C11" s="7">
        <v>51.1</v>
      </c>
      <c r="D11" s="17">
        <v>43.15</v>
      </c>
      <c r="E11" s="7">
        <f t="shared" si="0"/>
        <v>256.76</v>
      </c>
      <c r="F11" s="7">
        <f t="shared" si="1"/>
        <v>977.17999999999984</v>
      </c>
    </row>
    <row r="12" spans="1:6" x14ac:dyDescent="0.25">
      <c r="A12">
        <v>10</v>
      </c>
      <c r="B12" s="17">
        <v>174.25</v>
      </c>
      <c r="C12" s="7">
        <v>57.06</v>
      </c>
      <c r="D12" s="17">
        <v>49.15</v>
      </c>
      <c r="E12" s="7">
        <f t="shared" si="0"/>
        <v>280.45999999999998</v>
      </c>
      <c r="F12" s="7">
        <f t="shared" si="1"/>
        <v>1257.6399999999999</v>
      </c>
    </row>
    <row r="13" spans="1:6" x14ac:dyDescent="0.25">
      <c r="A13">
        <v>11</v>
      </c>
      <c r="B13" s="17">
        <v>201.81</v>
      </c>
      <c r="C13" s="17">
        <v>86.26</v>
      </c>
      <c r="D13" s="17">
        <v>50.54</v>
      </c>
      <c r="E13" s="7">
        <f t="shared" si="0"/>
        <v>338.61</v>
      </c>
      <c r="F13" s="7">
        <f t="shared" si="1"/>
        <v>1596.25</v>
      </c>
    </row>
    <row r="14" spans="1:6" x14ac:dyDescent="0.25">
      <c r="A14">
        <v>12</v>
      </c>
      <c r="B14" s="17">
        <v>170.37</v>
      </c>
      <c r="C14" s="17">
        <v>118.51</v>
      </c>
      <c r="D14" s="17">
        <v>47.15</v>
      </c>
      <c r="E14" s="7">
        <f t="shared" si="0"/>
        <v>336.03</v>
      </c>
      <c r="F14" s="7">
        <f t="shared" si="1"/>
        <v>1932.28</v>
      </c>
    </row>
    <row r="15" spans="1:6" x14ac:dyDescent="0.25">
      <c r="A15">
        <v>13</v>
      </c>
      <c r="B15" s="17">
        <v>121.91</v>
      </c>
      <c r="C15" s="17">
        <v>126.83</v>
      </c>
      <c r="D15" s="17">
        <v>34.11</v>
      </c>
      <c r="E15" s="7">
        <f t="shared" si="0"/>
        <v>282.85000000000002</v>
      </c>
      <c r="F15" s="7">
        <f t="shared" si="1"/>
        <v>2215.13</v>
      </c>
    </row>
    <row r="16" spans="1:6" x14ac:dyDescent="0.25">
      <c r="A16">
        <v>14</v>
      </c>
      <c r="B16" s="17">
        <v>131.69999999999999</v>
      </c>
      <c r="C16" s="17">
        <v>149.55000000000001</v>
      </c>
      <c r="D16" s="17">
        <v>38.549999999999997</v>
      </c>
      <c r="E16" s="7">
        <f t="shared" si="0"/>
        <v>319.8</v>
      </c>
      <c r="F16" s="7">
        <f t="shared" si="1"/>
        <v>2534.9300000000003</v>
      </c>
    </row>
    <row r="17" spans="1:6" x14ac:dyDescent="0.25">
      <c r="A17">
        <v>15</v>
      </c>
      <c r="B17" s="17">
        <v>141.09</v>
      </c>
      <c r="C17" s="17">
        <v>102.79</v>
      </c>
      <c r="D17" s="17">
        <v>67.37</v>
      </c>
      <c r="E17" s="7">
        <f t="shared" si="0"/>
        <v>311.25</v>
      </c>
      <c r="F17" s="7">
        <f t="shared" si="1"/>
        <v>2846.1800000000003</v>
      </c>
    </row>
    <row r="18" spans="1:6" x14ac:dyDescent="0.25">
      <c r="A18">
        <v>16</v>
      </c>
      <c r="B18" s="17">
        <v>184.93</v>
      </c>
      <c r="C18" s="17">
        <v>85.73</v>
      </c>
      <c r="D18" s="17">
        <v>71.430000000000007</v>
      </c>
      <c r="E18" s="7">
        <f t="shared" si="0"/>
        <v>342.09000000000003</v>
      </c>
      <c r="F18" s="7">
        <f t="shared" si="1"/>
        <v>3188.2700000000004</v>
      </c>
    </row>
    <row r="19" spans="1:6" x14ac:dyDescent="0.25">
      <c r="A19">
        <v>17</v>
      </c>
      <c r="B19" s="17">
        <v>306.75</v>
      </c>
      <c r="C19" s="17">
        <v>91.23</v>
      </c>
      <c r="D19" s="17">
        <v>81.63</v>
      </c>
      <c r="E19" s="7">
        <f t="shared" si="0"/>
        <v>479.61</v>
      </c>
      <c r="F19" s="7">
        <f t="shared" si="1"/>
        <v>3667.8800000000006</v>
      </c>
    </row>
    <row r="20" spans="1:6" x14ac:dyDescent="0.25">
      <c r="A20">
        <v>18</v>
      </c>
      <c r="B20" s="17">
        <v>325.3</v>
      </c>
      <c r="C20" s="17">
        <v>96.83</v>
      </c>
      <c r="D20" s="17">
        <v>82.85</v>
      </c>
      <c r="E20" s="7">
        <f t="shared" si="0"/>
        <v>504.98</v>
      </c>
      <c r="F20" s="7">
        <f t="shared" si="1"/>
        <v>4172.8600000000006</v>
      </c>
    </row>
    <row r="21" spans="1:6" x14ac:dyDescent="0.25">
      <c r="E21" s="7">
        <f>SUM(E3:E20)</f>
        <v>4172.8600000000006</v>
      </c>
    </row>
    <row r="22" spans="1:6" x14ac:dyDescent="0.25">
      <c r="A22" t="s">
        <v>44</v>
      </c>
    </row>
  </sheetData>
  <mergeCells count="1">
    <mergeCell ref="B1:D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87"/>
  <sheetViews>
    <sheetView topLeftCell="A22" workbookViewId="0">
      <selection activeCell="C24" sqref="C24"/>
    </sheetView>
  </sheetViews>
  <sheetFormatPr baseColWidth="10" defaultRowHeight="15" x14ac:dyDescent="0.25"/>
  <cols>
    <col min="8" max="8" width="15" bestFit="1" customWidth="1"/>
    <col min="9" max="11" width="14.5703125" bestFit="1" customWidth="1"/>
    <col min="12" max="13" width="18.85546875" bestFit="1" customWidth="1"/>
    <col min="14" max="14" width="19.85546875" bestFit="1" customWidth="1"/>
    <col min="15" max="15" width="19.42578125" bestFit="1" customWidth="1"/>
    <col min="17" max="17" width="20.42578125" bestFit="1" customWidth="1"/>
  </cols>
  <sheetData>
    <row r="1" spans="2:17" ht="18.75" x14ac:dyDescent="0.3">
      <c r="B1" t="s">
        <v>9</v>
      </c>
      <c r="E1" t="s">
        <v>14</v>
      </c>
      <c r="G1" s="9" t="s">
        <v>50</v>
      </c>
    </row>
    <row r="2" spans="2:17" x14ac:dyDescent="0.25">
      <c r="B2" t="s">
        <v>5</v>
      </c>
      <c r="C2" t="s">
        <v>12</v>
      </c>
      <c r="D2" t="s">
        <v>13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56</v>
      </c>
      <c r="K2" t="s">
        <v>57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2:17" x14ac:dyDescent="0.25">
      <c r="B3">
        <v>1</v>
      </c>
      <c r="C3" s="8">
        <f>CPU_O2!B3*60</f>
        <v>593.58179999999993</v>
      </c>
      <c r="D3" s="8">
        <f>CPU_OpenMP!M4*60</f>
        <v>123.0108</v>
      </c>
      <c r="E3" s="8">
        <f>'CUDA-GM'!B3*60</f>
        <v>18.42144</v>
      </c>
      <c r="F3" s="8">
        <f>'CUDA-GM2'!B3*60</f>
        <v>11.098319999999999</v>
      </c>
      <c r="G3" s="8">
        <f>'CUDA-SM'!F3</f>
        <v>7.7542650000000011</v>
      </c>
      <c r="H3" s="8">
        <f>C3/D3</f>
        <v>4.8254445951087215</v>
      </c>
      <c r="I3" s="8">
        <f>C3/E3</f>
        <v>32.222334410339251</v>
      </c>
      <c r="J3" s="8">
        <f>C3/F3</f>
        <v>53.483932703328065</v>
      </c>
      <c r="K3" s="8">
        <f>C3/G3</f>
        <v>76.549073316426487</v>
      </c>
      <c r="L3" s="8">
        <f>D3/E3</f>
        <v>6.6775887227057167</v>
      </c>
      <c r="M3" s="8">
        <f>D3/F3</f>
        <v>11.08373159180849</v>
      </c>
      <c r="N3" s="8">
        <f>D3/G3</f>
        <v>15.863631175875469</v>
      </c>
      <c r="O3" s="8">
        <f>E3/F3</f>
        <v>1.6598404082780098</v>
      </c>
      <c r="P3" s="8">
        <f>E3/G3</f>
        <v>2.375652624716849</v>
      </c>
      <c r="Q3" s="8">
        <f>F3/G3</f>
        <v>1.4312536391263386</v>
      </c>
    </row>
    <row r="4" spans="2:17" x14ac:dyDescent="0.25">
      <c r="B4">
        <v>2</v>
      </c>
      <c r="C4" s="8">
        <f>CPU_O2!B4*60</f>
        <v>1192.9680000000001</v>
      </c>
      <c r="D4" s="8">
        <f>CPU_OpenMP!M5*60</f>
        <v>215.97299999999998</v>
      </c>
      <c r="E4" s="8">
        <f>'CUDA-GM'!B4*60</f>
        <v>36.790140000000001</v>
      </c>
      <c r="F4" s="8">
        <f>'CUDA-GM2'!B4*60</f>
        <v>22.114979999999999</v>
      </c>
      <c r="G4" s="8">
        <f>'CUDA-SM'!F4</f>
        <v>15.448245000000002</v>
      </c>
      <c r="H4" s="8">
        <f t="shared" ref="H4:H20" si="0">C4/D4</f>
        <v>5.5236904613076643</v>
      </c>
      <c r="I4" s="8">
        <f t="shared" ref="I4:I20" si="1">C4/E4</f>
        <v>32.426296828443711</v>
      </c>
      <c r="J4" s="8">
        <f t="shared" ref="J4:J20" si="2">C4/F4</f>
        <v>53.943887808173471</v>
      </c>
      <c r="K4" s="8">
        <f t="shared" ref="K4:K20" si="3">C4/G4</f>
        <v>77.223529274684594</v>
      </c>
      <c r="L4" s="8">
        <f t="shared" ref="L4:L20" si="4">D4/E4</f>
        <v>5.8704044072678165</v>
      </c>
      <c r="M4" s="8">
        <f t="shared" ref="M4:M20" si="5">D4/F4</f>
        <v>9.7659143259455803</v>
      </c>
      <c r="N4" s="8">
        <f t="shared" ref="N4:N20" si="6">D4/G4</f>
        <v>13.980423018925448</v>
      </c>
      <c r="O4" s="8">
        <f t="shared" ref="O4:O20" si="7">E4/F4</f>
        <v>1.6635845928868125</v>
      </c>
      <c r="P4" s="8">
        <f t="shared" ref="P4:P20" si="8">E4/G4</f>
        <v>2.3815093559171281</v>
      </c>
      <c r="Q4" s="8">
        <f t="shared" ref="Q4:Q20" si="9">F4/G4</f>
        <v>1.4315529045532354</v>
      </c>
    </row>
    <row r="5" spans="2:17" x14ac:dyDescent="0.25">
      <c r="B5">
        <v>3</v>
      </c>
      <c r="C5" s="8">
        <f>CPU_O2!B5*60</f>
        <v>1797.096</v>
      </c>
      <c r="D5" s="8">
        <f>CPU_OpenMP!M6*60</f>
        <v>324.33240000000001</v>
      </c>
      <c r="E5" s="8">
        <f>'CUDA-GM'!B5*60</f>
        <v>55.119300000000003</v>
      </c>
      <c r="F5" s="8">
        <f>'CUDA-GM2'!B5*60</f>
        <v>33.093719999999998</v>
      </c>
      <c r="G5" s="8">
        <f>'CUDA-SM'!F5</f>
        <v>23.158965000000002</v>
      </c>
      <c r="H5" s="8">
        <f t="shared" si="0"/>
        <v>5.5409080313900185</v>
      </c>
      <c r="I5" s="8">
        <f t="shared" si="1"/>
        <v>32.603752224719834</v>
      </c>
      <c r="J5" s="8">
        <f t="shared" si="2"/>
        <v>54.303233362704468</v>
      </c>
      <c r="K5" s="8">
        <f t="shared" si="3"/>
        <v>77.598286451920444</v>
      </c>
      <c r="L5" s="8">
        <f t="shared" si="4"/>
        <v>5.8841893855691199</v>
      </c>
      <c r="M5" s="8">
        <f t="shared" si="5"/>
        <v>9.8004213488238872</v>
      </c>
      <c r="N5" s="8">
        <f t="shared" si="6"/>
        <v>14.004615491236331</v>
      </c>
      <c r="O5" s="8">
        <f t="shared" si="7"/>
        <v>1.6655516514915822</v>
      </c>
      <c r="P5" s="8">
        <f t="shared" si="8"/>
        <v>2.3800415951230982</v>
      </c>
      <c r="Q5" s="8">
        <f t="shared" si="9"/>
        <v>1.4289809583459363</v>
      </c>
    </row>
    <row r="6" spans="2:17" x14ac:dyDescent="0.25">
      <c r="B6">
        <v>4</v>
      </c>
      <c r="C6" s="8">
        <f>CPU_O2!B6*60</f>
        <v>2385.1259999999997</v>
      </c>
      <c r="D6" s="8">
        <f>CPU_OpenMP!M7*60</f>
        <v>494.10239999999999</v>
      </c>
      <c r="E6" s="8">
        <f>'CUDA-GM'!B6*60</f>
        <v>73.483800000000002</v>
      </c>
      <c r="F6" s="8">
        <f>'CUDA-GM2'!B6*60</f>
        <v>44.160600000000002</v>
      </c>
      <c r="G6" s="8">
        <f>'CUDA-SM'!F6</f>
        <v>30.898949999999992</v>
      </c>
      <c r="H6" s="8">
        <f t="shared" si="0"/>
        <v>4.8271896675668842</v>
      </c>
      <c r="I6" s="8">
        <f t="shared" si="1"/>
        <v>32.457847852179661</v>
      </c>
      <c r="J6" s="8">
        <f t="shared" si="2"/>
        <v>54.01027159957065</v>
      </c>
      <c r="K6" s="8">
        <f t="shared" si="3"/>
        <v>77.19116669013026</v>
      </c>
      <c r="L6" s="8">
        <f t="shared" si="4"/>
        <v>6.7239636491308286</v>
      </c>
      <c r="M6" s="8">
        <f t="shared" si="5"/>
        <v>11.188761022268718</v>
      </c>
      <c r="N6" s="8">
        <f t="shared" si="6"/>
        <v>15.990912312554315</v>
      </c>
      <c r="O6" s="8">
        <f t="shared" si="7"/>
        <v>1.664012717218516</v>
      </c>
      <c r="P6" s="8">
        <f t="shared" si="8"/>
        <v>2.3781973173845721</v>
      </c>
      <c r="Q6" s="8">
        <f t="shared" si="9"/>
        <v>1.4291941959192793</v>
      </c>
    </row>
    <row r="7" spans="2:17" x14ac:dyDescent="0.25">
      <c r="B7">
        <v>5</v>
      </c>
      <c r="C7" s="8">
        <f>CPU_O2!B7*60</f>
        <v>2787.9720000000002</v>
      </c>
      <c r="D7" s="8">
        <f>CPU_OpenMP!M8*60</f>
        <v>630.4319999999999</v>
      </c>
      <c r="E7" s="8">
        <f>'CUDA-GM'!B7*60</f>
        <v>91.820400000000006</v>
      </c>
      <c r="F7" s="8">
        <f>'CUDA-GM2'!B7*60</f>
        <v>55.152180000000001</v>
      </c>
      <c r="G7" s="8">
        <f>'CUDA-SM'!F7</f>
        <v>38.641635000000001</v>
      </c>
      <c r="H7" s="8">
        <f t="shared" si="0"/>
        <v>4.4223199329983256</v>
      </c>
      <c r="I7" s="8">
        <f t="shared" si="1"/>
        <v>30.363317955487016</v>
      </c>
      <c r="J7" s="8">
        <f t="shared" si="2"/>
        <v>50.550531275463641</v>
      </c>
      <c r="K7" s="8">
        <f t="shared" si="3"/>
        <v>72.149431565201638</v>
      </c>
      <c r="L7" s="8">
        <f t="shared" si="4"/>
        <v>6.8659252192323263</v>
      </c>
      <c r="M7" s="8">
        <f t="shared" si="5"/>
        <v>11.430772092780375</v>
      </c>
      <c r="N7" s="8">
        <f t="shared" si="6"/>
        <v>16.314837609743996</v>
      </c>
      <c r="O7" s="8">
        <f t="shared" si="7"/>
        <v>1.6648553148760394</v>
      </c>
      <c r="P7" s="8">
        <f t="shared" si="8"/>
        <v>2.3762038019353997</v>
      </c>
      <c r="Q7" s="8">
        <f t="shared" si="9"/>
        <v>1.4272734577612982</v>
      </c>
    </row>
    <row r="8" spans="2:17" x14ac:dyDescent="0.25">
      <c r="B8">
        <v>6</v>
      </c>
      <c r="C8" s="8">
        <f>CPU_O2!B8*60</f>
        <v>3334.056</v>
      </c>
      <c r="D8" s="8">
        <f>CPU_OpenMP!M9*60</f>
        <v>660.30600000000004</v>
      </c>
      <c r="E8" s="8">
        <f>'CUDA-GM'!B8*60</f>
        <v>110.259</v>
      </c>
      <c r="F8" s="8">
        <f>'CUDA-GM2'!B8*60</f>
        <v>66.214799999999997</v>
      </c>
      <c r="G8" s="8">
        <f>'CUDA-SM'!F8</f>
        <v>46.394594999999995</v>
      </c>
      <c r="H8" s="8">
        <f t="shared" si="0"/>
        <v>5.0492589799274876</v>
      </c>
      <c r="I8" s="8">
        <f t="shared" si="1"/>
        <v>30.238402307294642</v>
      </c>
      <c r="J8" s="8">
        <f t="shared" si="2"/>
        <v>50.352126714873414</v>
      </c>
      <c r="K8" s="8">
        <f t="shared" si="3"/>
        <v>71.86302628571282</v>
      </c>
      <c r="L8" s="8">
        <f t="shared" si="4"/>
        <v>5.9886811960928359</v>
      </c>
      <c r="M8" s="8">
        <f t="shared" si="5"/>
        <v>9.9721814458399045</v>
      </c>
      <c r="N8" s="8">
        <f t="shared" si="6"/>
        <v>14.232390648091661</v>
      </c>
      <c r="O8" s="8">
        <f t="shared" si="7"/>
        <v>1.6651715326482901</v>
      </c>
      <c r="P8" s="8">
        <f t="shared" si="8"/>
        <v>2.3765483888802135</v>
      </c>
      <c r="Q8" s="8">
        <f t="shared" si="9"/>
        <v>1.4272093548828264</v>
      </c>
    </row>
    <row r="9" spans="2:17" x14ac:dyDescent="0.25">
      <c r="B9">
        <v>7</v>
      </c>
      <c r="C9" s="8">
        <f>CPU_O2!B9*60</f>
        <v>3906.7620000000002</v>
      </c>
      <c r="D9" s="8">
        <f>CPU_OpenMP!M10*60</f>
        <v>864.024</v>
      </c>
      <c r="E9" s="8">
        <f>'CUDA-GM'!B9*60</f>
        <v>128.6172</v>
      </c>
      <c r="F9" s="8">
        <f>'CUDA-GM2'!B9*60</f>
        <v>77.316600000000008</v>
      </c>
      <c r="G9" s="8">
        <f>'CUDA-SM'!F9</f>
        <v>54.141644999999997</v>
      </c>
      <c r="H9" s="8">
        <f t="shared" si="0"/>
        <v>4.5215896780644984</v>
      </c>
      <c r="I9" s="8">
        <f t="shared" si="1"/>
        <v>30.375113126393671</v>
      </c>
      <c r="J9" s="8">
        <f t="shared" si="2"/>
        <v>50.52940765631184</v>
      </c>
      <c r="K9" s="8">
        <f t="shared" si="3"/>
        <v>72.158169556909485</v>
      </c>
      <c r="L9" s="8">
        <f t="shared" si="4"/>
        <v>6.717795131599817</v>
      </c>
      <c r="M9" s="8">
        <f t="shared" si="5"/>
        <v>11.175142207494897</v>
      </c>
      <c r="N9" s="8">
        <f t="shared" si="6"/>
        <v>15.958584191522073</v>
      </c>
      <c r="O9" s="8">
        <f t="shared" si="7"/>
        <v>1.6635133981577046</v>
      </c>
      <c r="P9" s="8">
        <f t="shared" si="8"/>
        <v>2.3755687511895882</v>
      </c>
      <c r="Q9" s="8">
        <f t="shared" si="9"/>
        <v>1.4280430526261256</v>
      </c>
    </row>
    <row r="10" spans="2:17" x14ac:dyDescent="0.25">
      <c r="B10">
        <v>8</v>
      </c>
      <c r="C10" s="8">
        <f>CPU_O2!B10*60</f>
        <v>4466.8440000000001</v>
      </c>
      <c r="D10" s="8">
        <f>CPU_OpenMP!M11*60</f>
        <v>859.65600000000006</v>
      </c>
      <c r="E10" s="8">
        <f>'CUDA-GM'!B10*60</f>
        <v>146.9682</v>
      </c>
      <c r="F10" s="8">
        <f>'CUDA-GM2'!B10*60</f>
        <v>88.347000000000008</v>
      </c>
      <c r="G10" s="8">
        <f>'CUDA-SM'!F10</f>
        <v>61.890599999999992</v>
      </c>
      <c r="H10" s="8">
        <f t="shared" si="0"/>
        <v>5.1960830843965491</v>
      </c>
      <c r="I10" s="8">
        <f t="shared" si="1"/>
        <v>30.393268747933227</v>
      </c>
      <c r="J10" s="8">
        <f t="shared" si="2"/>
        <v>50.560222757988385</v>
      </c>
      <c r="K10" s="8">
        <f t="shared" si="3"/>
        <v>72.173221781659905</v>
      </c>
      <c r="L10" s="8">
        <f t="shared" si="4"/>
        <v>5.8492653512800734</v>
      </c>
      <c r="M10" s="8">
        <f t="shared" si="5"/>
        <v>9.7304492512479204</v>
      </c>
      <c r="N10" s="8">
        <f t="shared" si="6"/>
        <v>13.889928357456547</v>
      </c>
      <c r="O10" s="8">
        <f t="shared" si="7"/>
        <v>1.6635335665048048</v>
      </c>
      <c r="P10" s="8">
        <f t="shared" si="8"/>
        <v>2.3746449380035095</v>
      </c>
      <c r="Q10" s="8">
        <f t="shared" si="9"/>
        <v>1.4274704074609073</v>
      </c>
    </row>
    <row r="11" spans="2:17" x14ac:dyDescent="0.25">
      <c r="B11">
        <v>9</v>
      </c>
      <c r="C11" s="8">
        <f>CPU_O2!B11*60</f>
        <v>5026.5240000000003</v>
      </c>
      <c r="D11" s="8">
        <f>CPU_OpenMP!M12*60</f>
        <v>972.44399999999996</v>
      </c>
      <c r="E11" s="8">
        <f>'CUDA-GM'!B11*60</f>
        <v>165.43439999999998</v>
      </c>
      <c r="F11" s="8">
        <f>'CUDA-GM2'!B11*60</f>
        <v>99.437399999999997</v>
      </c>
      <c r="G11" s="8">
        <f>'CUDA-SM'!F11</f>
        <v>69.655950000000004</v>
      </c>
      <c r="H11" s="8">
        <f t="shared" si="0"/>
        <v>5.1689598578427143</v>
      </c>
      <c r="I11" s="8">
        <f t="shared" si="1"/>
        <v>30.383789586688142</v>
      </c>
      <c r="J11" s="8">
        <f t="shared" si="2"/>
        <v>50.549632230931223</v>
      </c>
      <c r="K11" s="8">
        <f t="shared" si="3"/>
        <v>72.16216274417333</v>
      </c>
      <c r="L11" s="8">
        <f t="shared" si="4"/>
        <v>5.8781245013129073</v>
      </c>
      <c r="M11" s="8">
        <f t="shared" si="5"/>
        <v>9.7794592376711371</v>
      </c>
      <c r="N11" s="8">
        <f t="shared" si="6"/>
        <v>13.960673854853747</v>
      </c>
      <c r="O11" s="8">
        <f t="shared" si="7"/>
        <v>1.6637039986966673</v>
      </c>
      <c r="P11" s="8">
        <f t="shared" si="8"/>
        <v>2.3750218035932318</v>
      </c>
      <c r="Q11" s="8">
        <f t="shared" si="9"/>
        <v>1.4275506973919672</v>
      </c>
    </row>
    <row r="12" spans="2:17" x14ac:dyDescent="0.25">
      <c r="B12">
        <v>10</v>
      </c>
      <c r="C12" s="8">
        <f>CPU_O2!B12*60</f>
        <v>5544.018</v>
      </c>
      <c r="D12" s="8">
        <f>CPU_OpenMP!M13*60</f>
        <v>1080.9000000000001</v>
      </c>
      <c r="E12" s="8">
        <f>'CUDA-GM'!B12*60</f>
        <v>183.71639999999999</v>
      </c>
      <c r="F12" s="8">
        <f>'CUDA-GM2'!B12*60</f>
        <v>110.50019999999999</v>
      </c>
      <c r="G12" s="8">
        <f>'CUDA-SM'!F12</f>
        <v>77.420400000000001</v>
      </c>
      <c r="H12" s="8">
        <f t="shared" si="0"/>
        <v>5.1290757701915064</v>
      </c>
      <c r="I12" s="8">
        <f t="shared" si="1"/>
        <v>30.177044618771106</v>
      </c>
      <c r="J12" s="8">
        <f t="shared" si="2"/>
        <v>50.1720177882031</v>
      </c>
      <c r="K12" s="8">
        <f t="shared" si="3"/>
        <v>71.609265774912032</v>
      </c>
      <c r="L12" s="8">
        <f t="shared" si="4"/>
        <v>5.8835248241311069</v>
      </c>
      <c r="M12" s="8">
        <f t="shared" si="5"/>
        <v>9.7818827477235342</v>
      </c>
      <c r="N12" s="8">
        <f t="shared" si="6"/>
        <v>13.961436520606973</v>
      </c>
      <c r="O12" s="8">
        <f t="shared" si="7"/>
        <v>1.6625888459930389</v>
      </c>
      <c r="P12" s="8">
        <f t="shared" si="8"/>
        <v>2.3729714648852238</v>
      </c>
      <c r="Q12" s="8">
        <f t="shared" si="9"/>
        <v>1.4272749817877457</v>
      </c>
    </row>
    <row r="13" spans="2:17" x14ac:dyDescent="0.25">
      <c r="B13">
        <v>11</v>
      </c>
      <c r="C13" s="8">
        <f>CPU_O2!B13*60</f>
        <v>6136.8</v>
      </c>
      <c r="D13" s="8">
        <f>CPU_OpenMP!M14*60</f>
        <v>1390.932</v>
      </c>
      <c r="E13" s="8">
        <f>'CUDA-GM'!B13*60</f>
        <v>202.07939999999999</v>
      </c>
      <c r="F13" s="8">
        <f>'CUDA-GM2'!B13*60</f>
        <v>121.53599999999999</v>
      </c>
      <c r="G13" s="8">
        <f>'CUDA-SM'!F13</f>
        <v>85.183199999999999</v>
      </c>
      <c r="H13" s="8">
        <f t="shared" si="0"/>
        <v>4.4120057630423339</v>
      </c>
      <c r="I13" s="8">
        <f t="shared" si="1"/>
        <v>30.368261188423958</v>
      </c>
      <c r="J13" s="8">
        <f t="shared" si="2"/>
        <v>50.493680884676152</v>
      </c>
      <c r="K13" s="8">
        <f t="shared" si="3"/>
        <v>72.042374552728717</v>
      </c>
      <c r="L13" s="8">
        <f t="shared" si="4"/>
        <v>6.8830964462483566</v>
      </c>
      <c r="M13" s="8">
        <f t="shared" si="5"/>
        <v>11.444609004739338</v>
      </c>
      <c r="N13" s="8">
        <f t="shared" si="6"/>
        <v>16.32871270391345</v>
      </c>
      <c r="O13" s="8">
        <f t="shared" si="7"/>
        <v>1.6627122827804108</v>
      </c>
      <c r="P13" s="8">
        <f t="shared" si="8"/>
        <v>2.3722917194939845</v>
      </c>
      <c r="Q13" s="8">
        <f t="shared" si="9"/>
        <v>1.4267602062378495</v>
      </c>
    </row>
    <row r="14" spans="2:17" x14ac:dyDescent="0.25">
      <c r="B14">
        <v>12</v>
      </c>
      <c r="C14" s="8">
        <f>CPU_O2!B14*60</f>
        <v>6698.7</v>
      </c>
      <c r="D14" s="8">
        <f>CPU_OpenMP!M15*60</f>
        <v>1306.518</v>
      </c>
      <c r="E14" s="8">
        <f>'CUDA-GM'!B14*60</f>
        <v>220.46100000000001</v>
      </c>
      <c r="F14" s="8">
        <f>'CUDA-GM2'!B14*60</f>
        <v>132.54840000000002</v>
      </c>
      <c r="G14" s="8">
        <f>'CUDA-SM'!F14</f>
        <v>92.952300000000008</v>
      </c>
      <c r="H14" s="8">
        <f t="shared" si="0"/>
        <v>5.127139465357538</v>
      </c>
      <c r="I14" s="8">
        <f t="shared" si="1"/>
        <v>30.384966048416725</v>
      </c>
      <c r="J14" s="8">
        <f t="shared" si="2"/>
        <v>50.53776582742605</v>
      </c>
      <c r="K14" s="8">
        <f t="shared" si="3"/>
        <v>72.065995139442478</v>
      </c>
      <c r="L14" s="8">
        <f t="shared" si="4"/>
        <v>5.9262998897764225</v>
      </c>
      <c r="M14" s="8">
        <f t="shared" si="5"/>
        <v>9.8569126447395803</v>
      </c>
      <c r="N14" s="8">
        <f t="shared" si="6"/>
        <v>14.055789905144897</v>
      </c>
      <c r="O14" s="8">
        <f t="shared" si="7"/>
        <v>1.6632490471405161</v>
      </c>
      <c r="P14" s="8">
        <f t="shared" si="8"/>
        <v>2.3717648729509651</v>
      </c>
      <c r="Q14" s="8">
        <f t="shared" si="9"/>
        <v>1.425983004186018</v>
      </c>
    </row>
    <row r="15" spans="2:17" x14ac:dyDescent="0.25">
      <c r="B15">
        <v>13</v>
      </c>
      <c r="C15" s="8">
        <f>CPU_O2!B15*60</f>
        <v>7244.94</v>
      </c>
      <c r="D15" s="8">
        <f>CPU_OpenMP!M16*60</f>
        <v>1643.0340000000001</v>
      </c>
      <c r="E15" s="8">
        <f>'CUDA-GM'!B15*60</f>
        <v>238.98420000000002</v>
      </c>
      <c r="F15" s="8">
        <f>'CUDA-GM2'!B15*60</f>
        <v>143.57400000000001</v>
      </c>
      <c r="G15" s="8">
        <f>'CUDA-SM'!F15</f>
        <v>100.72065000000001</v>
      </c>
      <c r="H15" s="8">
        <f t="shared" si="0"/>
        <v>4.4094887872070814</v>
      </c>
      <c r="I15" s="8">
        <f t="shared" si="1"/>
        <v>30.315560610283018</v>
      </c>
      <c r="J15" s="8">
        <f t="shared" si="2"/>
        <v>50.461364871076931</v>
      </c>
      <c r="K15" s="8">
        <f t="shared" si="3"/>
        <v>71.93102903922879</v>
      </c>
      <c r="L15" s="8">
        <f t="shared" si="4"/>
        <v>6.8750737496453738</v>
      </c>
      <c r="M15" s="8">
        <f t="shared" si="5"/>
        <v>11.443812946633791</v>
      </c>
      <c r="N15" s="8">
        <f t="shared" si="6"/>
        <v>16.312781936971216</v>
      </c>
      <c r="O15" s="8">
        <f t="shared" si="7"/>
        <v>1.6645367545655898</v>
      </c>
      <c r="P15" s="8">
        <f t="shared" si="8"/>
        <v>2.3727428288042223</v>
      </c>
      <c r="Q15" s="8">
        <f t="shared" si="9"/>
        <v>1.4254673694024016</v>
      </c>
    </row>
    <row r="16" spans="2:17" x14ac:dyDescent="0.25">
      <c r="B16">
        <v>14</v>
      </c>
      <c r="C16" s="8">
        <f>CPU_O2!B16*60</f>
        <v>7832.88</v>
      </c>
      <c r="D16" s="8">
        <f>CPU_OpenMP!M17*60</f>
        <v>1538.1120000000001</v>
      </c>
      <c r="E16" s="8">
        <f>'CUDA-GM'!B16*60</f>
        <v>257.28000000000003</v>
      </c>
      <c r="F16" s="8">
        <f>'CUDA-GM2'!B16*60</f>
        <v>154.81620000000001</v>
      </c>
      <c r="G16" s="8">
        <f>'CUDA-SM'!F16</f>
        <v>108.50489999999999</v>
      </c>
      <c r="H16" s="8">
        <f t="shared" si="0"/>
        <v>5.0925290225939328</v>
      </c>
      <c r="I16" s="8">
        <f t="shared" si="1"/>
        <v>30.444962686567163</v>
      </c>
      <c r="J16" s="8">
        <f t="shared" si="2"/>
        <v>50.594705205269214</v>
      </c>
      <c r="K16" s="8">
        <f t="shared" si="3"/>
        <v>72.189182239696095</v>
      </c>
      <c r="L16" s="8">
        <f t="shared" si="4"/>
        <v>5.9783582089552239</v>
      </c>
      <c r="M16" s="8">
        <f t="shared" si="5"/>
        <v>9.935084312881985</v>
      </c>
      <c r="N16" s="8">
        <f t="shared" si="6"/>
        <v>14.175507281237993</v>
      </c>
      <c r="O16" s="8">
        <f t="shared" si="7"/>
        <v>1.6618415902211785</v>
      </c>
      <c r="P16" s="8">
        <f t="shared" si="8"/>
        <v>2.3711371560178391</v>
      </c>
      <c r="Q16" s="8">
        <f t="shared" si="9"/>
        <v>1.426812982639494</v>
      </c>
    </row>
    <row r="17" spans="2:17" x14ac:dyDescent="0.25">
      <c r="B17">
        <v>15</v>
      </c>
      <c r="C17" s="8">
        <f>CPU_O2!B17*60</f>
        <v>8512.9800000000014</v>
      </c>
      <c r="D17" s="8">
        <f>CPU_OpenMP!M18*60</f>
        <v>1648.26</v>
      </c>
      <c r="E17" s="8">
        <f>'CUDA-GM'!B17*60</f>
        <v>275.57759999999996</v>
      </c>
      <c r="F17" s="8">
        <f>'CUDA-GM2'!B17*60</f>
        <v>165.7758</v>
      </c>
      <c r="G17" s="8">
        <f>'CUDA-SM'!F17</f>
        <v>116.2569</v>
      </c>
      <c r="H17" s="8">
        <f t="shared" si="0"/>
        <v>5.1648283644570645</v>
      </c>
      <c r="I17" s="8">
        <f t="shared" si="1"/>
        <v>30.891407719640501</v>
      </c>
      <c r="J17" s="8">
        <f t="shared" si="2"/>
        <v>51.352368681074083</v>
      </c>
      <c r="K17" s="8">
        <f t="shared" si="3"/>
        <v>73.225589190835137</v>
      </c>
      <c r="L17" s="8">
        <f t="shared" si="4"/>
        <v>5.9811102208597511</v>
      </c>
      <c r="M17" s="8">
        <f t="shared" si="5"/>
        <v>9.9427057507790639</v>
      </c>
      <c r="N17" s="8">
        <f t="shared" si="6"/>
        <v>14.177739127742095</v>
      </c>
      <c r="O17" s="8">
        <f t="shared" si="7"/>
        <v>1.6623511996322742</v>
      </c>
      <c r="P17" s="8">
        <f t="shared" si="8"/>
        <v>2.3704193041445278</v>
      </c>
      <c r="Q17" s="8">
        <f t="shared" si="9"/>
        <v>1.425943750435458</v>
      </c>
    </row>
    <row r="18" spans="2:17" x14ac:dyDescent="0.25">
      <c r="B18">
        <v>16</v>
      </c>
      <c r="C18" s="8">
        <f>CPU_O2!B18*60</f>
        <v>9235.02</v>
      </c>
      <c r="D18" s="8">
        <f>CPU_OpenMP!M19*60</f>
        <v>1767.9839999999999</v>
      </c>
      <c r="E18" s="8">
        <f>'CUDA-GM'!B18*60</f>
        <v>294.08519999999999</v>
      </c>
      <c r="F18" s="8">
        <f>'CUDA-GM2'!B18*60</f>
        <v>176.8896</v>
      </c>
      <c r="G18" s="8">
        <f>'CUDA-SM'!F18</f>
        <v>124.04159999999999</v>
      </c>
      <c r="H18" s="8">
        <f t="shared" si="0"/>
        <v>5.2234748730757747</v>
      </c>
      <c r="I18" s="8">
        <f t="shared" si="1"/>
        <v>31.402532327366359</v>
      </c>
      <c r="J18" s="8">
        <f t="shared" si="2"/>
        <v>52.207817757516551</v>
      </c>
      <c r="K18" s="8">
        <f t="shared" si="3"/>
        <v>74.450990635399748</v>
      </c>
      <c r="L18" s="8">
        <f t="shared" si="4"/>
        <v>6.0118088227493258</v>
      </c>
      <c r="M18" s="8">
        <f t="shared" si="5"/>
        <v>9.9948442418321939</v>
      </c>
      <c r="N18" s="8">
        <f t="shared" si="6"/>
        <v>14.253153780667132</v>
      </c>
      <c r="O18" s="8">
        <f t="shared" si="7"/>
        <v>1.6625352762400953</v>
      </c>
      <c r="P18" s="8">
        <f t="shared" si="8"/>
        <v>2.3708594536026624</v>
      </c>
      <c r="Q18" s="8">
        <f t="shared" si="9"/>
        <v>1.4260506152774555</v>
      </c>
    </row>
    <row r="19" spans="2:17" x14ac:dyDescent="0.25">
      <c r="B19">
        <v>17</v>
      </c>
      <c r="C19" s="8">
        <f>CPU_O2!B19*60</f>
        <v>9814.74</v>
      </c>
      <c r="D19" s="8">
        <f>CPU_OpenMP!M20*60</f>
        <v>1902.5219999999999</v>
      </c>
      <c r="E19" s="8">
        <f>'CUDA-GM'!B19*60</f>
        <v>312.36360000000002</v>
      </c>
      <c r="F19" s="8">
        <f>'CUDA-GM2'!B19*60</f>
        <v>187.93019999999999</v>
      </c>
      <c r="G19" s="8">
        <f>'CUDA-SM'!F19</f>
        <v>131.81475</v>
      </c>
      <c r="H19" s="8">
        <f t="shared" si="0"/>
        <v>5.1588049967359115</v>
      </c>
      <c r="I19" s="8">
        <f t="shared" si="1"/>
        <v>31.420882586831496</v>
      </c>
      <c r="J19" s="8">
        <f t="shared" si="2"/>
        <v>52.225453918529332</v>
      </c>
      <c r="K19" s="8">
        <f t="shared" si="3"/>
        <v>74.458586766655472</v>
      </c>
      <c r="L19" s="8">
        <f t="shared" si="4"/>
        <v>6.0907288813421276</v>
      </c>
      <c r="M19" s="8">
        <f t="shared" si="5"/>
        <v>10.123556511939007</v>
      </c>
      <c r="N19" s="8">
        <f t="shared" si="6"/>
        <v>14.433301280774723</v>
      </c>
      <c r="O19" s="8">
        <f t="shared" si="7"/>
        <v>1.662125618979813</v>
      </c>
      <c r="P19" s="8">
        <f t="shared" si="8"/>
        <v>2.3697165908974527</v>
      </c>
      <c r="Q19" s="8">
        <f t="shared" si="9"/>
        <v>1.4257144970498368</v>
      </c>
    </row>
    <row r="20" spans="2:17" x14ac:dyDescent="0.25">
      <c r="B20">
        <v>18</v>
      </c>
      <c r="C20" s="8">
        <f>CPU_O2!B20*60</f>
        <v>10406.1</v>
      </c>
      <c r="D20" s="8">
        <f>CPU_OpenMP!M21*60</f>
        <v>2350.7460000000001</v>
      </c>
      <c r="E20" s="8">
        <f>'CUDA-GM'!B20*60</f>
        <v>330.80099999999999</v>
      </c>
      <c r="F20" s="8">
        <f>'CUDA-GM2'!B20*60</f>
        <v>199.01759999999999</v>
      </c>
      <c r="G20" s="8">
        <f>'CUDA-SM'!F20</f>
        <v>139.58144999999999</v>
      </c>
      <c r="H20" s="8">
        <f t="shared" si="0"/>
        <v>4.4267224106730376</v>
      </c>
      <c r="I20" s="8">
        <f t="shared" si="1"/>
        <v>31.457280963479555</v>
      </c>
      <c r="J20" s="8">
        <f t="shared" si="2"/>
        <v>52.287335391442774</v>
      </c>
      <c r="K20" s="8">
        <f t="shared" si="3"/>
        <v>74.552170077041055</v>
      </c>
      <c r="L20" s="8">
        <f t="shared" si="4"/>
        <v>7.106223983603436</v>
      </c>
      <c r="M20" s="8">
        <f t="shared" si="5"/>
        <v>11.811749312623608</v>
      </c>
      <c r="N20" s="8">
        <f t="shared" si="6"/>
        <v>16.84139260625248</v>
      </c>
      <c r="O20" s="8">
        <f t="shared" si="7"/>
        <v>1.6621695769620375</v>
      </c>
      <c r="P20" s="8">
        <f t="shared" si="8"/>
        <v>2.3699495885735535</v>
      </c>
      <c r="Q20" s="8">
        <f t="shared" si="9"/>
        <v>1.4258169692319431</v>
      </c>
    </row>
    <row r="22" spans="2:17" x14ac:dyDescent="0.25">
      <c r="B22" t="s">
        <v>10</v>
      </c>
    </row>
    <row r="23" spans="2:17" x14ac:dyDescent="0.25">
      <c r="B23">
        <v>1</v>
      </c>
      <c r="C23" s="7">
        <f>CPU_O2!C3*60</f>
        <v>323.577</v>
      </c>
      <c r="D23" s="7">
        <f>CPU_OpenMP!I4*60</f>
        <v>60.496800000000007</v>
      </c>
      <c r="E23" s="7">
        <f>'CUDA-GM'!C3*60</f>
        <v>10.73664</v>
      </c>
      <c r="F23" s="7">
        <f>'CUDA-GM2'!C3*60</f>
        <v>6.4835400000000005</v>
      </c>
      <c r="G23" s="7">
        <f>'CUDA-SM'!N3</f>
        <v>4.376817</v>
      </c>
      <c r="H23" s="7">
        <f>C23/D23</f>
        <v>5.3486630697822024</v>
      </c>
      <c r="I23" s="7">
        <f>C23/E23</f>
        <v>30.13764082618026</v>
      </c>
      <c r="J23" s="7">
        <f>C23/F23</f>
        <v>49.907457962779588</v>
      </c>
      <c r="K23" s="7">
        <f>C23/G23</f>
        <v>73.929753060271878</v>
      </c>
      <c r="L23" s="7">
        <f>D23/E23</f>
        <v>5.6346119456366246</v>
      </c>
      <c r="M23" s="7">
        <f>D23/F23</f>
        <v>9.3308285288592341</v>
      </c>
      <c r="N23" s="7">
        <f>D23/G23</f>
        <v>13.822099484625474</v>
      </c>
      <c r="O23" s="7">
        <f>E23/F23</f>
        <v>1.6559842308368575</v>
      </c>
      <c r="P23" s="7">
        <f>E23/G23</f>
        <v>2.4530703476978819</v>
      </c>
      <c r="Q23" s="7">
        <f>F23/G23</f>
        <v>1.4813367796734478</v>
      </c>
    </row>
    <row r="24" spans="2:17" x14ac:dyDescent="0.25">
      <c r="B24">
        <v>2</v>
      </c>
      <c r="C24" s="7">
        <f>CPU_O2!C4*60</f>
        <v>652.9319999999999</v>
      </c>
      <c r="D24" s="7">
        <f>CPU_OpenMP!I5*60</f>
        <v>120.8262</v>
      </c>
      <c r="E24" s="7">
        <f>'CUDA-GM'!C4*60</f>
        <v>21.379439999999999</v>
      </c>
      <c r="F24" s="7">
        <f>'CUDA-GM2'!C4*60</f>
        <v>12.884519999999998</v>
      </c>
      <c r="G24" s="7">
        <f>'CUDA-SM'!N4</f>
        <v>8.6740349999999999</v>
      </c>
      <c r="H24" s="7">
        <f t="shared" ref="H24:H40" si="10">C24/D24</f>
        <v>5.4038941885120932</v>
      </c>
      <c r="I24" s="7">
        <f t="shared" ref="I24:I40" si="11">C24/E24</f>
        <v>30.540182530505941</v>
      </c>
      <c r="J24" s="7">
        <f t="shared" ref="J24:J40" si="12">C24/F24</f>
        <v>50.675694554395506</v>
      </c>
      <c r="K24" s="7">
        <f t="shared" ref="K24:K40" si="13">C24/G24</f>
        <v>75.274310052933828</v>
      </c>
      <c r="L24" s="7">
        <f t="shared" ref="L24:L40" si="14">D24/E24</f>
        <v>5.6515137908195916</v>
      </c>
      <c r="M24" s="7">
        <f t="shared" ref="M24:M40" si="15">D24/F24</f>
        <v>9.3776252433152347</v>
      </c>
      <c r="N24" s="7">
        <f t="shared" ref="N24:N40" si="16">D24/G24</f>
        <v>13.9296417411274</v>
      </c>
      <c r="O24" s="7">
        <f t="shared" ref="O24:O40" si="17">E24/F24</f>
        <v>1.6593121047582682</v>
      </c>
      <c r="P24" s="7">
        <f t="shared" ref="P24:P40" si="18">E24/G24</f>
        <v>2.4647629390473984</v>
      </c>
      <c r="Q24" s="7">
        <f t="shared" ref="Q24:Q40" si="19">F24/G24</f>
        <v>1.4854124983355494</v>
      </c>
    </row>
    <row r="25" spans="2:17" x14ac:dyDescent="0.25">
      <c r="B25">
        <v>3</v>
      </c>
      <c r="C25" s="7">
        <f>CPU_O2!C5*60</f>
        <v>980.72400000000005</v>
      </c>
      <c r="D25" s="7">
        <f>CPU_OpenMP!I6*60</f>
        <v>180.69</v>
      </c>
      <c r="E25" s="7">
        <f>'CUDA-GM'!C5*60</f>
        <v>32.030940000000001</v>
      </c>
      <c r="F25" s="7">
        <f>'CUDA-GM2'!C5*60</f>
        <v>19.30236</v>
      </c>
      <c r="G25" s="7">
        <f>'CUDA-SM'!N5</f>
        <v>12.978194999999999</v>
      </c>
      <c r="H25" s="7">
        <f t="shared" si="10"/>
        <v>5.4276606342354308</v>
      </c>
      <c r="I25" s="7">
        <f t="shared" si="11"/>
        <v>30.618021200751524</v>
      </c>
      <c r="J25" s="7">
        <f t="shared" si="12"/>
        <v>50.808502172791307</v>
      </c>
      <c r="K25" s="7">
        <f t="shared" si="13"/>
        <v>75.567056898127987</v>
      </c>
      <c r="L25" s="7">
        <f t="shared" si="14"/>
        <v>5.6411082534574382</v>
      </c>
      <c r="M25" s="7">
        <f t="shared" si="15"/>
        <v>9.3610315008112988</v>
      </c>
      <c r="N25" s="7">
        <f t="shared" si="16"/>
        <v>13.922583225171143</v>
      </c>
      <c r="O25" s="7">
        <f t="shared" si="17"/>
        <v>1.6594312819779551</v>
      </c>
      <c r="P25" s="7">
        <f t="shared" si="18"/>
        <v>2.4680581544660103</v>
      </c>
      <c r="Q25" s="7">
        <f t="shared" si="19"/>
        <v>1.4872915686657506</v>
      </c>
    </row>
    <row r="26" spans="2:17" x14ac:dyDescent="0.25">
      <c r="B26">
        <v>4</v>
      </c>
      <c r="C26" s="7">
        <f>CPU_O2!C6*60</f>
        <v>1305.45</v>
      </c>
      <c r="D26" s="7">
        <f>CPU_OpenMP!I7*60</f>
        <v>242.21700000000001</v>
      </c>
      <c r="E26" s="7">
        <f>'CUDA-GM'!C6*60</f>
        <v>42.65034</v>
      </c>
      <c r="F26" s="7">
        <f>'CUDA-GM2'!C6*60</f>
        <v>25.711680000000001</v>
      </c>
      <c r="G26" s="7">
        <f>'CUDA-SM'!N6</f>
        <v>17.295855</v>
      </c>
      <c r="H26" s="7">
        <f t="shared" si="10"/>
        <v>5.3895886746182144</v>
      </c>
      <c r="I26" s="7">
        <f t="shared" si="11"/>
        <v>30.608196792803998</v>
      </c>
      <c r="J26" s="7">
        <f t="shared" si="12"/>
        <v>50.772644961356086</v>
      </c>
      <c r="K26" s="7">
        <f t="shared" si="13"/>
        <v>75.47762166137494</v>
      </c>
      <c r="L26" s="7">
        <f t="shared" si="14"/>
        <v>5.6791340936555255</v>
      </c>
      <c r="M26" s="7">
        <f t="shared" si="15"/>
        <v>9.4205046111339286</v>
      </c>
      <c r="N26" s="7">
        <f t="shared" si="16"/>
        <v>14.004338033592443</v>
      </c>
      <c r="O26" s="7">
        <f t="shared" si="17"/>
        <v>1.6587924242989955</v>
      </c>
      <c r="P26" s="7">
        <f t="shared" si="18"/>
        <v>2.46592839729519</v>
      </c>
      <c r="Q26" s="7">
        <f t="shared" si="19"/>
        <v>1.4865804552593671</v>
      </c>
    </row>
    <row r="27" spans="2:17" x14ac:dyDescent="0.25">
      <c r="B27">
        <v>5</v>
      </c>
      <c r="C27" s="7">
        <f>CPU_O2!C7*60</f>
        <v>1652.538</v>
      </c>
      <c r="D27" s="7">
        <f>CPU_OpenMP!I8*60</f>
        <v>301.36080000000004</v>
      </c>
      <c r="E27" s="7">
        <f>'CUDA-GM'!C7*60</f>
        <v>53.37726</v>
      </c>
      <c r="F27" s="7">
        <f>'CUDA-GM2'!C7*60</f>
        <v>32.133299999999998</v>
      </c>
      <c r="G27" s="7">
        <f>'CUDA-SM'!N7</f>
        <v>21.612750000000002</v>
      </c>
      <c r="H27" s="7">
        <f t="shared" si="10"/>
        <v>5.4835864518543875</v>
      </c>
      <c r="I27" s="7">
        <f t="shared" si="11"/>
        <v>30.959588408996641</v>
      </c>
      <c r="J27" s="7">
        <f t="shared" si="12"/>
        <v>51.427584468448622</v>
      </c>
      <c r="K27" s="7">
        <f t="shared" si="13"/>
        <v>76.46125550890099</v>
      </c>
      <c r="L27" s="7">
        <f t="shared" si="14"/>
        <v>5.6458649245015584</v>
      </c>
      <c r="M27" s="7">
        <f t="shared" si="15"/>
        <v>9.3784578614708121</v>
      </c>
      <c r="N27" s="7">
        <f t="shared" si="16"/>
        <v>13.94365825727869</v>
      </c>
      <c r="O27" s="7">
        <f t="shared" si="17"/>
        <v>1.6611197729458227</v>
      </c>
      <c r="P27" s="7">
        <f t="shared" si="18"/>
        <v>2.4697116285525902</v>
      </c>
      <c r="Q27" s="7">
        <f t="shared" si="19"/>
        <v>1.4867751674358882</v>
      </c>
    </row>
    <row r="28" spans="2:17" x14ac:dyDescent="0.25">
      <c r="B28">
        <v>6</v>
      </c>
      <c r="C28" s="7">
        <f>CPU_O2!C8*60</f>
        <v>1971.828</v>
      </c>
      <c r="D28" s="7">
        <f>CPU_OpenMP!I9*60</f>
        <v>362.94600000000003</v>
      </c>
      <c r="E28" s="7">
        <f>'CUDA-GM'!C8*60</f>
        <v>63.907799999999995</v>
      </c>
      <c r="F28" s="7">
        <f>'CUDA-GM2'!C8*60</f>
        <v>38.573879999999996</v>
      </c>
      <c r="G28" s="7">
        <f>'CUDA-SM'!N8</f>
        <v>25.940745</v>
      </c>
      <c r="H28" s="7">
        <f t="shared" si="10"/>
        <v>5.432841249111438</v>
      </c>
      <c r="I28" s="7">
        <f t="shared" si="11"/>
        <v>30.854261921080059</v>
      </c>
      <c r="J28" s="7">
        <f t="shared" si="12"/>
        <v>51.118217819934117</v>
      </c>
      <c r="K28" s="7">
        <f t="shared" si="13"/>
        <v>76.01277449818808</v>
      </c>
      <c r="L28" s="7">
        <f t="shared" si="14"/>
        <v>5.6792128660351331</v>
      </c>
      <c r="M28" s="7">
        <f t="shared" si="15"/>
        <v>9.4091131097001401</v>
      </c>
      <c r="N28" s="7">
        <f t="shared" si="16"/>
        <v>13.991348359501627</v>
      </c>
      <c r="O28" s="7">
        <f t="shared" si="17"/>
        <v>1.6567635923583524</v>
      </c>
      <c r="P28" s="7">
        <f t="shared" si="18"/>
        <v>2.4636069627144477</v>
      </c>
      <c r="Q28" s="7">
        <f t="shared" si="19"/>
        <v>1.4869996987364855</v>
      </c>
    </row>
    <row r="29" spans="2:17" x14ac:dyDescent="0.25">
      <c r="B29">
        <v>7</v>
      </c>
      <c r="C29" s="7">
        <f>CPU_O2!C9*60</f>
        <v>2324.4960000000001</v>
      </c>
      <c r="D29" s="7">
        <f>CPU_OpenMP!I10*60</f>
        <v>487.5924</v>
      </c>
      <c r="E29" s="7">
        <f>'CUDA-GM'!C9*60</f>
        <v>74.685600000000008</v>
      </c>
      <c r="F29" s="7">
        <f>'CUDA-GM2'!C9*60</f>
        <v>45.022619999999996</v>
      </c>
      <c r="G29" s="7">
        <f>'CUDA-SM'!N9</f>
        <v>30.262935000000002</v>
      </c>
      <c r="H29" s="7">
        <f t="shared" si="10"/>
        <v>4.7672933376320064</v>
      </c>
      <c r="I29" s="7">
        <f t="shared" si="11"/>
        <v>31.123750763199329</v>
      </c>
      <c r="J29" s="7">
        <f t="shared" si="12"/>
        <v>51.629514230846631</v>
      </c>
      <c r="K29" s="7">
        <f t="shared" si="13"/>
        <v>76.809998765816999</v>
      </c>
      <c r="L29" s="7">
        <f t="shared" si="14"/>
        <v>6.5285998907419893</v>
      </c>
      <c r="M29" s="7">
        <f t="shared" si="15"/>
        <v>10.829942815411455</v>
      </c>
      <c r="N29" s="7">
        <f t="shared" si="16"/>
        <v>16.111867536972206</v>
      </c>
      <c r="O29" s="7">
        <f t="shared" si="17"/>
        <v>1.6588461533335912</v>
      </c>
      <c r="P29" s="7">
        <f t="shared" si="18"/>
        <v>2.4678901765476482</v>
      </c>
      <c r="Q29" s="7">
        <f t="shared" si="19"/>
        <v>1.4877149225612121</v>
      </c>
    </row>
    <row r="30" spans="2:17" x14ac:dyDescent="0.25">
      <c r="B30">
        <v>8</v>
      </c>
      <c r="C30" s="7">
        <f>CPU_O2!C10*60</f>
        <v>2660.0039999999999</v>
      </c>
      <c r="D30" s="7">
        <f>CPU_OpenMP!I11*60</f>
        <v>481.17719999999997</v>
      </c>
      <c r="E30" s="7">
        <f>'CUDA-GM'!C10*60</f>
        <v>85.1922</v>
      </c>
      <c r="F30" s="7">
        <f>'CUDA-GM2'!C10*60</f>
        <v>51.41142</v>
      </c>
      <c r="G30" s="7">
        <f>'CUDA-SM'!N10</f>
        <v>34.593389999999999</v>
      </c>
      <c r="H30" s="7">
        <f t="shared" si="10"/>
        <v>5.5281172923405348</v>
      </c>
      <c r="I30" s="7">
        <f t="shared" si="11"/>
        <v>31.223562720530751</v>
      </c>
      <c r="J30" s="7">
        <f t="shared" si="12"/>
        <v>51.739555141639734</v>
      </c>
      <c r="K30" s="7">
        <f t="shared" si="13"/>
        <v>76.893418077846661</v>
      </c>
      <c r="L30" s="7">
        <f t="shared" si="14"/>
        <v>5.6481368012564523</v>
      </c>
      <c r="M30" s="7">
        <f t="shared" si="15"/>
        <v>9.3593446747823723</v>
      </c>
      <c r="N30" s="7">
        <f t="shared" si="16"/>
        <v>13.909512771081411</v>
      </c>
      <c r="O30" s="7">
        <f t="shared" si="17"/>
        <v>1.6570676320552904</v>
      </c>
      <c r="P30" s="7">
        <f t="shared" si="18"/>
        <v>2.4626727822858645</v>
      </c>
      <c r="Q30" s="7">
        <f t="shared" si="19"/>
        <v>1.486163108038848</v>
      </c>
    </row>
    <row r="31" spans="2:17" x14ac:dyDescent="0.25">
      <c r="B31">
        <v>9</v>
      </c>
      <c r="C31" s="7">
        <f>CPU_O2!C11*60</f>
        <v>2998.9140000000002</v>
      </c>
      <c r="D31" s="7">
        <f>CPU_OpenMP!I12*60</f>
        <v>545.77800000000002</v>
      </c>
      <c r="E31" s="7">
        <f>'CUDA-GM'!C11*60</f>
        <v>95.882999999999996</v>
      </c>
      <c r="F31" s="7">
        <f>'CUDA-GM2'!C11*60</f>
        <v>57.897120000000001</v>
      </c>
      <c r="G31" s="7">
        <f>'CUDA-SM'!N11</f>
        <v>38.923304999999999</v>
      </c>
      <c r="H31" s="7">
        <f t="shared" si="10"/>
        <v>5.4947506128865582</v>
      </c>
      <c r="I31" s="7">
        <f t="shared" si="11"/>
        <v>31.276806107443452</v>
      </c>
      <c r="J31" s="7">
        <f t="shared" si="12"/>
        <v>51.797291471492883</v>
      </c>
      <c r="K31" s="7">
        <f t="shared" si="13"/>
        <v>77.046746158888624</v>
      </c>
      <c r="L31" s="7">
        <f t="shared" si="14"/>
        <v>5.6921247770720571</v>
      </c>
      <c r="M31" s="7">
        <f t="shared" si="15"/>
        <v>9.4266865087589853</v>
      </c>
      <c r="N31" s="7">
        <f t="shared" si="16"/>
        <v>14.021882263081206</v>
      </c>
      <c r="O31" s="7">
        <f t="shared" si="17"/>
        <v>1.6560927382916455</v>
      </c>
      <c r="P31" s="7">
        <f t="shared" si="18"/>
        <v>2.4633827985573169</v>
      </c>
      <c r="Q31" s="7">
        <f t="shared" si="19"/>
        <v>1.4874666989352523</v>
      </c>
    </row>
    <row r="32" spans="2:17" x14ac:dyDescent="0.25">
      <c r="B32">
        <v>10</v>
      </c>
      <c r="C32" s="7">
        <f>CPU_O2!C12*60</f>
        <v>3299.0819999999999</v>
      </c>
      <c r="D32" s="7">
        <f>CPU_OpenMP!I13*60</f>
        <v>610.68600000000004</v>
      </c>
      <c r="E32" s="7">
        <f>'CUDA-GM'!C12*60</f>
        <v>106.62479999999999</v>
      </c>
      <c r="F32" s="7">
        <f>'CUDA-GM2'!C12*60</f>
        <v>64.273799999999994</v>
      </c>
      <c r="G32" s="7">
        <f>'CUDA-SM'!N12</f>
        <v>43.249845000000001</v>
      </c>
      <c r="H32" s="7">
        <f t="shared" si="10"/>
        <v>5.4022558237785043</v>
      </c>
      <c r="I32" s="7">
        <f t="shared" si="11"/>
        <v>30.941038107457178</v>
      </c>
      <c r="J32" s="7">
        <f t="shared" si="12"/>
        <v>51.328566227607517</v>
      </c>
      <c r="K32" s="7">
        <f t="shared" si="13"/>
        <v>76.279625973226032</v>
      </c>
      <c r="L32" s="7">
        <f t="shared" si="14"/>
        <v>5.7274292659869008</v>
      </c>
      <c r="M32" s="7">
        <f t="shared" si="15"/>
        <v>9.5013209114755952</v>
      </c>
      <c r="N32" s="7">
        <f t="shared" si="16"/>
        <v>14.119958117768977</v>
      </c>
      <c r="O32" s="7">
        <f t="shared" si="17"/>
        <v>1.6589154523304985</v>
      </c>
      <c r="P32" s="7">
        <f t="shared" si="18"/>
        <v>2.4653221300561885</v>
      </c>
      <c r="Q32" s="7">
        <f t="shared" si="19"/>
        <v>1.4861047478898477</v>
      </c>
    </row>
    <row r="33" spans="2:17" x14ac:dyDescent="0.25">
      <c r="B33">
        <v>11</v>
      </c>
      <c r="C33" s="7">
        <f>CPU_O2!C13*60</f>
        <v>3643.1579999999999</v>
      </c>
      <c r="D33" s="7">
        <f>CPU_OpenMP!I14*60</f>
        <v>663.3599999999999</v>
      </c>
      <c r="E33" s="7">
        <f>'CUDA-GM'!C13*60</f>
        <v>117.38039999999999</v>
      </c>
      <c r="F33" s="7">
        <f>'CUDA-GM2'!C13*60</f>
        <v>70.764600000000002</v>
      </c>
      <c r="G33" s="7">
        <f>'CUDA-SM'!N13</f>
        <v>47.582115000000002</v>
      </c>
      <c r="H33" s="7">
        <f t="shared" si="10"/>
        <v>5.491977206946455</v>
      </c>
      <c r="I33" s="7">
        <f t="shared" si="11"/>
        <v>31.037191899158632</v>
      </c>
      <c r="J33" s="7">
        <f t="shared" si="12"/>
        <v>51.482775285948058</v>
      </c>
      <c r="K33" s="7">
        <f t="shared" si="13"/>
        <v>76.565701209372463</v>
      </c>
      <c r="L33" s="7">
        <f t="shared" si="14"/>
        <v>5.6513693938681406</v>
      </c>
      <c r="M33" s="7">
        <f t="shared" si="15"/>
        <v>9.3741786147310933</v>
      </c>
      <c r="N33" s="7">
        <f t="shared" si="16"/>
        <v>13.941372719560698</v>
      </c>
      <c r="O33" s="7">
        <f t="shared" si="17"/>
        <v>1.6587446265505632</v>
      </c>
      <c r="P33" s="7">
        <f t="shared" si="18"/>
        <v>2.4669016919487499</v>
      </c>
      <c r="Q33" s="7">
        <f t="shared" si="19"/>
        <v>1.4872100578126886</v>
      </c>
    </row>
    <row r="34" spans="2:17" x14ac:dyDescent="0.25">
      <c r="B34">
        <v>12</v>
      </c>
      <c r="C34" s="7">
        <f>CPU_O2!C14*60</f>
        <v>3973.1639999999998</v>
      </c>
      <c r="D34" s="7">
        <f>CPU_OpenMP!I15*60</f>
        <v>724.1400000000001</v>
      </c>
      <c r="E34" s="7">
        <f>'CUDA-GM'!C14*60</f>
        <v>127.91699999999999</v>
      </c>
      <c r="F34" s="7">
        <f>'CUDA-GM2'!C14*60</f>
        <v>77.193000000000012</v>
      </c>
      <c r="G34" s="7">
        <f>'CUDA-SM'!N14</f>
        <v>51.918555000000005</v>
      </c>
      <c r="H34" s="7">
        <f t="shared" si="10"/>
        <v>5.4867346093296865</v>
      </c>
      <c r="I34" s="7">
        <f t="shared" si="11"/>
        <v>31.060484532939331</v>
      </c>
      <c r="J34" s="7">
        <f t="shared" si="12"/>
        <v>51.470521938517727</v>
      </c>
      <c r="K34" s="7">
        <f t="shared" si="13"/>
        <v>76.526860194780056</v>
      </c>
      <c r="L34" s="7">
        <f t="shared" si="14"/>
        <v>5.6610145641314302</v>
      </c>
      <c r="M34" s="7">
        <f t="shared" si="15"/>
        <v>9.3809024134312686</v>
      </c>
      <c r="N34" s="7">
        <f t="shared" si="16"/>
        <v>13.94761468226533</v>
      </c>
      <c r="O34" s="7">
        <f t="shared" si="17"/>
        <v>1.6571062142940418</v>
      </c>
      <c r="P34" s="7">
        <f t="shared" si="18"/>
        <v>2.4638012363787856</v>
      </c>
      <c r="Q34" s="7">
        <f t="shared" si="19"/>
        <v>1.486809484586002</v>
      </c>
    </row>
    <row r="35" spans="2:17" x14ac:dyDescent="0.25">
      <c r="B35">
        <v>13</v>
      </c>
      <c r="C35" s="7">
        <f>CPU_O2!C15*60</f>
        <v>4298.3459999999995</v>
      </c>
      <c r="D35" s="7">
        <f>CPU_OpenMP!I16*60</f>
        <v>790.63199999999995</v>
      </c>
      <c r="E35" s="7">
        <f>'CUDA-GM'!C15*60</f>
        <v>138.40980000000002</v>
      </c>
      <c r="F35" s="7">
        <f>'CUDA-GM2'!C15*60</f>
        <v>83.630399999999995</v>
      </c>
      <c r="G35" s="7">
        <f>'CUDA-SM'!N15</f>
        <v>56.258295000000004</v>
      </c>
      <c r="H35" s="7">
        <f t="shared" si="10"/>
        <v>5.4365950277752475</v>
      </c>
      <c r="I35" s="7">
        <f t="shared" si="11"/>
        <v>31.055214298409499</v>
      </c>
      <c r="J35" s="7">
        <f t="shared" si="12"/>
        <v>51.396932216036269</v>
      </c>
      <c r="K35" s="7">
        <f t="shared" si="13"/>
        <v>76.403772990276352</v>
      </c>
      <c r="L35" s="7">
        <f t="shared" si="14"/>
        <v>5.712254479090352</v>
      </c>
      <c r="M35" s="7">
        <f t="shared" si="15"/>
        <v>9.4538827985995528</v>
      </c>
      <c r="N35" s="7">
        <f t="shared" si="16"/>
        <v>14.053607561338286</v>
      </c>
      <c r="O35" s="7">
        <f t="shared" si="17"/>
        <v>1.6550177925730361</v>
      </c>
      <c r="P35" s="7">
        <f t="shared" si="18"/>
        <v>2.4602558609357077</v>
      </c>
      <c r="Q35" s="7">
        <f t="shared" si="19"/>
        <v>1.4865434510590836</v>
      </c>
    </row>
    <row r="36" spans="2:17" x14ac:dyDescent="0.25">
      <c r="B36">
        <v>14</v>
      </c>
      <c r="C36" s="7">
        <f>CPU_O2!C16*60</f>
        <v>4645.6379999999999</v>
      </c>
      <c r="D36" s="7">
        <f>CPU_OpenMP!I17*60</f>
        <v>849.88199999999995</v>
      </c>
      <c r="E36" s="7">
        <f>'CUDA-GM'!C16*60</f>
        <v>149.38919999999999</v>
      </c>
      <c r="F36" s="7">
        <f>'CUDA-GM2'!C16*60</f>
        <v>90.100200000000001</v>
      </c>
      <c r="G36" s="7">
        <f>'CUDA-SM'!N16</f>
        <v>60.588449999999995</v>
      </c>
      <c r="H36" s="7">
        <f t="shared" si="10"/>
        <v>5.466215309890079</v>
      </c>
      <c r="I36" s="7">
        <f t="shared" si="11"/>
        <v>31.097549220425574</v>
      </c>
      <c r="J36" s="7">
        <f t="shared" si="12"/>
        <v>51.560795647512435</v>
      </c>
      <c r="K36" s="7">
        <f t="shared" si="13"/>
        <v>76.675306927310402</v>
      </c>
      <c r="L36" s="7">
        <f t="shared" si="14"/>
        <v>5.6890457944751027</v>
      </c>
      <c r="M36" s="7">
        <f t="shared" si="15"/>
        <v>9.4326316700739845</v>
      </c>
      <c r="N36" s="7">
        <f t="shared" si="16"/>
        <v>14.027128932989704</v>
      </c>
      <c r="O36" s="7">
        <f t="shared" si="17"/>
        <v>1.6580340554183008</v>
      </c>
      <c r="P36" s="7">
        <f t="shared" si="18"/>
        <v>2.4656382528353178</v>
      </c>
      <c r="Q36" s="7">
        <f t="shared" si="19"/>
        <v>1.4870854098429653</v>
      </c>
    </row>
    <row r="37" spans="2:17" x14ac:dyDescent="0.25">
      <c r="B37">
        <v>15</v>
      </c>
      <c r="C37" s="7">
        <f>CPU_O2!C17*60</f>
        <v>4967.2139999999999</v>
      </c>
      <c r="D37" s="7">
        <f>CPU_OpenMP!I18*60</f>
        <v>927.61200000000008</v>
      </c>
      <c r="E37" s="7">
        <f>'CUDA-GM'!C17*60</f>
        <v>159.91200000000001</v>
      </c>
      <c r="F37" s="7">
        <f>'CUDA-GM2'!C17*60</f>
        <v>96.635400000000004</v>
      </c>
      <c r="G37" s="7">
        <f>'CUDA-SM'!N17</f>
        <v>64.921800000000005</v>
      </c>
      <c r="H37" s="7">
        <f t="shared" si="10"/>
        <v>5.3548401702435928</v>
      </c>
      <c r="I37" s="7">
        <f t="shared" si="11"/>
        <v>31.062171694431935</v>
      </c>
      <c r="J37" s="7">
        <f t="shared" si="12"/>
        <v>51.401598172098417</v>
      </c>
      <c r="K37" s="7">
        <f t="shared" si="13"/>
        <v>76.510725210946092</v>
      </c>
      <c r="L37" s="7">
        <f t="shared" si="14"/>
        <v>5.8007654209815405</v>
      </c>
      <c r="M37" s="7">
        <f t="shared" si="15"/>
        <v>9.5990910163356293</v>
      </c>
      <c r="N37" s="7">
        <f t="shared" si="16"/>
        <v>14.288143581970925</v>
      </c>
      <c r="O37" s="7">
        <f t="shared" si="17"/>
        <v>1.6547973103024358</v>
      </c>
      <c r="P37" s="7">
        <f t="shared" si="18"/>
        <v>2.4631479718676932</v>
      </c>
      <c r="Q37" s="7">
        <f t="shared" si="19"/>
        <v>1.4884892285796143</v>
      </c>
    </row>
    <row r="38" spans="2:17" x14ac:dyDescent="0.25">
      <c r="B38">
        <v>16</v>
      </c>
      <c r="C38" s="7">
        <f>CPU_O2!C18*60</f>
        <v>5324.3700000000008</v>
      </c>
      <c r="D38" s="7">
        <f>CPU_OpenMP!I19*60</f>
        <v>1030.056</v>
      </c>
      <c r="E38" s="7">
        <f>'CUDA-GM'!C18*60</f>
        <v>170.5206</v>
      </c>
      <c r="F38" s="7">
        <f>'CUDA-GM2'!C18*60</f>
        <v>103.0218</v>
      </c>
      <c r="G38" s="7">
        <f>'CUDA-SM'!N18</f>
        <v>69.247950000000003</v>
      </c>
      <c r="H38" s="7">
        <f t="shared" si="10"/>
        <v>5.1690102285700981</v>
      </c>
      <c r="I38" s="7">
        <f t="shared" si="11"/>
        <v>31.224203996467292</v>
      </c>
      <c r="J38" s="7">
        <f t="shared" si="12"/>
        <v>51.681974106451264</v>
      </c>
      <c r="K38" s="7">
        <f t="shared" si="13"/>
        <v>76.888485507513224</v>
      </c>
      <c r="L38" s="7">
        <f t="shared" si="14"/>
        <v>6.0406543256357299</v>
      </c>
      <c r="M38" s="7">
        <f t="shared" si="15"/>
        <v>9.9984275172827495</v>
      </c>
      <c r="N38" s="7">
        <f t="shared" si="16"/>
        <v>14.874895213504516</v>
      </c>
      <c r="O38" s="7">
        <f t="shared" si="17"/>
        <v>1.6551894841674286</v>
      </c>
      <c r="P38" s="7">
        <f t="shared" si="18"/>
        <v>2.4624642317931431</v>
      </c>
      <c r="Q38" s="7">
        <f t="shared" si="19"/>
        <v>1.4877234632938592</v>
      </c>
    </row>
    <row r="39" spans="2:17" x14ac:dyDescent="0.25">
      <c r="B39">
        <v>17</v>
      </c>
      <c r="C39" s="7">
        <f>CPU_O2!C19*60</f>
        <v>5646.51</v>
      </c>
      <c r="D39" s="7">
        <f>CPU_OpenMP!I20*60</f>
        <v>1039.3800000000001</v>
      </c>
      <c r="E39" s="7">
        <f>'CUDA-GM'!C19*60</f>
        <v>181.13819999999998</v>
      </c>
      <c r="F39" s="7">
        <f>'CUDA-GM2'!C19*60</f>
        <v>109.4718</v>
      </c>
      <c r="G39" s="7">
        <f>'CUDA-SM'!N19</f>
        <v>73.583249999999992</v>
      </c>
      <c r="H39" s="7">
        <f t="shared" si="10"/>
        <v>5.4325751890550134</v>
      </c>
      <c r="I39" s="7">
        <f t="shared" si="11"/>
        <v>31.172386608677797</v>
      </c>
      <c r="J39" s="7">
        <f t="shared" si="12"/>
        <v>51.5795848793936</v>
      </c>
      <c r="K39" s="7">
        <f t="shared" si="13"/>
        <v>76.736349644790096</v>
      </c>
      <c r="L39" s="7">
        <f t="shared" si="14"/>
        <v>5.7380497321934314</v>
      </c>
      <c r="M39" s="7">
        <f t="shared" si="15"/>
        <v>9.4944999534126602</v>
      </c>
      <c r="N39" s="7">
        <f t="shared" si="16"/>
        <v>14.125225509881668</v>
      </c>
      <c r="O39" s="7">
        <f t="shared" si="17"/>
        <v>1.6546562676415295</v>
      </c>
      <c r="P39" s="7">
        <f t="shared" si="18"/>
        <v>2.4616770800419934</v>
      </c>
      <c r="Q39" s="7">
        <f t="shared" si="19"/>
        <v>1.4877271661689313</v>
      </c>
    </row>
    <row r="40" spans="2:17" x14ac:dyDescent="0.25">
      <c r="B40">
        <v>18</v>
      </c>
      <c r="C40" s="7">
        <f>CPU_O2!C20*60</f>
        <v>5974.3559999999998</v>
      </c>
      <c r="D40" s="7">
        <f>CPU_OpenMP!I21*60</f>
        <v>1113.8819999999998</v>
      </c>
      <c r="E40" s="7">
        <f>'CUDA-GM'!C20*60</f>
        <v>191.82840000000002</v>
      </c>
      <c r="F40" s="7">
        <f>'CUDA-GM2'!C20*60</f>
        <v>115.9752</v>
      </c>
      <c r="G40" s="7">
        <f>'CUDA-SM'!N20</f>
        <v>77.914349999999999</v>
      </c>
      <c r="H40" s="7">
        <f t="shared" si="10"/>
        <v>5.3635447919977164</v>
      </c>
      <c r="I40" s="7">
        <f t="shared" si="11"/>
        <v>31.144272693720009</v>
      </c>
      <c r="J40" s="7">
        <f t="shared" si="12"/>
        <v>51.514082321047944</v>
      </c>
      <c r="K40" s="7">
        <f t="shared" si="13"/>
        <v>76.678506590891146</v>
      </c>
      <c r="L40" s="7">
        <f t="shared" si="14"/>
        <v>5.8066584509905717</v>
      </c>
      <c r="M40" s="7">
        <f t="shared" si="15"/>
        <v>9.604484407011153</v>
      </c>
      <c r="N40" s="7">
        <f t="shared" si="16"/>
        <v>14.296236829287542</v>
      </c>
      <c r="O40" s="7">
        <f t="shared" si="17"/>
        <v>1.6540467272313393</v>
      </c>
      <c r="P40" s="7">
        <f t="shared" si="18"/>
        <v>2.4620419730126737</v>
      </c>
      <c r="Q40" s="7">
        <f t="shared" si="19"/>
        <v>1.4884960215929415</v>
      </c>
    </row>
    <row r="42" spans="2:17" x14ac:dyDescent="0.25">
      <c r="B42" t="s">
        <v>11</v>
      </c>
    </row>
    <row r="43" spans="2:17" x14ac:dyDescent="0.25">
      <c r="B43">
        <v>1</v>
      </c>
      <c r="C43" s="7">
        <f>CPU_O2!D3*60</f>
        <v>158.06100000000001</v>
      </c>
      <c r="D43" s="7">
        <f>CPU_OpenMP!E4*60</f>
        <v>29.548500000000001</v>
      </c>
      <c r="E43" s="7">
        <f>'CUDA-GM'!D3*60</f>
        <v>5.1981299999999999</v>
      </c>
      <c r="F43" s="7">
        <f>'CUDA-GM2'!D3*60</f>
        <v>3.1648139999999998</v>
      </c>
      <c r="G43" s="7">
        <f>'CUDA-SM'!V3</f>
        <v>2.1209730000000002</v>
      </c>
      <c r="H43" s="7">
        <f>C43/D43</f>
        <v>5.3492055434286003</v>
      </c>
      <c r="I43" s="7">
        <f>C43/E43</f>
        <v>30.407281079926822</v>
      </c>
      <c r="J43" s="7">
        <f>C43/F43</f>
        <v>49.943219411946487</v>
      </c>
      <c r="K43" s="7">
        <f>C43/G43</f>
        <v>74.522872285502928</v>
      </c>
      <c r="L43" s="7">
        <f>D43/E43</f>
        <v>5.6844480611296753</v>
      </c>
      <c r="M43" s="7">
        <f>D43/F43</f>
        <v>9.3365676466294705</v>
      </c>
      <c r="N43" s="7">
        <f>D43/G43</f>
        <v>13.931577629701085</v>
      </c>
      <c r="O43" s="7">
        <f>E43/F43</f>
        <v>1.6424756715560536</v>
      </c>
      <c r="P43" s="7">
        <f>E43/G43</f>
        <v>2.450823277806931</v>
      </c>
      <c r="Q43" s="7">
        <f>F43/G43</f>
        <v>1.4921519510149348</v>
      </c>
    </row>
    <row r="44" spans="2:17" x14ac:dyDescent="0.25">
      <c r="B44">
        <v>2</v>
      </c>
      <c r="C44" s="7">
        <f>CPU_O2!D4*60</f>
        <v>318.86099999999999</v>
      </c>
      <c r="D44" s="7">
        <f>CPU_OpenMP!E5*60</f>
        <v>58.507919999999999</v>
      </c>
      <c r="E44" s="7">
        <f>'CUDA-GM'!D4*60</f>
        <v>10.324260000000001</v>
      </c>
      <c r="F44" s="7">
        <f>'CUDA-GM2'!D4*60</f>
        <v>6.2446200000000003</v>
      </c>
      <c r="G44" s="7">
        <f>'CUDA-SM'!V4</f>
        <v>4.1537640000000007</v>
      </c>
      <c r="H44" s="7">
        <f t="shared" ref="H44:H60" si="20">C44/D44</f>
        <v>5.449877555038702</v>
      </c>
      <c r="I44" s="7">
        <f>C44/E44</f>
        <v>30.884634830970935</v>
      </c>
      <c r="J44" s="7">
        <f t="shared" ref="J44:J60" si="21">C44/F44</f>
        <v>51.061713923345209</v>
      </c>
      <c r="K44" s="7">
        <f t="shared" ref="K44:K60" si="22">C44/G44</f>
        <v>76.764351561619762</v>
      </c>
      <c r="L44" s="7">
        <f t="shared" ref="L44:L60" si="23">D44/E44</f>
        <v>5.6670327946022274</v>
      </c>
      <c r="M44" s="7">
        <f t="shared" ref="M44:M60" si="24">D44/F44</f>
        <v>9.3693323212621422</v>
      </c>
      <c r="N44" s="7">
        <f t="shared" ref="N44:N60" si="25">D44/G44</f>
        <v>14.085518580256362</v>
      </c>
      <c r="O44" s="7">
        <f t="shared" ref="O44:O60" si="26">E44/F44</f>
        <v>1.6533047647414896</v>
      </c>
      <c r="P44" s="7">
        <f t="shared" ref="P44:P60" si="27">E44/G44</f>
        <v>2.48551915804557</v>
      </c>
      <c r="Q44" s="7">
        <f t="shared" ref="Q44:Q60" si="28">F44/G44</f>
        <v>1.5033641776470688</v>
      </c>
    </row>
    <row r="45" spans="2:17" x14ac:dyDescent="0.25">
      <c r="B45">
        <v>3</v>
      </c>
      <c r="C45" s="7">
        <f>CPU_O2!D5*60</f>
        <v>475.60320000000002</v>
      </c>
      <c r="D45" s="7">
        <f>CPU_OpenMP!E6*60</f>
        <v>87.157200000000003</v>
      </c>
      <c r="E45" s="7">
        <f>'CUDA-GM'!D5*60</f>
        <v>15.445319999999999</v>
      </c>
      <c r="F45" s="7">
        <f>'CUDA-GM2'!D5*60</f>
        <v>9.322140000000001</v>
      </c>
      <c r="G45" s="7">
        <f>'CUDA-SM'!V5</f>
        <v>6.18675</v>
      </c>
      <c r="H45" s="7">
        <f t="shared" si="20"/>
        <v>5.4568434965785961</v>
      </c>
      <c r="I45" s="7">
        <f t="shared" ref="I45:I60" si="29">C45/E45</f>
        <v>30.792706140112347</v>
      </c>
      <c r="J45" s="7">
        <f t="shared" si="21"/>
        <v>51.018671678391442</v>
      </c>
      <c r="K45" s="7">
        <f t="shared" si="22"/>
        <v>76.874481755364286</v>
      </c>
      <c r="L45" s="7">
        <f t="shared" si="23"/>
        <v>5.6429520398411954</v>
      </c>
      <c r="M45" s="7">
        <f t="shared" si="24"/>
        <v>9.3494841313260686</v>
      </c>
      <c r="N45" s="7">
        <f t="shared" si="25"/>
        <v>14.087719723602861</v>
      </c>
      <c r="O45" s="7">
        <f t="shared" si="26"/>
        <v>1.656842742117153</v>
      </c>
      <c r="P45" s="7">
        <f t="shared" si="27"/>
        <v>2.496515941326221</v>
      </c>
      <c r="Q45" s="7">
        <f t="shared" si="28"/>
        <v>1.506791126197115</v>
      </c>
    </row>
    <row r="46" spans="2:17" x14ac:dyDescent="0.25">
      <c r="B46">
        <v>4</v>
      </c>
      <c r="C46" s="7">
        <f>CPU_O2!D6*60</f>
        <v>636.11400000000003</v>
      </c>
      <c r="D46" s="7">
        <f>CPU_OpenMP!E7*60</f>
        <v>117.16619999999999</v>
      </c>
      <c r="E46" s="7">
        <f>'CUDA-GM'!D6*60</f>
        <v>20.553479999999997</v>
      </c>
      <c r="F46" s="7">
        <f>'CUDA-GM2'!D6*60</f>
        <v>12.402660000000001</v>
      </c>
      <c r="G46" s="7">
        <f>'CUDA-SM'!V6</f>
        <v>8.2278299999999991</v>
      </c>
      <c r="H46" s="7">
        <f t="shared" si="20"/>
        <v>5.4291596040496328</v>
      </c>
      <c r="I46" s="7">
        <f t="shared" si="29"/>
        <v>30.949211520384875</v>
      </c>
      <c r="J46" s="7">
        <f t="shared" si="21"/>
        <v>51.288513915563271</v>
      </c>
      <c r="K46" s="7">
        <f t="shared" si="22"/>
        <v>77.312487010548352</v>
      </c>
      <c r="L46" s="7">
        <f t="shared" si="23"/>
        <v>5.7005528990711065</v>
      </c>
      <c r="M46" s="7">
        <f t="shared" si="24"/>
        <v>9.4468605928083154</v>
      </c>
      <c r="N46" s="7">
        <f t="shared" si="25"/>
        <v>14.240231020815939</v>
      </c>
      <c r="O46" s="7">
        <f t="shared" si="26"/>
        <v>1.657183217148579</v>
      </c>
      <c r="P46" s="7">
        <f t="shared" si="27"/>
        <v>2.4980438341579734</v>
      </c>
      <c r="Q46" s="7">
        <f t="shared" si="28"/>
        <v>1.5074035316723853</v>
      </c>
    </row>
    <row r="47" spans="2:17" x14ac:dyDescent="0.25">
      <c r="B47">
        <v>5</v>
      </c>
      <c r="C47" s="7">
        <f>CPU_O2!D7*60</f>
        <v>801.03600000000006</v>
      </c>
      <c r="D47" s="7">
        <f>CPU_OpenMP!E8*60</f>
        <v>145.68779999999998</v>
      </c>
      <c r="E47" s="7">
        <f>'CUDA-GM'!D7*60</f>
        <v>25.677659999999999</v>
      </c>
      <c r="F47" s="7">
        <f>'CUDA-GM2'!D7*60</f>
        <v>15.47514</v>
      </c>
      <c r="G47" s="7">
        <f>'CUDA-SM'!V7</f>
        <v>10.267424999999999</v>
      </c>
      <c r="H47" s="7">
        <f t="shared" si="20"/>
        <v>5.4983052801950487</v>
      </c>
      <c r="I47" s="7">
        <f t="shared" si="29"/>
        <v>31.19583326518071</v>
      </c>
      <c r="J47" s="7">
        <f t="shared" si="21"/>
        <v>51.762762727833163</v>
      </c>
      <c r="K47" s="7">
        <f t="shared" si="22"/>
        <v>78.01722437709553</v>
      </c>
      <c r="L47" s="7">
        <f t="shared" si="23"/>
        <v>5.6737179322414883</v>
      </c>
      <c r="M47" s="7">
        <f t="shared" si="24"/>
        <v>9.414312245317328</v>
      </c>
      <c r="N47" s="7">
        <f t="shared" si="25"/>
        <v>14.189322054945617</v>
      </c>
      <c r="O47" s="7">
        <f t="shared" si="26"/>
        <v>1.6592845040497211</v>
      </c>
      <c r="P47" s="7">
        <f t="shared" si="27"/>
        <v>2.5008860546826495</v>
      </c>
      <c r="Q47" s="7">
        <f t="shared" si="28"/>
        <v>1.5072075033418799</v>
      </c>
    </row>
    <row r="48" spans="2:17" x14ac:dyDescent="0.25">
      <c r="B48">
        <v>6</v>
      </c>
      <c r="C48" s="7">
        <f>CPU_O2!D8*60</f>
        <v>955.12799999999993</v>
      </c>
      <c r="D48" s="7">
        <f>CPU_OpenMP!E9*60</f>
        <v>176.69219999999999</v>
      </c>
      <c r="E48" s="7">
        <f>'CUDA-GM'!D8*60</f>
        <v>30.83934</v>
      </c>
      <c r="F48" s="7">
        <f>'CUDA-GM2'!D8*60</f>
        <v>18.568380000000001</v>
      </c>
      <c r="G48" s="7">
        <f>'CUDA-SM'!V8</f>
        <v>12.309824999999998</v>
      </c>
      <c r="H48" s="7">
        <f t="shared" si="20"/>
        <v>5.4056036429451897</v>
      </c>
      <c r="I48" s="7">
        <f t="shared" si="29"/>
        <v>30.971090821009785</v>
      </c>
      <c r="J48" s="7">
        <f t="shared" si="21"/>
        <v>51.438413044110462</v>
      </c>
      <c r="K48" s="7">
        <f t="shared" si="22"/>
        <v>77.590704985651712</v>
      </c>
      <c r="L48" s="7">
        <f t="shared" si="23"/>
        <v>5.7294416806585353</v>
      </c>
      <c r="M48" s="7">
        <f t="shared" si="24"/>
        <v>9.5157574327970433</v>
      </c>
      <c r="N48" s="7">
        <f t="shared" si="25"/>
        <v>14.353754013562339</v>
      </c>
      <c r="O48" s="7">
        <f t="shared" si="26"/>
        <v>1.6608524814765746</v>
      </c>
      <c r="P48" s="7">
        <f t="shared" si="27"/>
        <v>2.5052622600240055</v>
      </c>
      <c r="Q48" s="7">
        <f t="shared" si="28"/>
        <v>1.5084194941845237</v>
      </c>
    </row>
    <row r="49" spans="2:17" x14ac:dyDescent="0.25">
      <c r="B49">
        <v>7</v>
      </c>
      <c r="C49" s="7">
        <f>CPU_O2!D9*60</f>
        <v>1121.376</v>
      </c>
      <c r="D49" s="7">
        <f>CPU_OpenMP!E10*60</f>
        <v>204.27120000000002</v>
      </c>
      <c r="E49" s="7">
        <f>'CUDA-GM'!D9*60</f>
        <v>35.90616</v>
      </c>
      <c r="F49" s="7">
        <f>'CUDA-GM2'!D9*60</f>
        <v>21.65568</v>
      </c>
      <c r="G49" s="7">
        <f>'CUDA-SM'!V9</f>
        <v>14.351654999999999</v>
      </c>
      <c r="H49" s="7">
        <f t="shared" si="20"/>
        <v>5.4896431802427355</v>
      </c>
      <c r="I49" s="7">
        <f t="shared" si="29"/>
        <v>31.230741466088269</v>
      </c>
      <c r="J49" s="7">
        <f t="shared" si="21"/>
        <v>51.782072878801308</v>
      </c>
      <c r="K49" s="7">
        <f t="shared" si="22"/>
        <v>78.135657525212252</v>
      </c>
      <c r="L49" s="7">
        <f t="shared" si="23"/>
        <v>5.6890294033112987</v>
      </c>
      <c r="M49" s="7">
        <f t="shared" si="24"/>
        <v>9.4326846351626923</v>
      </c>
      <c r="N49" s="7">
        <f t="shared" si="25"/>
        <v>14.233285290093724</v>
      </c>
      <c r="O49" s="7">
        <f t="shared" si="26"/>
        <v>1.6580481425658302</v>
      </c>
      <c r="P49" s="7">
        <f t="shared" si="27"/>
        <v>2.5018828838903948</v>
      </c>
      <c r="Q49" s="7">
        <f t="shared" si="28"/>
        <v>1.5089325934883469</v>
      </c>
    </row>
    <row r="50" spans="2:17" x14ac:dyDescent="0.25">
      <c r="B50">
        <v>8</v>
      </c>
      <c r="C50" s="7">
        <f>CPU_O2!D10*60</f>
        <v>1287.6000000000001</v>
      </c>
      <c r="D50" s="7">
        <f>CPU_OpenMP!E11*60</f>
        <v>262.8066</v>
      </c>
      <c r="E50" s="7">
        <f>'CUDA-GM'!D10*60</f>
        <v>41.015099999999997</v>
      </c>
      <c r="F50" s="7">
        <f>'CUDA-GM2'!D10*60</f>
        <v>24.72522</v>
      </c>
      <c r="G50" s="7">
        <f>'CUDA-SM'!V10</f>
        <v>16.395030000000002</v>
      </c>
      <c r="H50" s="7">
        <f t="shared" si="20"/>
        <v>4.8994203341925209</v>
      </c>
      <c r="I50" s="7">
        <f t="shared" si="29"/>
        <v>31.39331612016063</v>
      </c>
      <c r="J50" s="7">
        <f t="shared" si="21"/>
        <v>52.076381929058677</v>
      </c>
      <c r="K50" s="7">
        <f t="shared" si="22"/>
        <v>78.535995359569327</v>
      </c>
      <c r="L50" s="7">
        <f t="shared" si="23"/>
        <v>6.4075572167323749</v>
      </c>
      <c r="M50" s="7">
        <f t="shared" si="24"/>
        <v>10.629090459053549</v>
      </c>
      <c r="N50" s="7">
        <f t="shared" si="25"/>
        <v>16.029650448947027</v>
      </c>
      <c r="O50" s="7">
        <f t="shared" si="26"/>
        <v>1.6588366048916854</v>
      </c>
      <c r="P50" s="7">
        <f t="shared" si="27"/>
        <v>2.50167886243575</v>
      </c>
      <c r="Q50" s="7">
        <f t="shared" si="28"/>
        <v>1.5080923914137392</v>
      </c>
    </row>
    <row r="51" spans="2:17" x14ac:dyDescent="0.25">
      <c r="B51">
        <v>9</v>
      </c>
      <c r="C51" s="7">
        <f>CPU_O2!D11*60</f>
        <v>1458.3</v>
      </c>
      <c r="D51" s="7">
        <f>CPU_OpenMP!E12*60</f>
        <v>261.99239999999998</v>
      </c>
      <c r="E51" s="7">
        <f>'CUDA-GM'!D11*60</f>
        <v>46.188000000000002</v>
      </c>
      <c r="F51" s="7">
        <f>'CUDA-GM2'!D11*60</f>
        <v>27.810420000000001</v>
      </c>
      <c r="G51" s="7">
        <f>'CUDA-SM'!V11</f>
        <v>18.439575000000001</v>
      </c>
      <c r="H51" s="7">
        <f t="shared" si="20"/>
        <v>5.5661919964090565</v>
      </c>
      <c r="I51" s="7">
        <f t="shared" si="29"/>
        <v>31.573135879449204</v>
      </c>
      <c r="J51" s="7">
        <f t="shared" si="21"/>
        <v>52.437180021013702</v>
      </c>
      <c r="K51" s="7">
        <f t="shared" si="22"/>
        <v>79.085336836667864</v>
      </c>
      <c r="L51" s="7">
        <f t="shared" si="23"/>
        <v>5.6723044946739405</v>
      </c>
      <c r="M51" s="7">
        <f t="shared" si="24"/>
        <v>9.4206559987227791</v>
      </c>
      <c r="N51" s="7">
        <f t="shared" si="25"/>
        <v>14.208158268289804</v>
      </c>
      <c r="O51" s="7">
        <f t="shared" si="26"/>
        <v>1.6608163415007757</v>
      </c>
      <c r="P51" s="7">
        <f t="shared" si="27"/>
        <v>2.5048299648988657</v>
      </c>
      <c r="Q51" s="7">
        <f t="shared" si="28"/>
        <v>1.5081920272023623</v>
      </c>
    </row>
    <row r="52" spans="2:17" x14ac:dyDescent="0.25">
      <c r="B52">
        <v>10</v>
      </c>
      <c r="C52" s="7">
        <f>CPU_O2!D12*60</f>
        <v>1612.35</v>
      </c>
      <c r="D52" s="7">
        <f>CPU_OpenMP!E13*60</f>
        <v>342.18420000000003</v>
      </c>
      <c r="E52" s="7">
        <f>'CUDA-GM'!D12*60</f>
        <v>51.273000000000003</v>
      </c>
      <c r="F52" s="7">
        <f>'CUDA-GM2'!D12*60</f>
        <v>30.923700000000004</v>
      </c>
      <c r="G52" s="7">
        <f>'CUDA-SM'!V12</f>
        <v>20.482905000000002</v>
      </c>
      <c r="H52" s="7">
        <f t="shared" si="20"/>
        <v>4.7119358520936965</v>
      </c>
      <c r="I52" s="7">
        <f t="shared" si="29"/>
        <v>31.446375285237842</v>
      </c>
      <c r="J52" s="7">
        <f t="shared" si="21"/>
        <v>52.139621067336691</v>
      </c>
      <c r="K52" s="7">
        <f t="shared" si="22"/>
        <v>78.716861695155046</v>
      </c>
      <c r="L52" s="7">
        <f t="shared" si="23"/>
        <v>6.6737698203732965</v>
      </c>
      <c r="M52" s="7">
        <f t="shared" si="24"/>
        <v>11.065435248692751</v>
      </c>
      <c r="N52" s="7">
        <f t="shared" si="25"/>
        <v>16.705843238544531</v>
      </c>
      <c r="O52" s="7">
        <f t="shared" si="26"/>
        <v>1.6580486811086641</v>
      </c>
      <c r="P52" s="7">
        <f t="shared" si="27"/>
        <v>2.5032093836299096</v>
      </c>
      <c r="Q52" s="7">
        <f t="shared" si="28"/>
        <v>1.5097321400455648</v>
      </c>
    </row>
    <row r="53" spans="2:17" x14ac:dyDescent="0.25">
      <c r="B53">
        <v>11</v>
      </c>
      <c r="C53" s="7">
        <f>CPU_O2!D13*60</f>
        <v>1788.0239999999999</v>
      </c>
      <c r="D53" s="7">
        <f>CPU_OpenMP!E14*60</f>
        <v>325.12439999999998</v>
      </c>
      <c r="E53" s="7">
        <f>'CUDA-GM'!D13*60</f>
        <v>56.370660000000001</v>
      </c>
      <c r="F53" s="7">
        <f>'CUDA-GM2'!D13*60</f>
        <v>33.984540000000003</v>
      </c>
      <c r="G53" s="7">
        <f>'CUDA-SM'!V13</f>
        <v>22.526115000000001</v>
      </c>
      <c r="H53" s="7">
        <f t="shared" si="20"/>
        <v>5.4995072655266721</v>
      </c>
      <c r="I53" s="7">
        <f t="shared" si="29"/>
        <v>31.719053848225297</v>
      </c>
      <c r="J53" s="7">
        <f t="shared" si="21"/>
        <v>52.61286455547139</v>
      </c>
      <c r="K53" s="7">
        <f t="shared" si="22"/>
        <v>79.375604714794349</v>
      </c>
      <c r="L53" s="7">
        <f t="shared" si="23"/>
        <v>5.7676174094821659</v>
      </c>
      <c r="M53" s="7">
        <f t="shared" si="24"/>
        <v>9.5668324479307341</v>
      </c>
      <c r="N53" s="7">
        <f t="shared" si="25"/>
        <v>14.43322117462332</v>
      </c>
      <c r="O53" s="7">
        <f t="shared" si="26"/>
        <v>1.6587148156191021</v>
      </c>
      <c r="P53" s="7">
        <f t="shared" si="27"/>
        <v>2.5024581469108189</v>
      </c>
      <c r="Q53" s="7">
        <f t="shared" si="28"/>
        <v>1.5086729336150508</v>
      </c>
    </row>
    <row r="54" spans="2:17" x14ac:dyDescent="0.25">
      <c r="B54">
        <v>12</v>
      </c>
      <c r="C54" s="7">
        <f>CPU_O2!D14*60</f>
        <v>1945.7280000000001</v>
      </c>
      <c r="D54" s="7">
        <f>CPU_OpenMP!E15*60</f>
        <v>396.58979999999997</v>
      </c>
      <c r="E54" s="7">
        <f>'CUDA-GM'!D14*60</f>
        <v>61.489799999999995</v>
      </c>
      <c r="F54" s="7">
        <f>'CUDA-GM2'!D14*60</f>
        <v>37.080179999999999</v>
      </c>
      <c r="G54" s="7">
        <f>'CUDA-SM'!V14</f>
        <v>24.57225</v>
      </c>
      <c r="H54" s="7">
        <f t="shared" si="20"/>
        <v>4.906147359311813</v>
      </c>
      <c r="I54" s="7">
        <f t="shared" si="29"/>
        <v>31.6431017827347</v>
      </c>
      <c r="J54" s="7">
        <f t="shared" si="21"/>
        <v>52.473531681885042</v>
      </c>
      <c r="K54" s="7">
        <f t="shared" si="22"/>
        <v>79.183957513048256</v>
      </c>
      <c r="L54" s="7">
        <f t="shared" si="23"/>
        <v>6.4496843378901865</v>
      </c>
      <c r="M54" s="7">
        <f t="shared" si="24"/>
        <v>10.695465879615471</v>
      </c>
      <c r="N54" s="7">
        <f t="shared" si="25"/>
        <v>16.139743002777521</v>
      </c>
      <c r="O54" s="7">
        <f t="shared" si="26"/>
        <v>1.6582929209081509</v>
      </c>
      <c r="P54" s="7">
        <f t="shared" si="27"/>
        <v>2.5024082043768883</v>
      </c>
      <c r="Q54" s="7">
        <f t="shared" si="28"/>
        <v>1.5090266459115464</v>
      </c>
    </row>
    <row r="55" spans="2:17" x14ac:dyDescent="0.25">
      <c r="B55">
        <v>13</v>
      </c>
      <c r="C55" s="7">
        <f>CPU_O2!D15*60</f>
        <v>2111.268</v>
      </c>
      <c r="D55" s="7">
        <f>CPU_OpenMP!E16*60</f>
        <v>382.75259999999997</v>
      </c>
      <c r="E55" s="7">
        <f>'CUDA-GM'!D15*60</f>
        <v>66.644400000000005</v>
      </c>
      <c r="F55" s="7">
        <f>'CUDA-GM2'!D15*60</f>
        <v>40.16778</v>
      </c>
      <c r="G55" s="7">
        <f>'CUDA-SM'!V15</f>
        <v>26.619360000000004</v>
      </c>
      <c r="H55" s="7">
        <f t="shared" si="20"/>
        <v>5.5160121707860386</v>
      </c>
      <c r="I55" s="7">
        <f t="shared" si="29"/>
        <v>31.679600986729564</v>
      </c>
      <c r="J55" s="7">
        <f t="shared" si="21"/>
        <v>52.561231912742002</v>
      </c>
      <c r="K55" s="7">
        <f t="shared" si="22"/>
        <v>79.313251708530927</v>
      </c>
      <c r="L55" s="7">
        <f t="shared" si="23"/>
        <v>5.7432072312152247</v>
      </c>
      <c r="M55" s="7">
        <f t="shared" si="24"/>
        <v>9.5288462543859769</v>
      </c>
      <c r="N55" s="7">
        <f t="shared" si="25"/>
        <v>14.378730367672247</v>
      </c>
      <c r="O55" s="7">
        <f t="shared" si="26"/>
        <v>1.6591506924206416</v>
      </c>
      <c r="P55" s="7">
        <f t="shared" si="27"/>
        <v>2.5036063977496075</v>
      </c>
      <c r="Q55" s="7">
        <f t="shared" si="28"/>
        <v>1.5089686604035557</v>
      </c>
    </row>
    <row r="56" spans="2:17" x14ac:dyDescent="0.25">
      <c r="B56">
        <v>14</v>
      </c>
      <c r="C56" s="7">
        <f>CPU_O2!D16*60</f>
        <v>2278.788</v>
      </c>
      <c r="D56" s="7">
        <f>CPU_OpenMP!E17*60</f>
        <v>475.25880000000001</v>
      </c>
      <c r="E56" s="7">
        <f>'CUDA-GM'!D16*60</f>
        <v>71.745000000000005</v>
      </c>
      <c r="F56" s="7">
        <f>'CUDA-GM2'!D16*60</f>
        <v>43.276859999999999</v>
      </c>
      <c r="G56" s="7">
        <f>'CUDA-SM'!V16</f>
        <v>28.666680000000003</v>
      </c>
      <c r="H56" s="7">
        <f t="shared" si="20"/>
        <v>4.7948359925160773</v>
      </c>
      <c r="I56" s="7">
        <f t="shared" si="29"/>
        <v>31.76232490068994</v>
      </c>
      <c r="J56" s="7">
        <f t="shared" si="21"/>
        <v>52.656038353984094</v>
      </c>
      <c r="K56" s="7">
        <f t="shared" si="22"/>
        <v>79.492567677875485</v>
      </c>
      <c r="L56" s="7">
        <f t="shared" si="23"/>
        <v>6.6242776500104537</v>
      </c>
      <c r="M56" s="7">
        <f t="shared" si="24"/>
        <v>10.981822618369263</v>
      </c>
      <c r="N56" s="7">
        <f t="shared" si="25"/>
        <v>16.578787637773189</v>
      </c>
      <c r="O56" s="7">
        <f t="shared" si="26"/>
        <v>1.6578143608385638</v>
      </c>
      <c r="P56" s="7">
        <f t="shared" si="27"/>
        <v>2.5027313940784213</v>
      </c>
      <c r="Q56" s="7">
        <f t="shared" si="28"/>
        <v>1.5096572048106023</v>
      </c>
    </row>
    <row r="57" spans="2:17" x14ac:dyDescent="0.25">
      <c r="B57">
        <v>15</v>
      </c>
      <c r="C57" s="7">
        <f>CPU_O2!D17*60</f>
        <v>2441.4480000000003</v>
      </c>
      <c r="D57" s="7">
        <f>CPU_OpenMP!E18*60</f>
        <v>440.01060000000001</v>
      </c>
      <c r="E57" s="7">
        <f>'CUDA-GM'!D17*60</f>
        <v>76.898399999999995</v>
      </c>
      <c r="F57" s="7">
        <f>'CUDA-GM2'!D17*60</f>
        <v>46.347840000000005</v>
      </c>
      <c r="G57" s="7">
        <f>'CUDA-SM'!V17</f>
        <v>30.714359999999999</v>
      </c>
      <c r="H57" s="7">
        <f t="shared" si="20"/>
        <v>5.5486117834433992</v>
      </c>
      <c r="I57" s="7">
        <f t="shared" si="29"/>
        <v>31.749009082113549</v>
      </c>
      <c r="J57" s="7">
        <f t="shared" si="21"/>
        <v>52.676629590505186</v>
      </c>
      <c r="K57" s="7">
        <f t="shared" si="22"/>
        <v>79.488812399151414</v>
      </c>
      <c r="L57" s="7">
        <f t="shared" si="23"/>
        <v>5.7219734090696299</v>
      </c>
      <c r="M57" s="7">
        <f t="shared" si="24"/>
        <v>9.4936592514343694</v>
      </c>
      <c r="N57" s="7">
        <f t="shared" si="25"/>
        <v>14.325891862959216</v>
      </c>
      <c r="O57" s="7">
        <f t="shared" si="26"/>
        <v>1.6591582261438718</v>
      </c>
      <c r="P57" s="7">
        <f t="shared" si="27"/>
        <v>2.503662781838853</v>
      </c>
      <c r="Q57" s="7">
        <f t="shared" si="28"/>
        <v>1.5089957921962238</v>
      </c>
    </row>
    <row r="58" spans="2:17" x14ac:dyDescent="0.25">
      <c r="B58">
        <v>16</v>
      </c>
      <c r="C58" s="7">
        <f>CPU_O2!D18*60</f>
        <v>2600.9459999999999</v>
      </c>
      <c r="D58" s="7">
        <f>CPU_OpenMP!E19*60</f>
        <v>469.36200000000002</v>
      </c>
      <c r="E58" s="7">
        <f>'CUDA-GM'!D18*60</f>
        <v>82.035000000000011</v>
      </c>
      <c r="F58" s="7">
        <f>'CUDA-GM2'!D18*60</f>
        <v>49.453860000000006</v>
      </c>
      <c r="G58" s="7">
        <f>'CUDA-SM'!V18</f>
        <v>32.7639</v>
      </c>
      <c r="H58" s="7">
        <f t="shared" si="20"/>
        <v>5.5414498830327119</v>
      </c>
      <c r="I58" s="7">
        <f t="shared" si="29"/>
        <v>31.705320899616012</v>
      </c>
      <c r="J58" s="7">
        <f t="shared" si="21"/>
        <v>52.593387048048413</v>
      </c>
      <c r="K58" s="7">
        <f t="shared" si="22"/>
        <v>79.384505507586098</v>
      </c>
      <c r="L58" s="7">
        <f t="shared" si="23"/>
        <v>5.7214847321265312</v>
      </c>
      <c r="M58" s="7">
        <f t="shared" si="24"/>
        <v>9.4909072820604905</v>
      </c>
      <c r="N58" s="7">
        <f t="shared" si="25"/>
        <v>14.325583950628589</v>
      </c>
      <c r="O58" s="7">
        <f t="shared" si="26"/>
        <v>1.6588189476008546</v>
      </c>
      <c r="P58" s="7">
        <f t="shared" si="27"/>
        <v>2.5038228049774296</v>
      </c>
      <c r="Q58" s="7">
        <f t="shared" si="28"/>
        <v>1.5094008954977889</v>
      </c>
    </row>
    <row r="59" spans="2:17" x14ac:dyDescent="0.25">
      <c r="B59">
        <v>17</v>
      </c>
      <c r="C59" s="7">
        <f>CPU_O2!D19*60</f>
        <v>2769.7739999999999</v>
      </c>
      <c r="D59" s="7">
        <f>CPU_OpenMP!E20*60</f>
        <v>501.18420000000003</v>
      </c>
      <c r="E59" s="7">
        <f>'CUDA-GM'!D19*60</f>
        <v>87.229199999999992</v>
      </c>
      <c r="F59" s="7">
        <f>'CUDA-GM2'!D19*60</f>
        <v>52.498739999999998</v>
      </c>
      <c r="G59" s="7">
        <f>'CUDA-SM'!V19</f>
        <v>34.810814999999998</v>
      </c>
      <c r="H59" s="7">
        <f t="shared" si="20"/>
        <v>5.5264591341865916</v>
      </c>
      <c r="I59" s="7">
        <f t="shared" si="29"/>
        <v>31.752830474199008</v>
      </c>
      <c r="J59" s="7">
        <f t="shared" si="21"/>
        <v>52.758866212789108</v>
      </c>
      <c r="K59" s="7">
        <f t="shared" si="22"/>
        <v>79.566479555276146</v>
      </c>
      <c r="L59" s="7">
        <f t="shared" si="23"/>
        <v>5.7456012436202561</v>
      </c>
      <c r="M59" s="7">
        <f t="shared" si="24"/>
        <v>9.5465948325616967</v>
      </c>
      <c r="N59" s="7">
        <f t="shared" si="25"/>
        <v>14.397370472366132</v>
      </c>
      <c r="O59" s="7">
        <f t="shared" si="26"/>
        <v>1.6615484485913374</v>
      </c>
      <c r="P59" s="7">
        <f t="shared" si="27"/>
        <v>2.5058074624222386</v>
      </c>
      <c r="Q59" s="7">
        <f t="shared" si="28"/>
        <v>1.5081157967717791</v>
      </c>
    </row>
    <row r="60" spans="2:17" x14ac:dyDescent="0.25">
      <c r="B60">
        <v>18</v>
      </c>
      <c r="C60" s="7">
        <f>CPU_O2!D20*60</f>
        <v>2933.5440000000003</v>
      </c>
      <c r="D60" s="7">
        <f>CPU_OpenMP!E21*60</f>
        <v>532.92720000000008</v>
      </c>
      <c r="E60" s="7">
        <f>'CUDA-GM'!D20*60</f>
        <v>92.297399999999996</v>
      </c>
      <c r="F60" s="7">
        <f>'CUDA-GM2'!D20*60</f>
        <v>55.648740000000004</v>
      </c>
      <c r="G60" s="7">
        <f>'CUDA-SM'!V20</f>
        <v>36.856484999999999</v>
      </c>
      <c r="H60" s="7">
        <f t="shared" si="20"/>
        <v>5.5045867428046451</v>
      </c>
      <c r="I60" s="7">
        <f t="shared" si="29"/>
        <v>31.783603871831716</v>
      </c>
      <c r="J60" s="7">
        <f t="shared" si="21"/>
        <v>52.715371453154198</v>
      </c>
      <c r="K60" s="7">
        <f t="shared" si="22"/>
        <v>79.593699724756732</v>
      </c>
      <c r="L60" s="7">
        <f t="shared" si="23"/>
        <v>5.7740218034310837</v>
      </c>
      <c r="M60" s="7">
        <f t="shared" si="24"/>
        <v>9.5766265327840312</v>
      </c>
      <c r="N60" s="7">
        <f t="shared" si="25"/>
        <v>14.459523201954829</v>
      </c>
      <c r="O60" s="7">
        <f t="shared" si="26"/>
        <v>1.6585712452788686</v>
      </c>
      <c r="P60" s="7">
        <f t="shared" si="27"/>
        <v>2.5042377209872293</v>
      </c>
      <c r="Q60" s="7">
        <f t="shared" si="28"/>
        <v>1.5098764844232977</v>
      </c>
    </row>
    <row r="82" spans="2:19" x14ac:dyDescent="0.25">
      <c r="P82">
        <v>15</v>
      </c>
      <c r="Q82">
        <v>16</v>
      </c>
      <c r="R82">
        <v>17</v>
      </c>
      <c r="S82">
        <v>18</v>
      </c>
    </row>
    <row r="83" spans="2:1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>
        <f>CPU_O2!P82*60</f>
        <v>0</v>
      </c>
      <c r="Q83" s="8">
        <f>CPU_O2!Q82*60</f>
        <v>0</v>
      </c>
      <c r="R83" s="8">
        <f>CPU_O2!R82*60</f>
        <v>0</v>
      </c>
      <c r="S83" s="8">
        <f>CPU_O2!S82*60</f>
        <v>0</v>
      </c>
    </row>
    <row r="84" spans="2:1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>
        <f>CPU_OpenMP!Q93*60</f>
        <v>0</v>
      </c>
      <c r="Q84" s="8">
        <f>CPU_OpenMP!R93*60</f>
        <v>0</v>
      </c>
      <c r="R84" s="8">
        <f>CPU_OpenMP!S93*60</f>
        <v>0</v>
      </c>
      <c r="S84" s="8">
        <f>CPU_OpenMP!T93*60</f>
        <v>0</v>
      </c>
    </row>
    <row r="85" spans="2:1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>
        <f>'CUDA-GM'!P82*60</f>
        <v>0</v>
      </c>
      <c r="Q85" s="8">
        <f>'CUDA-GM'!Q82*60</f>
        <v>0</v>
      </c>
      <c r="R85" s="8">
        <f>'CUDA-GM'!R82*60</f>
        <v>0</v>
      </c>
      <c r="S85" s="8">
        <f>'CUDA-GM'!S82*60</f>
        <v>0</v>
      </c>
    </row>
    <row r="86" spans="2:1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>
        <f>'CUDA-GM2'!P82*60</f>
        <v>0</v>
      </c>
      <c r="Q86" s="8">
        <f>'CUDA-GM2'!Q82*60</f>
        <v>0</v>
      </c>
      <c r="R86" s="8">
        <f>'CUDA-GM2'!R82*60</f>
        <v>0</v>
      </c>
      <c r="S86" s="8">
        <f>'CUDA-GM2'!S82*60</f>
        <v>0</v>
      </c>
    </row>
    <row r="87" spans="2:1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>
        <f>'CUDA-SM'!P86</f>
        <v>0</v>
      </c>
      <c r="Q87" s="8">
        <f>'CUDA-SM'!Q86</f>
        <v>0</v>
      </c>
      <c r="R87" s="8">
        <f>'CUDA-SM'!R86</f>
        <v>0</v>
      </c>
      <c r="S87" s="8">
        <f>'CUDA-SM'!S86</f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D3AC-2098-4ABB-B114-6F5586A8DAF8}">
  <dimension ref="C1:M66"/>
  <sheetViews>
    <sheetView workbookViewId="0">
      <selection activeCell="I31" sqref="I31"/>
    </sheetView>
  </sheetViews>
  <sheetFormatPr baseColWidth="10" defaultRowHeight="15" x14ac:dyDescent="0.25"/>
  <sheetData>
    <row r="1" spans="3:13" ht="18.75" x14ac:dyDescent="0.3">
      <c r="H1" s="9" t="s">
        <v>50</v>
      </c>
    </row>
    <row r="2" spans="3:13" x14ac:dyDescent="0.25">
      <c r="C2" t="s">
        <v>9</v>
      </c>
      <c r="D2" s="18" t="s">
        <v>52</v>
      </c>
      <c r="E2" s="18"/>
      <c r="F2" t="s">
        <v>53</v>
      </c>
      <c r="H2" t="s">
        <v>45</v>
      </c>
      <c r="I2" t="s">
        <v>46</v>
      </c>
      <c r="J2" t="s">
        <v>55</v>
      </c>
    </row>
    <row r="3" spans="3:13" x14ac:dyDescent="0.25">
      <c r="C3" t="s">
        <v>5</v>
      </c>
      <c r="D3" t="s">
        <v>12</v>
      </c>
      <c r="E3" t="s">
        <v>13</v>
      </c>
      <c r="F3" t="s">
        <v>12</v>
      </c>
      <c r="G3" t="s">
        <v>13</v>
      </c>
      <c r="H3" t="s">
        <v>54</v>
      </c>
      <c r="I3" t="s">
        <v>54</v>
      </c>
      <c r="J3" t="s">
        <v>13</v>
      </c>
      <c r="K3" t="s">
        <v>13</v>
      </c>
      <c r="L3" t="s">
        <v>45</v>
      </c>
      <c r="M3" t="s">
        <v>46</v>
      </c>
    </row>
    <row r="4" spans="3:13" x14ac:dyDescent="0.25">
      <c r="C4">
        <v>1</v>
      </c>
      <c r="D4" s="7">
        <f>5.82334  *60</f>
        <v>349.40039999999999</v>
      </c>
      <c r="E4" s="7">
        <f>1.63813 *60</f>
        <v>98.287800000000004</v>
      </c>
      <c r="H4" s="7">
        <f>DGXvsK40C_v2!H7</f>
        <v>6.37622</v>
      </c>
      <c r="I4" s="7">
        <f>DGXvsK40C_v2!I7</f>
        <v>1.08026</v>
      </c>
      <c r="J4" s="7">
        <f>D4/E4</f>
        <v>3.554870492573849</v>
      </c>
      <c r="L4" s="7">
        <f>D4/H4</f>
        <v>54.797419160568488</v>
      </c>
      <c r="M4" s="7">
        <f>D4/I4</f>
        <v>323.44102345731585</v>
      </c>
    </row>
    <row r="5" spans="3:13" x14ac:dyDescent="0.25">
      <c r="C5">
        <v>2</v>
      </c>
      <c r="D5" s="7">
        <f>11.593   *60</f>
        <v>695.58</v>
      </c>
      <c r="E5" s="7">
        <f>3.90686 *60</f>
        <v>234.41159999999999</v>
      </c>
      <c r="H5" s="7">
        <f>DGXvsK40C_v2!H8</f>
        <v>12.6685</v>
      </c>
      <c r="I5" s="7">
        <f>DGXvsK40C_v2!I8</f>
        <v>2.0823399999999999</v>
      </c>
      <c r="J5" s="7">
        <f t="shared" ref="J5:J21" si="0">D5/E5</f>
        <v>2.9673446194642246</v>
      </c>
      <c r="L5" s="7">
        <f t="shared" ref="L5:L21" si="1">D5/H5</f>
        <v>54.906263567115289</v>
      </c>
      <c r="M5" s="7">
        <f t="shared" ref="M5:M21" si="2">D5/I5</f>
        <v>334.03766916065587</v>
      </c>
    </row>
    <row r="6" spans="3:13" x14ac:dyDescent="0.25">
      <c r="C6">
        <v>3</v>
      </c>
      <c r="D6" s="7">
        <f>17.7038  *60</f>
        <v>1062.2280000000001</v>
      </c>
      <c r="E6" s="7">
        <f>4.83285 *60</f>
        <v>289.971</v>
      </c>
      <c r="H6" s="7">
        <f>DGXvsK40C_v2!H9</f>
        <v>18.9787</v>
      </c>
      <c r="I6" s="7">
        <f>DGXvsK40C_v2!I9</f>
        <v>3.09456</v>
      </c>
      <c r="J6" s="7">
        <f t="shared" si="0"/>
        <v>3.6632214945632495</v>
      </c>
      <c r="L6" s="7">
        <f t="shared" si="1"/>
        <v>55.969481576714955</v>
      </c>
      <c r="M6" s="7">
        <f t="shared" si="2"/>
        <v>343.25655343570656</v>
      </c>
    </row>
    <row r="7" spans="3:13" x14ac:dyDescent="0.25">
      <c r="C7">
        <v>4</v>
      </c>
      <c r="D7" s="7">
        <f>23.746   *60</f>
        <v>1424.76</v>
      </c>
      <c r="E7" s="7">
        <f>7.77824 *60</f>
        <v>466.69440000000003</v>
      </c>
      <c r="H7" s="7">
        <f>DGXvsK40C_v2!H10</f>
        <v>25.2928</v>
      </c>
      <c r="I7" s="7">
        <f>DGXvsK40C_v2!I10</f>
        <v>4.1187800000000001</v>
      </c>
      <c r="J7" s="7">
        <f t="shared" si="0"/>
        <v>3.0528757148146624</v>
      </c>
      <c r="L7" s="7">
        <f t="shared" si="1"/>
        <v>56.330655364372468</v>
      </c>
      <c r="M7" s="7">
        <f t="shared" si="2"/>
        <v>345.91796599964067</v>
      </c>
    </row>
    <row r="8" spans="3:13" x14ac:dyDescent="0.25">
      <c r="C8">
        <v>5</v>
      </c>
      <c r="D8" s="7">
        <f>29.6976  *60</f>
        <v>1781.856</v>
      </c>
      <c r="E8" s="7">
        <f>7.97646 *60</f>
        <v>478.58760000000001</v>
      </c>
      <c r="H8" s="7">
        <f>DGXvsK40C_v2!H11</f>
        <v>31.617999999999999</v>
      </c>
      <c r="I8" s="7">
        <f>DGXvsK40C_v2!I11</f>
        <v>5.1491800000000003</v>
      </c>
      <c r="J8" s="7">
        <f t="shared" si="0"/>
        <v>3.7231553847195373</v>
      </c>
      <c r="L8" s="7">
        <f t="shared" si="1"/>
        <v>56.355746726548169</v>
      </c>
      <c r="M8" s="7">
        <f t="shared" si="2"/>
        <v>346.04655498545395</v>
      </c>
    </row>
    <row r="9" spans="3:13" x14ac:dyDescent="0.25">
      <c r="C9">
        <v>6</v>
      </c>
      <c r="D9" s="7">
        <f>35.7444  *60</f>
        <v>2144.6639999999998</v>
      </c>
      <c r="E9" s="7">
        <f>11.6835 *60</f>
        <v>701.01</v>
      </c>
      <c r="H9" s="7">
        <f>DGXvsK40C_v2!H12</f>
        <v>37.9572</v>
      </c>
      <c r="I9" s="7">
        <f>DGXvsK40C_v2!I12</f>
        <v>6.1523599999999998</v>
      </c>
      <c r="J9" s="7">
        <f t="shared" si="0"/>
        <v>3.0593914494800356</v>
      </c>
      <c r="L9" s="7">
        <f t="shared" si="1"/>
        <v>56.502165597040872</v>
      </c>
      <c r="M9" s="7">
        <f t="shared" si="2"/>
        <v>348.59208498852468</v>
      </c>
    </row>
    <row r="10" spans="3:13" x14ac:dyDescent="0.25">
      <c r="C10">
        <v>7</v>
      </c>
      <c r="D10" s="7">
        <f>41.6895  *60</f>
        <v>2501.3700000000003</v>
      </c>
      <c r="E10" s="7">
        <f>11.3122 *60</f>
        <v>678.73200000000008</v>
      </c>
      <c r="H10" s="7">
        <f>DGXvsK40C_v2!H13</f>
        <v>44.296199999999999</v>
      </c>
      <c r="I10" s="7">
        <f>DGXvsK40C_v2!I13</f>
        <v>7.19191</v>
      </c>
      <c r="J10" s="7">
        <f t="shared" si="0"/>
        <v>3.6853574017432509</v>
      </c>
      <c r="L10" s="7">
        <f t="shared" si="1"/>
        <v>56.469177943028981</v>
      </c>
      <c r="M10" s="7">
        <f t="shared" si="2"/>
        <v>347.80329564747063</v>
      </c>
    </row>
    <row r="11" spans="3:13" x14ac:dyDescent="0.25">
      <c r="C11">
        <v>8</v>
      </c>
      <c r="D11" s="7">
        <f>47.4951  *60</f>
        <v>2849.7060000000001</v>
      </c>
      <c r="E11" s="7">
        <f>12.9171 *60</f>
        <v>775.02599999999995</v>
      </c>
      <c r="H11" s="7">
        <f>DGXvsK40C_v2!H14</f>
        <v>50.646700000000003</v>
      </c>
      <c r="I11" s="7">
        <f>DGXvsK40C_v2!I14</f>
        <v>8.2031299999999998</v>
      </c>
      <c r="J11" s="7">
        <f t="shared" si="0"/>
        <v>3.6769166453770588</v>
      </c>
      <c r="L11" s="7">
        <f t="shared" si="1"/>
        <v>56.266370760582625</v>
      </c>
      <c r="M11" s="7">
        <f t="shared" si="2"/>
        <v>347.39251968455943</v>
      </c>
    </row>
    <row r="12" spans="3:13" x14ac:dyDescent="0.25">
      <c r="C12">
        <v>9</v>
      </c>
      <c r="D12" s="7">
        <f>53.57    *60</f>
        <v>3214.2</v>
      </c>
      <c r="E12" s="7">
        <f>17.1479 *60</f>
        <v>1028.874</v>
      </c>
      <c r="H12" s="7">
        <f>DGXvsK40C_v2!H15</f>
        <v>56.995800000000003</v>
      </c>
      <c r="I12" s="7">
        <f>DGXvsK40C_v2!I15</f>
        <v>9.2223600000000001</v>
      </c>
      <c r="J12" s="7">
        <f t="shared" si="0"/>
        <v>3.123997690679325</v>
      </c>
      <c r="L12" s="7">
        <f t="shared" si="1"/>
        <v>56.393629004242413</v>
      </c>
      <c r="M12" s="7">
        <f t="shared" si="2"/>
        <v>348.52250400114502</v>
      </c>
    </row>
    <row r="13" spans="3:13" x14ac:dyDescent="0.25">
      <c r="C13">
        <v>10</v>
      </c>
      <c r="D13" s="7">
        <f>59.5092 *60</f>
        <v>3570.5520000000001</v>
      </c>
      <c r="E13" s="7">
        <f>16.2269 *60</f>
        <v>973.61400000000003</v>
      </c>
      <c r="H13" s="7">
        <f>DGXvsK40C_v2!H16</f>
        <v>63.340499999999999</v>
      </c>
      <c r="I13" s="7">
        <f>DGXvsK40C_v2!I16</f>
        <v>10.301500000000001</v>
      </c>
      <c r="J13" s="7">
        <f t="shared" si="0"/>
        <v>3.6673178487573104</v>
      </c>
      <c r="L13" s="7">
        <f t="shared" si="1"/>
        <v>56.370758045800081</v>
      </c>
      <c r="M13" s="7">
        <f t="shared" si="2"/>
        <v>346.60505751589574</v>
      </c>
    </row>
    <row r="14" spans="3:13" x14ac:dyDescent="0.25">
      <c r="C14">
        <v>11</v>
      </c>
      <c r="D14" s="7">
        <f>65.5691 *60</f>
        <v>3934.1460000000002</v>
      </c>
      <c r="E14" s="7">
        <f>17.6411 *60</f>
        <v>1058.4660000000001</v>
      </c>
      <c r="H14" s="7">
        <f>DGXvsK40C_v2!H17</f>
        <v>69.695700000000002</v>
      </c>
      <c r="I14" s="7">
        <f>DGXvsK40C_v2!I17</f>
        <v>11.267300000000001</v>
      </c>
      <c r="J14" s="7">
        <f t="shared" si="0"/>
        <v>3.716837385423811</v>
      </c>
      <c r="L14" s="7">
        <f t="shared" si="1"/>
        <v>56.447470934361803</v>
      </c>
      <c r="M14" s="7">
        <f t="shared" si="2"/>
        <v>349.16492859868822</v>
      </c>
    </row>
    <row r="15" spans="3:13" x14ac:dyDescent="0.25">
      <c r="C15">
        <v>12</v>
      </c>
      <c r="D15" s="7">
        <f>71.5306 *60</f>
        <v>4291.8360000000002</v>
      </c>
      <c r="E15" s="7">
        <f>19.6993 *60</f>
        <v>1181.9580000000001</v>
      </c>
      <c r="H15" s="7">
        <f>DGXvsK40C_v2!H18</f>
        <v>76.042599999999993</v>
      </c>
      <c r="I15" s="7">
        <f>DGXvsK40C_v2!I18</f>
        <v>12.2843</v>
      </c>
      <c r="J15" s="7">
        <f t="shared" si="0"/>
        <v>3.6311239485667004</v>
      </c>
      <c r="L15" s="7">
        <f t="shared" si="1"/>
        <v>56.439890272031739</v>
      </c>
      <c r="M15" s="7">
        <f t="shared" si="2"/>
        <v>349.37570720350368</v>
      </c>
    </row>
    <row r="16" spans="3:13" x14ac:dyDescent="0.25">
      <c r="C16">
        <v>13</v>
      </c>
      <c r="D16" s="7">
        <f>77.7014 *60</f>
        <v>4662.0840000000007</v>
      </c>
      <c r="E16" s="7">
        <f>21.2646 *60</f>
        <v>1275.8760000000002</v>
      </c>
      <c r="H16" s="7">
        <f>DGXvsK40C_v2!H19</f>
        <v>82.394400000000005</v>
      </c>
      <c r="I16" s="7">
        <f>DGXvsK40C_v2!I19</f>
        <v>13.317299999999999</v>
      </c>
      <c r="J16" s="7">
        <f t="shared" si="0"/>
        <v>3.6540259398248733</v>
      </c>
      <c r="L16" s="7">
        <f t="shared" si="1"/>
        <v>56.582534735370373</v>
      </c>
      <c r="M16" s="7">
        <f t="shared" si="2"/>
        <v>350.07726791466746</v>
      </c>
    </row>
    <row r="17" spans="3:13" x14ac:dyDescent="0.25">
      <c r="C17">
        <v>14</v>
      </c>
      <c r="D17" s="7">
        <f>83.6972 *60</f>
        <v>5021.8319999999994</v>
      </c>
      <c r="E17" s="7">
        <f>27.1095 *60</f>
        <v>1626.57</v>
      </c>
      <c r="H17" s="7">
        <f>DGXvsK40C_v2!H20</f>
        <v>88.748900000000006</v>
      </c>
      <c r="I17" s="7">
        <f>DGXvsK40C_v2!I20</f>
        <v>14.347200000000001</v>
      </c>
      <c r="J17" s="7">
        <f t="shared" si="0"/>
        <v>3.0873752743503196</v>
      </c>
      <c r="L17" s="7">
        <f t="shared" si="1"/>
        <v>56.584723867000029</v>
      </c>
      <c r="M17" s="7">
        <f t="shared" si="2"/>
        <v>350.02174640347937</v>
      </c>
    </row>
    <row r="18" spans="3:13" x14ac:dyDescent="0.25">
      <c r="C18">
        <v>15</v>
      </c>
      <c r="D18" s="7">
        <f>89.6352 *60</f>
        <v>5378.1120000000001</v>
      </c>
      <c r="E18" s="7">
        <f>29.7334 *60</f>
        <v>1784.0039999999999</v>
      </c>
      <c r="H18" s="7">
        <f>DGXvsK40C_v2!H21</f>
        <v>95.101200000000006</v>
      </c>
      <c r="I18" s="7">
        <f>DGXvsK40C_v2!I21</f>
        <v>15.3714</v>
      </c>
      <c r="J18" s="7">
        <f t="shared" si="0"/>
        <v>3.0146300120403318</v>
      </c>
      <c r="L18" s="7">
        <f t="shared" si="1"/>
        <v>56.551463073021161</v>
      </c>
      <c r="M18" s="7">
        <f t="shared" si="2"/>
        <v>349.87782505171947</v>
      </c>
    </row>
    <row r="19" spans="3:13" x14ac:dyDescent="0.25">
      <c r="C19">
        <v>16</v>
      </c>
      <c r="D19" s="7">
        <f>95.7088 *60</f>
        <v>5742.5280000000002</v>
      </c>
      <c r="E19" s="7">
        <f>26.6696 *60</f>
        <v>1600.1759999999999</v>
      </c>
      <c r="H19" s="7">
        <f>DGXvsK40C_v2!H22</f>
        <v>101.464</v>
      </c>
      <c r="I19" s="7">
        <f>DGXvsK40C_v2!I22</f>
        <v>16.381599999999999</v>
      </c>
      <c r="J19" s="7">
        <f t="shared" si="0"/>
        <v>3.5886852446230919</v>
      </c>
      <c r="L19" s="7">
        <f t="shared" si="1"/>
        <v>56.59670424978318</v>
      </c>
      <c r="M19" s="7">
        <f t="shared" si="2"/>
        <v>350.54744347316506</v>
      </c>
    </row>
    <row r="20" spans="3:13" x14ac:dyDescent="0.25">
      <c r="C20">
        <v>17</v>
      </c>
      <c r="D20" s="7">
        <f>101.65  *60</f>
        <v>6099</v>
      </c>
      <c r="E20" s="7">
        <f>27.9989 *60</f>
        <v>1679.934</v>
      </c>
      <c r="H20" s="7">
        <f>DGXvsK40C_v2!H23</f>
        <v>107.82</v>
      </c>
      <c r="I20" s="7">
        <f>DGXvsK40C_v2!I23</f>
        <v>17.4008</v>
      </c>
      <c r="J20" s="7">
        <f t="shared" si="0"/>
        <v>3.6304997696338073</v>
      </c>
      <c r="L20" s="7">
        <f t="shared" si="1"/>
        <v>56.56649972175849</v>
      </c>
      <c r="M20" s="7">
        <f t="shared" si="2"/>
        <v>350.50112638499377</v>
      </c>
    </row>
    <row r="21" spans="3:13" x14ac:dyDescent="0.25">
      <c r="C21">
        <v>18</v>
      </c>
      <c r="D21" s="7">
        <f>107.796 *60</f>
        <v>6467.76</v>
      </c>
      <c r="E21" s="7">
        <f>29.368  *60</f>
        <v>1762.08</v>
      </c>
      <c r="H21" s="7">
        <f>DGXvsK40C_v2!H24</f>
        <v>114.176</v>
      </c>
      <c r="I21" s="7">
        <f>DGXvsK40C_v2!I24</f>
        <v>18.428699999999999</v>
      </c>
      <c r="J21" s="7">
        <f t="shared" si="0"/>
        <v>3.6705257423045494</v>
      </c>
      <c r="L21" s="7">
        <f t="shared" si="1"/>
        <v>56.64728139013453</v>
      </c>
      <c r="M21" s="7">
        <f t="shared" si="2"/>
        <v>350.9612723632161</v>
      </c>
    </row>
    <row r="26" spans="3:13" x14ac:dyDescent="0.25">
      <c r="C26" t="s">
        <v>10</v>
      </c>
      <c r="D26" s="18" t="s">
        <v>52</v>
      </c>
      <c r="E26" s="18"/>
      <c r="F26" t="s">
        <v>53</v>
      </c>
      <c r="H26" t="s">
        <v>45</v>
      </c>
      <c r="I26" t="s">
        <v>46</v>
      </c>
      <c r="J26" t="s">
        <v>55</v>
      </c>
    </row>
    <row r="27" spans="3:13" x14ac:dyDescent="0.25">
      <c r="C27" t="s">
        <v>5</v>
      </c>
      <c r="D27" t="s">
        <v>12</v>
      </c>
      <c r="E27" t="s">
        <v>13</v>
      </c>
      <c r="F27" t="s">
        <v>12</v>
      </c>
      <c r="G27" t="s">
        <v>13</v>
      </c>
      <c r="H27" t="s">
        <v>54</v>
      </c>
      <c r="I27" t="s">
        <v>54</v>
      </c>
      <c r="J27" t="s">
        <v>13</v>
      </c>
      <c r="K27" t="s">
        <v>13</v>
      </c>
      <c r="L27" t="s">
        <v>45</v>
      </c>
      <c r="M27" t="s">
        <v>46</v>
      </c>
    </row>
    <row r="28" spans="3:13" x14ac:dyDescent="0.25">
      <c r="C28">
        <v>1</v>
      </c>
      <c r="D28" s="7">
        <f>3.30851  *60</f>
        <v>198.51060000000001</v>
      </c>
      <c r="E28" s="7">
        <f>1.07778  *60</f>
        <v>64.666799999999995</v>
      </c>
      <c r="F28" s="7"/>
      <c r="G28" s="7"/>
      <c r="H28" s="7">
        <f>DGXvsK40C_v2!E7</f>
        <v>3.5920700000000001</v>
      </c>
      <c r="I28" s="7">
        <f>DGXvsK40C_v2!F7</f>
        <v>0.32780100000000001</v>
      </c>
      <c r="J28" s="7">
        <f>D28/E28</f>
        <v>3.0697452170201713</v>
      </c>
      <c r="K28" s="7"/>
      <c r="L28" s="7">
        <f>D28/H28</f>
        <v>55.263566689958715</v>
      </c>
      <c r="M28" s="7">
        <f>E28/I28</f>
        <v>197.27456597142776</v>
      </c>
    </row>
    <row r="29" spans="3:13" x14ac:dyDescent="0.25">
      <c r="C29">
        <v>2</v>
      </c>
      <c r="D29" s="7">
        <f>6.62883  *60</f>
        <v>397.72980000000001</v>
      </c>
      <c r="E29" s="7">
        <f>2.23754  *60</f>
        <v>134.25239999999999</v>
      </c>
      <c r="F29" s="7"/>
      <c r="G29" s="7"/>
      <c r="H29" s="7">
        <f>DGXvsK40C_v2!E8</f>
        <v>7.0877400000000002</v>
      </c>
      <c r="I29" s="7">
        <f>DGXvsK40C_v2!F8</f>
        <v>0.611039</v>
      </c>
      <c r="J29" s="7">
        <f t="shared" ref="J29:J45" si="3">D29/E29</f>
        <v>2.9625526247575467</v>
      </c>
      <c r="K29" s="7"/>
      <c r="L29" s="7">
        <f t="shared" ref="L29:L45" si="4">D29/H29</f>
        <v>56.115179168536095</v>
      </c>
      <c r="M29" s="7">
        <f t="shared" ref="M29:M45" si="5">E29/I29</f>
        <v>219.71167143177439</v>
      </c>
    </row>
    <row r="30" spans="3:13" x14ac:dyDescent="0.25">
      <c r="C30">
        <v>3</v>
      </c>
      <c r="D30" s="7">
        <f>9.96632  *60</f>
        <v>597.97919999999999</v>
      </c>
      <c r="E30" s="7">
        <f>3.34167  *60</f>
        <v>200.50020000000001</v>
      </c>
      <c r="F30" s="7"/>
      <c r="G30" s="7"/>
      <c r="H30" s="7">
        <f>DGXvsK40C_v2!E9</f>
        <v>10.5928</v>
      </c>
      <c r="I30" s="7">
        <f>DGXvsK40C_v2!F9</f>
        <v>0.91460200000000003</v>
      </c>
      <c r="J30" s="7">
        <f t="shared" si="3"/>
        <v>2.9824369252499499</v>
      </c>
      <c r="K30" s="7"/>
      <c r="L30" s="7">
        <f t="shared" si="4"/>
        <v>56.451476474586507</v>
      </c>
      <c r="M30" s="7">
        <f t="shared" si="5"/>
        <v>219.22125689644238</v>
      </c>
    </row>
    <row r="31" spans="3:13" x14ac:dyDescent="0.25">
      <c r="C31">
        <v>4</v>
      </c>
      <c r="D31" s="7">
        <f>13.412   *60</f>
        <v>804.72</v>
      </c>
      <c r="E31" s="7">
        <f>3.63283  *60</f>
        <v>217.96979999999999</v>
      </c>
      <c r="F31" s="7"/>
      <c r="G31" s="7"/>
      <c r="H31" s="7">
        <f>DGXvsK40C_v2!E10</f>
        <v>14.1022</v>
      </c>
      <c r="I31" s="7">
        <f>DGXvsK40C_v2!F10</f>
        <v>1.16699</v>
      </c>
      <c r="J31" s="7">
        <f t="shared" si="3"/>
        <v>3.6918875917673</v>
      </c>
      <c r="K31" s="7"/>
      <c r="L31" s="7">
        <f t="shared" si="4"/>
        <v>57.063436910552966</v>
      </c>
      <c r="M31" s="7">
        <f t="shared" si="5"/>
        <v>186.77949254063873</v>
      </c>
    </row>
    <row r="32" spans="3:13" x14ac:dyDescent="0.25">
      <c r="C32">
        <v>5</v>
      </c>
      <c r="D32" s="7">
        <f>16.913   *60</f>
        <v>1014.78</v>
      </c>
      <c r="E32" s="7">
        <f>4.53539  *60</f>
        <v>272.12339999999995</v>
      </c>
      <c r="F32" s="7"/>
      <c r="G32" s="7"/>
      <c r="H32" s="7">
        <f>DGXvsK40C_v2!E11</f>
        <v>17.615400000000001</v>
      </c>
      <c r="I32" s="7">
        <f>DGXvsK40C_v2!F11</f>
        <v>1.4556899999999999</v>
      </c>
      <c r="J32" s="7">
        <f t="shared" si="3"/>
        <v>3.7291170108855032</v>
      </c>
      <c r="K32" s="7"/>
      <c r="L32" s="7">
        <f t="shared" si="4"/>
        <v>57.60754794100616</v>
      </c>
      <c r="M32" s="7">
        <f t="shared" si="5"/>
        <v>186.93774086515671</v>
      </c>
    </row>
    <row r="33" spans="3:13" x14ac:dyDescent="0.25">
      <c r="C33">
        <v>6</v>
      </c>
      <c r="D33" s="7">
        <f>20.3884  *60</f>
        <v>1223.3040000000001</v>
      </c>
      <c r="E33" s="7">
        <f>6.63577  *60</f>
        <v>398.14620000000002</v>
      </c>
      <c r="F33" s="7"/>
      <c r="G33" s="7"/>
      <c r="H33" s="7">
        <f>DGXvsK40C_v2!E12</f>
        <v>21.132999999999999</v>
      </c>
      <c r="I33" s="7">
        <f>DGXvsK40C_v2!F12</f>
        <v>1.7210300000000001</v>
      </c>
      <c r="J33" s="7">
        <f t="shared" si="3"/>
        <v>3.072499498927781</v>
      </c>
      <c r="K33" s="7"/>
      <c r="L33" s="7">
        <f t="shared" si="4"/>
        <v>57.885960346377708</v>
      </c>
      <c r="M33" s="7">
        <f t="shared" si="5"/>
        <v>231.34181275166617</v>
      </c>
    </row>
    <row r="34" spans="3:13" x14ac:dyDescent="0.25">
      <c r="C34">
        <v>7</v>
      </c>
      <c r="D34" s="7">
        <f>23.8565  *60</f>
        <v>1431.39</v>
      </c>
      <c r="E34" s="7">
        <f>6.35729  *60</f>
        <v>381.43739999999997</v>
      </c>
      <c r="F34" s="7"/>
      <c r="G34" s="7"/>
      <c r="H34" s="7">
        <f>DGXvsK40C_v2!E13</f>
        <v>24.654499999999999</v>
      </c>
      <c r="I34" s="7">
        <f>DGXvsK40C_v2!F13</f>
        <v>2.00312</v>
      </c>
      <c r="J34" s="7">
        <f t="shared" si="3"/>
        <v>3.7526210067497319</v>
      </c>
      <c r="K34" s="7"/>
      <c r="L34" s="7">
        <f t="shared" si="4"/>
        <v>58.057961021314576</v>
      </c>
      <c r="M34" s="7">
        <f t="shared" si="5"/>
        <v>190.42164223810855</v>
      </c>
    </row>
    <row r="35" spans="3:13" x14ac:dyDescent="0.25">
      <c r="C35">
        <v>8</v>
      </c>
      <c r="D35" s="7">
        <f>27.2516  *60</f>
        <v>1635.096</v>
      </c>
      <c r="E35" s="7">
        <f>7.287    *60</f>
        <v>437.21999999999997</v>
      </c>
      <c r="F35" s="7"/>
      <c r="G35" s="7"/>
      <c r="H35" s="7">
        <f>DGXvsK40C_v2!E14</f>
        <v>28.174600000000002</v>
      </c>
      <c r="I35" s="7">
        <f>DGXvsK40C_v2!F14</f>
        <v>2.2834599999999998</v>
      </c>
      <c r="J35" s="7">
        <f t="shared" si="3"/>
        <v>3.7397557293810899</v>
      </c>
      <c r="K35" s="7"/>
      <c r="L35" s="7">
        <f t="shared" si="4"/>
        <v>58.034399778523913</v>
      </c>
      <c r="M35" s="7">
        <f t="shared" si="5"/>
        <v>191.47258984173141</v>
      </c>
    </row>
    <row r="36" spans="3:13" x14ac:dyDescent="0.25">
      <c r="C36">
        <v>9</v>
      </c>
      <c r="D36" s="7">
        <f>30.6745  *60</f>
        <v>1840.4699999999998</v>
      </c>
      <c r="E36" s="7">
        <f>8.24611  *60</f>
        <v>494.76659999999998</v>
      </c>
      <c r="F36" s="7"/>
      <c r="G36" s="7"/>
      <c r="H36" s="7">
        <f>DGXvsK40C_v2!E15</f>
        <v>31.742799999999999</v>
      </c>
      <c r="I36" s="7">
        <f>DGXvsK40C_v2!F15</f>
        <v>2.5760999999999998</v>
      </c>
      <c r="J36" s="7">
        <f t="shared" si="3"/>
        <v>3.7198751896348701</v>
      </c>
      <c r="K36" s="7"/>
      <c r="L36" s="7">
        <f t="shared" si="4"/>
        <v>57.980707436016985</v>
      </c>
      <c r="M36" s="7">
        <f t="shared" si="5"/>
        <v>192.06032374519623</v>
      </c>
    </row>
    <row r="37" spans="3:13" x14ac:dyDescent="0.25">
      <c r="C37">
        <v>10</v>
      </c>
      <c r="D37" s="7">
        <f>34.0903  *60</f>
        <v>2045.4179999999999</v>
      </c>
      <c r="E37" s="7">
        <f>8.97951  *60</f>
        <v>538.77059999999994</v>
      </c>
      <c r="F37" s="7"/>
      <c r="G37" s="7"/>
      <c r="H37" s="7">
        <f>DGXvsK40C_v2!E16</f>
        <v>35.270899999999997</v>
      </c>
      <c r="I37" s="7">
        <f>DGXvsK40C_v2!F16</f>
        <v>2.85731</v>
      </c>
      <c r="J37" s="7">
        <f t="shared" si="3"/>
        <v>3.7964543722318926</v>
      </c>
      <c r="K37" s="7"/>
      <c r="L37" s="7">
        <f t="shared" si="4"/>
        <v>57.991658846244356</v>
      </c>
      <c r="M37" s="7">
        <f t="shared" si="5"/>
        <v>188.55867931725993</v>
      </c>
    </row>
    <row r="38" spans="3:13" x14ac:dyDescent="0.25">
      <c r="C38">
        <v>11</v>
      </c>
      <c r="D38" s="7">
        <f>37.4842  *60</f>
        <v>2249.0520000000001</v>
      </c>
      <c r="E38" s="7">
        <f>12.2695  *60</f>
        <v>736.17000000000007</v>
      </c>
      <c r="F38" s="7"/>
      <c r="G38" s="7"/>
      <c r="H38" s="7">
        <f>DGXvsK40C_v2!E17</f>
        <v>38.804200000000002</v>
      </c>
      <c r="I38" s="7">
        <f>DGXvsK40C_v2!F17</f>
        <v>3.1236100000000002</v>
      </c>
      <c r="J38" s="7">
        <f t="shared" si="3"/>
        <v>3.0550715188067974</v>
      </c>
      <c r="K38" s="7"/>
      <c r="L38" s="7">
        <f t="shared" si="4"/>
        <v>57.958983821338926</v>
      </c>
      <c r="M38" s="7">
        <f t="shared" si="5"/>
        <v>235.67923012155808</v>
      </c>
    </row>
    <row r="39" spans="3:13" x14ac:dyDescent="0.25">
      <c r="C39">
        <v>12</v>
      </c>
      <c r="D39" s="7">
        <f>40.8883  *60</f>
        <v>2453.2980000000002</v>
      </c>
      <c r="E39" s="7">
        <f>13.4235  *60</f>
        <v>805.41000000000008</v>
      </c>
      <c r="F39" s="7"/>
      <c r="G39" s="7"/>
      <c r="H39" s="7">
        <f>DGXvsK40C_v2!E18</f>
        <v>42.331499999999998</v>
      </c>
      <c r="I39" s="7">
        <f>DGXvsK40C_v2!F18</f>
        <v>3.4259499999999998</v>
      </c>
      <c r="J39" s="7">
        <f t="shared" si="3"/>
        <v>3.0460237642939623</v>
      </c>
      <c r="K39" s="7"/>
      <c r="L39" s="7">
        <f t="shared" si="4"/>
        <v>57.954431097409739</v>
      </c>
      <c r="M39" s="7">
        <f t="shared" si="5"/>
        <v>235.09099665786135</v>
      </c>
    </row>
    <row r="40" spans="3:13" x14ac:dyDescent="0.25">
      <c r="C40">
        <v>13</v>
      </c>
      <c r="D40" s="7">
        <f>44.3787  *60</f>
        <v>2662.7220000000002</v>
      </c>
      <c r="E40" s="7">
        <f>12.0233  *60</f>
        <v>721.39800000000002</v>
      </c>
      <c r="F40" s="7"/>
      <c r="G40" s="7"/>
      <c r="H40" s="7">
        <f>DGXvsK40C_v2!E19</f>
        <v>45.859900000000003</v>
      </c>
      <c r="I40" s="7">
        <f>DGXvsK40C_v2!F19</f>
        <v>3.6825999999999999</v>
      </c>
      <c r="J40" s="7">
        <f t="shared" si="3"/>
        <v>3.6910581953373867</v>
      </c>
      <c r="K40" s="7"/>
      <c r="L40" s="7">
        <f t="shared" si="4"/>
        <v>58.06209782402491</v>
      </c>
      <c r="M40" s="7">
        <f t="shared" si="5"/>
        <v>195.89366208656929</v>
      </c>
    </row>
    <row r="41" spans="3:13" x14ac:dyDescent="0.25">
      <c r="C41">
        <v>14</v>
      </c>
      <c r="D41" s="7">
        <f>47.8079  *60</f>
        <v>2868.4739999999997</v>
      </c>
      <c r="E41" s="7">
        <f>12.7372  *60</f>
        <v>764.23199999999997</v>
      </c>
      <c r="F41" s="7"/>
      <c r="G41" s="7"/>
      <c r="H41" s="7">
        <f>DGXvsK40C_v2!E20</f>
        <v>49.391300000000001</v>
      </c>
      <c r="I41" s="7">
        <f>DGXvsK40C_v2!F20</f>
        <v>3.9674200000000002</v>
      </c>
      <c r="J41" s="7">
        <f t="shared" si="3"/>
        <v>3.753407342273027</v>
      </c>
      <c r="K41" s="7"/>
      <c r="L41" s="7">
        <f t="shared" si="4"/>
        <v>58.076503351804867</v>
      </c>
      <c r="M41" s="7">
        <f t="shared" si="5"/>
        <v>192.62694647907202</v>
      </c>
    </row>
    <row r="42" spans="3:13" x14ac:dyDescent="0.25">
      <c r="C42">
        <v>15</v>
      </c>
      <c r="D42" s="7">
        <f>51.3013  *60</f>
        <v>3078.078</v>
      </c>
      <c r="E42" s="7">
        <f>13.5828  *60</f>
        <v>814.96800000000007</v>
      </c>
      <c r="F42" s="7"/>
      <c r="G42" s="7"/>
      <c r="H42" s="7">
        <f>DGXvsK40C_v2!E21</f>
        <v>52.924799999999998</v>
      </c>
      <c r="I42" s="7">
        <f>DGXvsK40C_v2!F21</f>
        <v>4.2510199999999996</v>
      </c>
      <c r="J42" s="7">
        <f t="shared" si="3"/>
        <v>3.7769311187678531</v>
      </c>
      <c r="K42" s="7"/>
      <c r="L42" s="7">
        <f t="shared" si="4"/>
        <v>58.159463994195541</v>
      </c>
      <c r="M42" s="7">
        <f t="shared" si="5"/>
        <v>191.71116579079847</v>
      </c>
    </row>
    <row r="43" spans="3:13" x14ac:dyDescent="0.25">
      <c r="C43">
        <v>16</v>
      </c>
      <c r="D43" s="7">
        <f>54.801   *60</f>
        <v>3288.06</v>
      </c>
      <c r="E43" s="7">
        <f>14.5327  *60</f>
        <v>871.96199999999999</v>
      </c>
      <c r="F43" s="7"/>
      <c r="G43" s="7"/>
      <c r="H43" s="7">
        <f>DGXvsK40C_v2!E22</f>
        <v>56.455599999999997</v>
      </c>
      <c r="I43" s="7">
        <f>DGXvsK40C_v2!F22</f>
        <v>4.5599499999999997</v>
      </c>
      <c r="J43" s="7">
        <f t="shared" si="3"/>
        <v>3.7708753363105272</v>
      </c>
      <c r="K43" s="7"/>
      <c r="L43" s="7">
        <f t="shared" si="4"/>
        <v>58.241520770304454</v>
      </c>
      <c r="M43" s="7">
        <f t="shared" si="5"/>
        <v>191.22183357273656</v>
      </c>
    </row>
    <row r="44" spans="3:13" x14ac:dyDescent="0.25">
      <c r="C44">
        <v>17</v>
      </c>
      <c r="D44" s="7">
        <f>58.2334  *60</f>
        <v>3494.0040000000004</v>
      </c>
      <c r="E44" s="7">
        <f>15.6382  *60</f>
        <v>938.29199999999992</v>
      </c>
      <c r="F44" s="7"/>
      <c r="G44" s="7"/>
      <c r="H44" s="7">
        <f>DGXvsK40C_v2!E23</f>
        <v>59.9848</v>
      </c>
      <c r="I44" s="7">
        <f>DGXvsK40C_v2!F23</f>
        <v>4.8071299999999999</v>
      </c>
      <c r="J44" s="7">
        <f t="shared" si="3"/>
        <v>3.7237917407374259</v>
      </c>
      <c r="K44" s="7"/>
      <c r="L44" s="7">
        <f t="shared" si="4"/>
        <v>58.248156199570566</v>
      </c>
      <c r="M44" s="7">
        <f t="shared" si="5"/>
        <v>195.18756513761849</v>
      </c>
    </row>
    <row r="45" spans="3:13" x14ac:dyDescent="0.25">
      <c r="C45">
        <v>18</v>
      </c>
      <c r="D45" s="7">
        <f>61.7304  *60</f>
        <v>3703.8240000000001</v>
      </c>
      <c r="E45" s="7">
        <f>20.2394*60</f>
        <v>1214.364</v>
      </c>
      <c r="F45" s="7"/>
      <c r="G45" s="7"/>
      <c r="H45" s="7">
        <f>DGXvsK40C_v2!E24</f>
        <v>63.519199999999998</v>
      </c>
      <c r="I45" s="7">
        <f>DGXvsK40C_v2!F24</f>
        <v>5.0861599999999996</v>
      </c>
      <c r="J45" s="7">
        <f t="shared" si="3"/>
        <v>3.0500113639732405</v>
      </c>
      <c r="K45" s="7"/>
      <c r="L45" s="7">
        <f t="shared" si="4"/>
        <v>58.310306175140745</v>
      </c>
      <c r="M45" s="7">
        <f t="shared" si="5"/>
        <v>238.75851329883452</v>
      </c>
    </row>
    <row r="47" spans="3:13" x14ac:dyDescent="0.25">
      <c r="C47" t="s">
        <v>11</v>
      </c>
      <c r="D47" s="18" t="s">
        <v>52</v>
      </c>
      <c r="E47" s="18"/>
      <c r="F47" t="s">
        <v>53</v>
      </c>
      <c r="H47" t="s">
        <v>45</v>
      </c>
      <c r="I47" t="s">
        <v>46</v>
      </c>
      <c r="J47" t="s">
        <v>55</v>
      </c>
    </row>
    <row r="48" spans="3:13" x14ac:dyDescent="0.25">
      <c r="C48" t="s">
        <v>5</v>
      </c>
      <c r="D48" t="s">
        <v>12</v>
      </c>
      <c r="E48" t="s">
        <v>13</v>
      </c>
      <c r="F48" t="s">
        <v>12</v>
      </c>
      <c r="G48" t="s">
        <v>13</v>
      </c>
      <c r="H48" t="s">
        <v>54</v>
      </c>
      <c r="I48" t="s">
        <v>54</v>
      </c>
      <c r="J48" t="s">
        <v>13</v>
      </c>
      <c r="K48" t="s">
        <v>13</v>
      </c>
      <c r="L48" t="s">
        <v>45</v>
      </c>
      <c r="M48" t="s">
        <v>46</v>
      </c>
    </row>
    <row r="49" spans="3:13" x14ac:dyDescent="0.25">
      <c r="C49">
        <v>1</v>
      </c>
      <c r="D49" s="7">
        <f>1.6315  *60</f>
        <v>97.89</v>
      </c>
      <c r="E49" s="7">
        <f>0.459331*60</f>
        <v>27.55986</v>
      </c>
      <c r="F49" s="7"/>
      <c r="G49" s="7"/>
      <c r="H49" s="7">
        <f>DGXvsK40C_v2!B7</f>
        <v>1.77094</v>
      </c>
      <c r="I49" s="7">
        <f>DGXvsK40C_v2!C7</f>
        <v>0.19178500000000001</v>
      </c>
      <c r="J49" s="7">
        <f>D49/E49</f>
        <v>3.5519048355107756</v>
      </c>
      <c r="K49" s="7"/>
      <c r="L49" s="7">
        <f>D49/H49</f>
        <v>55.275729273719044</v>
      </c>
      <c r="M49" s="7">
        <f>E49/I49</f>
        <v>143.7018536381886</v>
      </c>
    </row>
    <row r="50" spans="3:13" x14ac:dyDescent="0.25">
      <c r="C50">
        <v>2</v>
      </c>
      <c r="D50" s="7">
        <f>3.24534 *60</f>
        <v>194.72040000000001</v>
      </c>
      <c r="E50" s="7">
        <f>0.885041*60</f>
        <v>53.102460000000001</v>
      </c>
      <c r="F50" s="7"/>
      <c r="G50" s="7"/>
      <c r="H50" s="7">
        <f>DGXvsK40C_v2!B8</f>
        <v>3.4367700000000001</v>
      </c>
      <c r="I50" s="7">
        <f>DGXvsK40C_v2!C8</f>
        <v>0.32598700000000003</v>
      </c>
      <c r="J50" s="7">
        <f t="shared" ref="J50:J66" si="6">D50/E50</f>
        <v>3.6668809693562223</v>
      </c>
      <c r="K50" s="7"/>
      <c r="L50" s="7">
        <f t="shared" ref="L50:L66" si="7">D50/H50</f>
        <v>56.657966637278612</v>
      </c>
      <c r="M50" s="7">
        <f t="shared" ref="M50:M66" si="8">E50/I50</f>
        <v>162.89747750677174</v>
      </c>
    </row>
    <row r="51" spans="3:13" x14ac:dyDescent="0.25">
      <c r="C51">
        <v>3</v>
      </c>
      <c r="D51" s="7">
        <f>4.88837 *60</f>
        <v>293.30220000000003</v>
      </c>
      <c r="E51" s="7">
        <f>1.35311 *60</f>
        <v>81.186599999999999</v>
      </c>
      <c r="F51" s="7"/>
      <c r="G51" s="7"/>
      <c r="H51" s="7">
        <f>DGXvsK40C_v2!B9</f>
        <v>5.1061100000000001</v>
      </c>
      <c r="I51" s="7">
        <f>DGXvsK40C_v2!C9</f>
        <v>0.46140799999999998</v>
      </c>
      <c r="J51" s="7">
        <f t="shared" si="6"/>
        <v>3.6126922423158505</v>
      </c>
      <c r="K51" s="7"/>
      <c r="L51" s="7">
        <f t="shared" si="7"/>
        <v>57.441418222482483</v>
      </c>
      <c r="M51" s="7">
        <f t="shared" si="8"/>
        <v>175.95403634093904</v>
      </c>
    </row>
    <row r="52" spans="3:13" x14ac:dyDescent="0.25">
      <c r="C52">
        <v>4</v>
      </c>
      <c r="D52" s="7">
        <f>6.48656 *60</f>
        <v>389.1936</v>
      </c>
      <c r="E52" s="7">
        <f>1.7934  *60</f>
        <v>107.60400000000001</v>
      </c>
      <c r="F52" s="7"/>
      <c r="G52" s="7"/>
      <c r="H52" s="7">
        <f>DGXvsK40C_v2!B10</f>
        <v>6.7772300000000003</v>
      </c>
      <c r="I52" s="7">
        <f>DGXvsK40C_v2!C10</f>
        <v>0.60230700000000004</v>
      </c>
      <c r="J52" s="7">
        <f t="shared" si="6"/>
        <v>3.616906434705029</v>
      </c>
      <c r="K52" s="7"/>
      <c r="L52" s="7">
        <f t="shared" si="7"/>
        <v>57.426647760220618</v>
      </c>
      <c r="M52" s="7">
        <f t="shared" si="8"/>
        <v>178.65307891158497</v>
      </c>
    </row>
    <row r="53" spans="3:13" x14ac:dyDescent="0.25">
      <c r="C53">
        <v>5</v>
      </c>
      <c r="D53" s="7">
        <f>8.14387 *60</f>
        <v>488.63220000000001</v>
      </c>
      <c r="E53" s="7">
        <f>2.2237  *60</f>
        <v>133.422</v>
      </c>
      <c r="F53" s="7"/>
      <c r="G53" s="7"/>
      <c r="H53" s="7">
        <f>DGXvsK40C_v2!B11</f>
        <v>8.4506300000000003</v>
      </c>
      <c r="I53" s="7">
        <f>DGXvsK40C_v2!C11</f>
        <v>0.76009300000000002</v>
      </c>
      <c r="J53" s="7">
        <f t="shared" si="6"/>
        <v>3.6623060664658005</v>
      </c>
      <c r="K53" s="7"/>
      <c r="L53" s="7">
        <f t="shared" si="7"/>
        <v>57.821984869767107</v>
      </c>
      <c r="M53" s="7">
        <f t="shared" si="8"/>
        <v>175.53378336598283</v>
      </c>
    </row>
    <row r="54" spans="3:13" x14ac:dyDescent="0.25">
      <c r="C54">
        <v>6</v>
      </c>
      <c r="D54" s="7">
        <f>9.82813 *60</f>
        <v>589.68780000000004</v>
      </c>
      <c r="E54" s="7">
        <f>2.69693 *60</f>
        <v>161.8158</v>
      </c>
      <c r="F54" s="7"/>
      <c r="G54" s="7"/>
      <c r="H54" s="7">
        <f>DGXvsK40C_v2!B12</f>
        <v>10.1256</v>
      </c>
      <c r="I54" s="7">
        <f>DGXvsK40C_v2!C12</f>
        <v>0.87836499999999995</v>
      </c>
      <c r="J54" s="7">
        <f t="shared" si="6"/>
        <v>3.6441917291142154</v>
      </c>
      <c r="K54" s="7"/>
      <c r="L54" s="7">
        <f t="shared" si="7"/>
        <v>58.237319269969191</v>
      </c>
      <c r="M54" s="7">
        <f t="shared" si="8"/>
        <v>184.2238704866428</v>
      </c>
    </row>
    <row r="55" spans="3:13" x14ac:dyDescent="0.25">
      <c r="C55">
        <v>7</v>
      </c>
      <c r="D55" s="7">
        <f>11.4747 *60</f>
        <v>688.48199999999997</v>
      </c>
      <c r="E55" s="7">
        <f>3.73024 *60</f>
        <v>223.81439999999998</v>
      </c>
      <c r="F55" s="7"/>
      <c r="G55" s="7"/>
      <c r="H55" s="7">
        <f>DGXvsK40C_v2!B13</f>
        <v>11.802199999999999</v>
      </c>
      <c r="I55" s="7">
        <f>DGXvsK40C_v2!C13</f>
        <v>1.01664</v>
      </c>
      <c r="J55" s="7">
        <f t="shared" si="6"/>
        <v>3.0761291498670329</v>
      </c>
      <c r="K55" s="7"/>
      <c r="L55" s="7">
        <f t="shared" si="7"/>
        <v>58.335056175967196</v>
      </c>
      <c r="M55" s="7">
        <f t="shared" si="8"/>
        <v>220.15108593012275</v>
      </c>
    </row>
    <row r="56" spans="3:13" x14ac:dyDescent="0.25">
      <c r="C56">
        <v>8</v>
      </c>
      <c r="D56" s="7">
        <f>13.2168 *60</f>
        <v>793.00799999999992</v>
      </c>
      <c r="E56" s="7">
        <f>4.12314 *60</f>
        <v>247.38840000000002</v>
      </c>
      <c r="F56" s="7"/>
      <c r="G56" s="7"/>
      <c r="H56" s="7">
        <f>DGXvsK40C_v2!B14</f>
        <v>13.4795</v>
      </c>
      <c r="I56" s="7">
        <f>DGXvsK40C_v2!C14</f>
        <v>1.1452</v>
      </c>
      <c r="J56" s="7">
        <f t="shared" si="6"/>
        <v>3.2055181245361539</v>
      </c>
      <c r="K56" s="7"/>
      <c r="L56" s="7">
        <f t="shared" si="7"/>
        <v>58.830668793352864</v>
      </c>
      <c r="M56" s="7">
        <f t="shared" si="8"/>
        <v>216.02200488997556</v>
      </c>
    </row>
    <row r="57" spans="3:13" x14ac:dyDescent="0.25">
      <c r="C57">
        <v>9</v>
      </c>
      <c r="D57" s="7">
        <f>14.9593 *60</f>
        <v>897.55799999999999</v>
      </c>
      <c r="E57" s="7">
        <f>4.00056 *60</f>
        <v>240.03360000000001</v>
      </c>
      <c r="F57" s="7"/>
      <c r="G57" s="7"/>
      <c r="H57" s="7">
        <f>DGXvsK40C_v2!B15</f>
        <v>15.154999999999999</v>
      </c>
      <c r="I57" s="7">
        <f>DGXvsK40C_v2!C15</f>
        <v>1.2889600000000001</v>
      </c>
      <c r="J57" s="7">
        <f t="shared" si="6"/>
        <v>3.7393014977903092</v>
      </c>
      <c r="K57" s="7"/>
      <c r="L57" s="7">
        <f t="shared" si="7"/>
        <v>59.225206202573411</v>
      </c>
      <c r="M57" s="7">
        <f t="shared" si="8"/>
        <v>186.22269116186692</v>
      </c>
    </row>
    <row r="58" spans="3:13" x14ac:dyDescent="0.25">
      <c r="C58">
        <v>10</v>
      </c>
      <c r="D58" s="7">
        <f>16.6893 *60</f>
        <v>1001.3579999999999</v>
      </c>
      <c r="E58" s="7">
        <f>4.42221 *60</f>
        <v>265.33259999999996</v>
      </c>
      <c r="F58" s="7"/>
      <c r="G58" s="7"/>
      <c r="H58" s="7">
        <f>DGXvsK40C_v2!B16</f>
        <v>16.832999999999998</v>
      </c>
      <c r="I58" s="7">
        <f>DGXvsK40C_v2!C16</f>
        <v>1.4297</v>
      </c>
      <c r="J58" s="7">
        <f t="shared" si="6"/>
        <v>3.7739727421357201</v>
      </c>
      <c r="K58" s="7"/>
      <c r="L58" s="7">
        <f t="shared" si="7"/>
        <v>59.487791837462133</v>
      </c>
      <c r="M58" s="7">
        <f t="shared" si="8"/>
        <v>185.58620689655169</v>
      </c>
    </row>
    <row r="59" spans="3:13" x14ac:dyDescent="0.25">
      <c r="C59">
        <v>11</v>
      </c>
      <c r="D59" s="7">
        <f>18.4369 *60</f>
        <v>1106.2140000000002</v>
      </c>
      <c r="E59" s="7">
        <f>5.67956 *60</f>
        <v>340.77360000000004</v>
      </c>
      <c r="F59" s="7"/>
      <c r="G59" s="7"/>
      <c r="H59" s="7">
        <f>DGXvsK40C_v2!B17</f>
        <v>18.511500000000002</v>
      </c>
      <c r="I59" s="7">
        <f>DGXvsK40C_v2!C17</f>
        <v>1.5581799999999999</v>
      </c>
      <c r="J59" s="7">
        <f t="shared" si="6"/>
        <v>3.2461845635929545</v>
      </c>
      <c r="K59" s="7"/>
      <c r="L59" s="7">
        <f t="shared" si="7"/>
        <v>59.758204359452236</v>
      </c>
      <c r="M59" s="7">
        <f t="shared" si="8"/>
        <v>218.69976511057777</v>
      </c>
    </row>
    <row r="60" spans="3:13" x14ac:dyDescent="0.25">
      <c r="C60">
        <v>12</v>
      </c>
      <c r="D60" s="7">
        <f>20.1668 *60</f>
        <v>1210.0079999999998</v>
      </c>
      <c r="E60" s="7">
        <f>5.32025 *60</f>
        <v>319.21499999999997</v>
      </c>
      <c r="F60" s="7"/>
      <c r="G60" s="7"/>
      <c r="H60" s="7">
        <f>DGXvsK40C_v2!B18</f>
        <v>20.1889</v>
      </c>
      <c r="I60" s="7">
        <f>DGXvsK40C_v2!C18</f>
        <v>1.7178100000000001</v>
      </c>
      <c r="J60" s="7">
        <f t="shared" si="6"/>
        <v>3.7905737512334943</v>
      </c>
      <c r="K60" s="7"/>
      <c r="L60" s="7">
        <f t="shared" si="7"/>
        <v>59.934320344347626</v>
      </c>
      <c r="M60" s="7">
        <f t="shared" si="8"/>
        <v>185.82672123226664</v>
      </c>
    </row>
    <row r="61" spans="3:13" x14ac:dyDescent="0.25">
      <c r="C61">
        <v>13</v>
      </c>
      <c r="D61" s="7">
        <f>21.8811 *60</f>
        <v>1312.866</v>
      </c>
      <c r="E61" s="7">
        <f>5.75115 *60</f>
        <v>345.06900000000002</v>
      </c>
      <c r="F61" s="7"/>
      <c r="G61" s="7"/>
      <c r="H61" s="7">
        <f>DGXvsK40C_v2!B19</f>
        <v>21.866399999999999</v>
      </c>
      <c r="I61" s="7">
        <f>DGXvsK40C_v2!C19</f>
        <v>1.83104</v>
      </c>
      <c r="J61" s="7">
        <f t="shared" si="6"/>
        <v>3.8046477660989537</v>
      </c>
      <c r="K61" s="7"/>
      <c r="L61" s="7">
        <f t="shared" si="7"/>
        <v>60.040335857754364</v>
      </c>
      <c r="M61" s="7">
        <f t="shared" si="8"/>
        <v>188.45519486193641</v>
      </c>
    </row>
    <row r="62" spans="3:13" x14ac:dyDescent="0.25">
      <c r="C62">
        <v>14</v>
      </c>
      <c r="D62" s="7">
        <f>23.607  *60</f>
        <v>1416.42</v>
      </c>
      <c r="E62" s="7">
        <f>6.13014 *60</f>
        <v>367.80840000000001</v>
      </c>
      <c r="F62" s="7"/>
      <c r="G62" s="7"/>
      <c r="H62" s="7">
        <f>DGXvsK40C_v2!B20</f>
        <v>23.5444</v>
      </c>
      <c r="I62" s="7">
        <f>DGXvsK40C_v2!C20</f>
        <v>1.9677899999999999</v>
      </c>
      <c r="J62" s="7">
        <f t="shared" si="6"/>
        <v>3.8509724084604922</v>
      </c>
      <c r="K62" s="7"/>
      <c r="L62" s="7">
        <f t="shared" si="7"/>
        <v>60.159528380421676</v>
      </c>
      <c r="M62" s="7">
        <f t="shared" si="8"/>
        <v>186.9144573353864</v>
      </c>
    </row>
    <row r="63" spans="3:13" x14ac:dyDescent="0.25">
      <c r="C63">
        <v>15</v>
      </c>
      <c r="D63" s="7">
        <f>25.3134 *60</f>
        <v>1518.8040000000001</v>
      </c>
      <c r="E63" s="7">
        <f>6.61069 *60</f>
        <v>396.64139999999998</v>
      </c>
      <c r="F63" s="7"/>
      <c r="G63" s="7"/>
      <c r="H63" s="7">
        <f>DGXvsK40C_v2!B21</f>
        <v>25.220500000000001</v>
      </c>
      <c r="I63" s="7">
        <f>DGXvsK40C_v2!C21</f>
        <v>2.1125600000000002</v>
      </c>
      <c r="J63" s="7">
        <f t="shared" si="6"/>
        <v>3.8291615549965288</v>
      </c>
      <c r="K63" s="7"/>
      <c r="L63" s="7">
        <f t="shared" si="7"/>
        <v>60.221010685751672</v>
      </c>
      <c r="M63" s="7">
        <f t="shared" si="8"/>
        <v>187.7539099481198</v>
      </c>
    </row>
    <row r="64" spans="3:13" x14ac:dyDescent="0.25">
      <c r="C64">
        <v>16</v>
      </c>
      <c r="D64" s="7">
        <f>26.9619 *60</f>
        <v>1617.7139999999999</v>
      </c>
      <c r="E64" s="7">
        <f>8.56787 *60</f>
        <v>514.07219999999995</v>
      </c>
      <c r="F64" s="7"/>
      <c r="G64" s="7"/>
      <c r="H64" s="7">
        <f>DGXvsK40C_v2!B22</f>
        <v>26.8993</v>
      </c>
      <c r="I64" s="7">
        <f>DGXvsK40C_v2!C22</f>
        <v>2.2855799999999999</v>
      </c>
      <c r="J64" s="7">
        <f t="shared" si="6"/>
        <v>3.146861471987787</v>
      </c>
      <c r="K64" s="7"/>
      <c r="L64" s="7">
        <f t="shared" si="7"/>
        <v>60.139631886331614</v>
      </c>
      <c r="M64" s="7">
        <f t="shared" si="8"/>
        <v>224.91980153834035</v>
      </c>
    </row>
    <row r="65" spans="3:13" x14ac:dyDescent="0.25">
      <c r="C65">
        <v>17</v>
      </c>
      <c r="D65" s="7">
        <f>28.6446 *60</f>
        <v>1718.6759999999999</v>
      </c>
      <c r="E65" s="7">
        <f>7.50319 *60</f>
        <v>450.19139999999999</v>
      </c>
      <c r="F65" s="7"/>
      <c r="G65" s="7"/>
      <c r="H65" s="7">
        <f>DGXvsK40C_v2!B23</f>
        <v>28.576499999999999</v>
      </c>
      <c r="I65" s="7">
        <f>DGXvsK40C_v2!C23</f>
        <v>2.3813300000000002</v>
      </c>
      <c r="J65" s="7">
        <f t="shared" si="6"/>
        <v>3.8176562235529152</v>
      </c>
      <c r="K65" s="7"/>
      <c r="L65" s="7">
        <f t="shared" si="7"/>
        <v>60.14298462022991</v>
      </c>
      <c r="M65" s="7">
        <f t="shared" si="8"/>
        <v>189.0504046058295</v>
      </c>
    </row>
    <row r="66" spans="3:13" x14ac:dyDescent="0.25">
      <c r="C66">
        <v>18</v>
      </c>
      <c r="D66" s="7">
        <f>30.3385 *60</f>
        <v>1820.31</v>
      </c>
      <c r="E66" s="7">
        <f>9.71413 *60</f>
        <v>582.84780000000001</v>
      </c>
      <c r="F66" s="7"/>
      <c r="G66" s="7"/>
      <c r="H66" s="7">
        <f>DGXvsK40C_v2!B24</f>
        <v>30.253699999999998</v>
      </c>
      <c r="I66" s="7">
        <f>DGXvsK40C_v2!C24</f>
        <v>2.51973</v>
      </c>
      <c r="J66" s="7">
        <f t="shared" si="6"/>
        <v>3.1231309443048425</v>
      </c>
      <c r="K66" s="7"/>
      <c r="L66" s="7">
        <f t="shared" si="7"/>
        <v>60.168177776602533</v>
      </c>
      <c r="M66" s="7">
        <f t="shared" si="8"/>
        <v>231.31359312307271</v>
      </c>
    </row>
  </sheetData>
  <mergeCells count="3">
    <mergeCell ref="D2:E2"/>
    <mergeCell ref="D26:E26"/>
    <mergeCell ref="D47:E4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2BB0-662C-4AAC-BA92-54BA7F4CC1DF}">
  <dimension ref="A1:I10"/>
  <sheetViews>
    <sheetView workbookViewId="0">
      <selection activeCell="I7" sqref="I7:I10"/>
    </sheetView>
  </sheetViews>
  <sheetFormatPr baseColWidth="10" defaultRowHeight="15" x14ac:dyDescent="0.25"/>
  <sheetData>
    <row r="1" spans="1:9" x14ac:dyDescent="0.25">
      <c r="A1" t="s">
        <v>59</v>
      </c>
      <c r="I1" t="s">
        <v>66</v>
      </c>
    </row>
    <row r="2" spans="1:9" x14ac:dyDescent="0.25">
      <c r="A2" t="s">
        <v>60</v>
      </c>
      <c r="I2" t="s">
        <v>67</v>
      </c>
    </row>
    <row r="3" spans="1:9" x14ac:dyDescent="0.25">
      <c r="A3" t="s">
        <v>61</v>
      </c>
      <c r="I3" t="s">
        <v>68</v>
      </c>
    </row>
    <row r="4" spans="1:9" x14ac:dyDescent="0.25">
      <c r="A4" t="s">
        <v>62</v>
      </c>
      <c r="I4" t="s">
        <v>69</v>
      </c>
    </row>
    <row r="7" spans="1:9" x14ac:dyDescent="0.25">
      <c r="A7" t="s">
        <v>63</v>
      </c>
      <c r="I7" t="s">
        <v>70</v>
      </c>
    </row>
    <row r="8" spans="1:9" x14ac:dyDescent="0.25">
      <c r="A8" t="s">
        <v>64</v>
      </c>
      <c r="I8" t="s">
        <v>71</v>
      </c>
    </row>
    <row r="9" spans="1:9" x14ac:dyDescent="0.25">
      <c r="A9" t="s">
        <v>65</v>
      </c>
      <c r="I9" t="s">
        <v>72</v>
      </c>
    </row>
    <row r="10" spans="1:9" x14ac:dyDescent="0.25">
      <c r="I10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D12" sqref="D12"/>
    </sheetView>
  </sheetViews>
  <sheetFormatPr baseColWidth="10" defaultRowHeight="15" x14ac:dyDescent="0.25"/>
  <sheetData>
    <row r="1" spans="1:10" x14ac:dyDescent="0.25">
      <c r="B1" s="18" t="s">
        <v>4</v>
      </c>
      <c r="C1" s="18"/>
      <c r="D1" s="18"/>
      <c r="E1" s="2"/>
      <c r="F1" s="3"/>
      <c r="G1" s="3"/>
      <c r="H1" s="2"/>
      <c r="I1" s="3"/>
      <c r="J1" s="3"/>
    </row>
    <row r="2" spans="1:10" x14ac:dyDescent="0.25">
      <c r="A2" t="s">
        <v>5</v>
      </c>
      <c r="B2" t="s">
        <v>9</v>
      </c>
      <c r="C2" t="s">
        <v>10</v>
      </c>
      <c r="D2" t="s">
        <v>11</v>
      </c>
    </row>
    <row r="3" spans="1:10" x14ac:dyDescent="0.25">
      <c r="A3" s="1">
        <v>1</v>
      </c>
      <c r="B3" s="6">
        <v>9.8930299999999995</v>
      </c>
      <c r="C3" s="6">
        <v>5.3929499999999999</v>
      </c>
      <c r="D3" s="7">
        <v>2.63435</v>
      </c>
      <c r="E3" s="7">
        <f t="shared" ref="E3:E20" si="0">SUM(B3:D3)</f>
        <v>17.92033</v>
      </c>
      <c r="F3" s="7">
        <f>E3</f>
        <v>17.92033</v>
      </c>
    </row>
    <row r="4" spans="1:10" x14ac:dyDescent="0.25">
      <c r="A4">
        <v>2</v>
      </c>
      <c r="B4" s="7">
        <v>19.8828</v>
      </c>
      <c r="C4" s="7">
        <v>10.882199999999999</v>
      </c>
      <c r="D4" s="7">
        <v>5.3143500000000001</v>
      </c>
      <c r="E4" s="7">
        <f t="shared" si="0"/>
        <v>36.079349999999998</v>
      </c>
      <c r="F4" s="7">
        <f>F3+E4</f>
        <v>53.999679999999998</v>
      </c>
    </row>
    <row r="5" spans="1:10" x14ac:dyDescent="0.25">
      <c r="A5" s="1">
        <v>3</v>
      </c>
      <c r="B5" s="7">
        <v>29.951599999999999</v>
      </c>
      <c r="C5" s="7">
        <v>16.345400000000001</v>
      </c>
      <c r="D5" s="7">
        <v>7.9267200000000004</v>
      </c>
      <c r="E5" s="7">
        <f t="shared" si="0"/>
        <v>54.22372</v>
      </c>
      <c r="F5" s="7">
        <f>F4+E5</f>
        <v>108.2234</v>
      </c>
    </row>
    <row r="6" spans="1:10" x14ac:dyDescent="0.25">
      <c r="A6">
        <v>4</v>
      </c>
      <c r="B6" s="7">
        <v>39.752099999999999</v>
      </c>
      <c r="C6" s="7">
        <v>21.7575</v>
      </c>
      <c r="D6" s="7">
        <v>10.601900000000001</v>
      </c>
      <c r="E6" s="7">
        <f t="shared" si="0"/>
        <v>72.111500000000007</v>
      </c>
      <c r="F6" s="7">
        <f t="shared" ref="F6:F20" si="1">F5+E6</f>
        <v>180.3349</v>
      </c>
    </row>
    <row r="7" spans="1:10" x14ac:dyDescent="0.25">
      <c r="A7" s="1">
        <v>5</v>
      </c>
      <c r="B7" s="7">
        <v>46.466200000000001</v>
      </c>
      <c r="C7" s="7">
        <v>27.542300000000001</v>
      </c>
      <c r="D7" s="7">
        <v>13.3506</v>
      </c>
      <c r="E7" s="7">
        <f t="shared" si="0"/>
        <v>87.359099999999998</v>
      </c>
      <c r="F7" s="7">
        <f t="shared" si="1"/>
        <v>267.69400000000002</v>
      </c>
    </row>
    <row r="8" spans="1:10" x14ac:dyDescent="0.25">
      <c r="A8">
        <v>6</v>
      </c>
      <c r="B8" s="7">
        <v>55.567599999999999</v>
      </c>
      <c r="C8" s="7">
        <v>32.863799999999998</v>
      </c>
      <c r="D8" s="7">
        <v>15.918799999999999</v>
      </c>
      <c r="E8" s="7">
        <f t="shared" si="0"/>
        <v>104.3502</v>
      </c>
      <c r="F8" s="7">
        <f t="shared" si="1"/>
        <v>372.04420000000005</v>
      </c>
    </row>
    <row r="9" spans="1:10" x14ac:dyDescent="0.25">
      <c r="A9" s="1">
        <v>7</v>
      </c>
      <c r="B9" s="7">
        <v>65.112700000000004</v>
      </c>
      <c r="C9" s="7">
        <v>38.741599999999998</v>
      </c>
      <c r="D9" s="7">
        <v>18.689599999999999</v>
      </c>
      <c r="E9" s="7">
        <f t="shared" si="0"/>
        <v>122.54389999999999</v>
      </c>
      <c r="F9" s="7">
        <f t="shared" si="1"/>
        <v>494.58810000000005</v>
      </c>
    </row>
    <row r="10" spans="1:10" x14ac:dyDescent="0.25">
      <c r="A10">
        <v>8</v>
      </c>
      <c r="B10" s="7">
        <v>74.447400000000002</v>
      </c>
      <c r="C10" s="7">
        <v>44.333399999999997</v>
      </c>
      <c r="D10" s="7">
        <v>21.46</v>
      </c>
      <c r="E10" s="7">
        <f t="shared" si="0"/>
        <v>140.24080000000001</v>
      </c>
      <c r="F10" s="7">
        <f t="shared" si="1"/>
        <v>634.82890000000009</v>
      </c>
    </row>
    <row r="11" spans="1:10" x14ac:dyDescent="0.25">
      <c r="A11" s="1">
        <v>9</v>
      </c>
      <c r="B11" s="7">
        <v>83.775400000000005</v>
      </c>
      <c r="C11" s="7">
        <v>49.981900000000003</v>
      </c>
      <c r="D11" s="7">
        <v>24.305</v>
      </c>
      <c r="E11" s="7">
        <f t="shared" si="0"/>
        <v>158.06230000000002</v>
      </c>
      <c r="F11" s="7">
        <f t="shared" si="1"/>
        <v>792.89120000000014</v>
      </c>
    </row>
    <row r="12" spans="1:10" x14ac:dyDescent="0.25">
      <c r="A12">
        <v>10</v>
      </c>
      <c r="B12" s="7">
        <v>92.400300000000001</v>
      </c>
      <c r="C12" s="7">
        <v>54.984699999999997</v>
      </c>
      <c r="D12" s="7">
        <v>26.872499999999999</v>
      </c>
      <c r="E12" s="7">
        <f t="shared" si="0"/>
        <v>174.25749999999999</v>
      </c>
      <c r="F12" s="7">
        <f t="shared" si="1"/>
        <v>967.14870000000019</v>
      </c>
    </row>
    <row r="13" spans="1:10" x14ac:dyDescent="0.25">
      <c r="A13">
        <v>11</v>
      </c>
      <c r="B13" s="7">
        <v>102.28</v>
      </c>
      <c r="C13" s="7">
        <v>60.719299999999997</v>
      </c>
      <c r="D13" s="7">
        <v>29.8004</v>
      </c>
      <c r="E13" s="7">
        <f t="shared" si="0"/>
        <v>192.7997</v>
      </c>
      <c r="F13" s="7">
        <f t="shared" si="1"/>
        <v>1159.9484000000002</v>
      </c>
    </row>
    <row r="14" spans="1:10" x14ac:dyDescent="0.25">
      <c r="A14">
        <v>12</v>
      </c>
      <c r="B14" s="6">
        <v>111.645</v>
      </c>
      <c r="C14" s="7">
        <v>66.219399999999993</v>
      </c>
      <c r="D14" s="7">
        <v>32.428800000000003</v>
      </c>
      <c r="E14" s="7">
        <f t="shared" si="0"/>
        <v>210.29319999999998</v>
      </c>
      <c r="F14" s="7">
        <f t="shared" si="1"/>
        <v>1370.2416000000003</v>
      </c>
    </row>
    <row r="15" spans="1:10" x14ac:dyDescent="0.25">
      <c r="A15">
        <v>13</v>
      </c>
      <c r="B15" s="6">
        <v>120.749</v>
      </c>
      <c r="C15" s="7">
        <v>71.639099999999999</v>
      </c>
      <c r="D15" s="7">
        <v>35.187800000000003</v>
      </c>
      <c r="E15" s="7">
        <f t="shared" si="0"/>
        <v>227.57590000000002</v>
      </c>
      <c r="F15" s="7">
        <f t="shared" si="1"/>
        <v>1597.8175000000003</v>
      </c>
    </row>
    <row r="16" spans="1:10" x14ac:dyDescent="0.25">
      <c r="A16">
        <v>14</v>
      </c>
      <c r="B16" s="7">
        <v>130.548</v>
      </c>
      <c r="C16" s="7">
        <v>77.427300000000002</v>
      </c>
      <c r="D16" s="7">
        <v>37.979799999999997</v>
      </c>
      <c r="E16" s="7">
        <f t="shared" si="0"/>
        <v>245.95510000000002</v>
      </c>
      <c r="F16" s="7">
        <f t="shared" si="1"/>
        <v>1843.7726000000002</v>
      </c>
    </row>
    <row r="17" spans="1:6" x14ac:dyDescent="0.25">
      <c r="A17">
        <v>15</v>
      </c>
      <c r="B17" s="6">
        <v>141.88300000000001</v>
      </c>
      <c r="C17" s="7">
        <v>82.786900000000003</v>
      </c>
      <c r="D17" s="7">
        <v>40.690800000000003</v>
      </c>
      <c r="E17" s="7">
        <f t="shared" si="0"/>
        <v>265.36070000000001</v>
      </c>
      <c r="F17" s="7">
        <f t="shared" si="1"/>
        <v>2109.1333000000004</v>
      </c>
    </row>
    <row r="18" spans="1:6" x14ac:dyDescent="0.25">
      <c r="A18">
        <v>16</v>
      </c>
      <c r="B18" s="6">
        <v>153.917</v>
      </c>
      <c r="C18" s="7">
        <v>88.739500000000007</v>
      </c>
      <c r="D18" s="7">
        <v>43.3491</v>
      </c>
      <c r="E18" s="7">
        <f t="shared" si="0"/>
        <v>286.00560000000002</v>
      </c>
      <c r="F18" s="7">
        <f t="shared" si="1"/>
        <v>2395.1389000000004</v>
      </c>
    </row>
    <row r="19" spans="1:6" x14ac:dyDescent="0.25">
      <c r="A19">
        <v>17</v>
      </c>
      <c r="B19" s="6">
        <v>163.57900000000001</v>
      </c>
      <c r="C19" s="7">
        <v>94.108500000000006</v>
      </c>
      <c r="D19" s="7">
        <v>46.1629</v>
      </c>
      <c r="E19" s="7">
        <f t="shared" si="0"/>
        <v>303.85039999999998</v>
      </c>
      <c r="F19" s="7">
        <f t="shared" si="1"/>
        <v>2698.9893000000002</v>
      </c>
    </row>
    <row r="20" spans="1:6" x14ac:dyDescent="0.25">
      <c r="A20">
        <v>18</v>
      </c>
      <c r="B20" s="6">
        <v>173.435</v>
      </c>
      <c r="C20" s="7">
        <v>99.572599999999994</v>
      </c>
      <c r="D20" s="7">
        <v>48.892400000000002</v>
      </c>
      <c r="E20" s="7">
        <f t="shared" si="0"/>
        <v>321.90000000000003</v>
      </c>
      <c r="F20" s="7">
        <f t="shared" si="1"/>
        <v>3020.8893000000003</v>
      </c>
    </row>
    <row r="21" spans="1:6" x14ac:dyDescent="0.25">
      <c r="E21" s="7">
        <f>SUM(E3:E20)</f>
        <v>3020.8893000000003</v>
      </c>
    </row>
    <row r="22" spans="1:6" x14ac:dyDescent="0.25">
      <c r="A22" t="s">
        <v>44</v>
      </c>
    </row>
  </sheetData>
  <mergeCells count="1">
    <mergeCell ref="B1:D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F1" workbookViewId="0">
      <selection activeCell="K14" sqref="K14"/>
    </sheetView>
  </sheetViews>
  <sheetFormatPr baseColWidth="10" defaultRowHeight="15" x14ac:dyDescent="0.25"/>
  <sheetData>
    <row r="1" spans="1:13" x14ac:dyDescent="0.25">
      <c r="B1" s="18" t="s">
        <v>2</v>
      </c>
      <c r="C1" s="18"/>
      <c r="D1" s="18"/>
      <c r="F1" s="18" t="s">
        <v>1</v>
      </c>
      <c r="G1" s="18"/>
      <c r="H1" s="18"/>
      <c r="J1" s="18" t="s">
        <v>0</v>
      </c>
      <c r="K1" s="18"/>
      <c r="L1" s="18"/>
    </row>
    <row r="2" spans="1:13" x14ac:dyDescent="0.25">
      <c r="A2" s="1" t="s">
        <v>5</v>
      </c>
      <c r="B2" s="18" t="s">
        <v>3</v>
      </c>
      <c r="C2" s="18"/>
      <c r="D2" s="18"/>
      <c r="E2" s="18"/>
      <c r="F2" s="18" t="s">
        <v>3</v>
      </c>
      <c r="G2" s="18"/>
      <c r="H2" s="18"/>
      <c r="I2" s="18"/>
      <c r="J2" s="18" t="s">
        <v>3</v>
      </c>
      <c r="K2" s="18"/>
      <c r="L2" s="18"/>
      <c r="M2" s="18"/>
    </row>
    <row r="3" spans="1:13" x14ac:dyDescent="0.25">
      <c r="B3">
        <v>2</v>
      </c>
      <c r="C3">
        <v>4</v>
      </c>
      <c r="D3">
        <v>6</v>
      </c>
      <c r="E3">
        <v>12</v>
      </c>
      <c r="F3">
        <v>2</v>
      </c>
      <c r="G3">
        <v>4</v>
      </c>
      <c r="H3">
        <v>6</v>
      </c>
      <c r="I3">
        <v>12</v>
      </c>
      <c r="J3">
        <v>2</v>
      </c>
      <c r="K3">
        <v>4</v>
      </c>
      <c r="L3">
        <v>6</v>
      </c>
      <c r="M3">
        <v>12</v>
      </c>
    </row>
    <row r="4" spans="1:13" x14ac:dyDescent="0.25">
      <c r="A4" s="1">
        <v>1</v>
      </c>
      <c r="B4" s="7">
        <v>1.4</v>
      </c>
      <c r="C4" s="17">
        <v>1.81</v>
      </c>
      <c r="D4" s="7">
        <v>0.73</v>
      </c>
      <c r="E4" s="7">
        <v>0.48</v>
      </c>
      <c r="F4" s="7">
        <v>2.86</v>
      </c>
      <c r="G4" s="17">
        <v>4.0199999999999996</v>
      </c>
      <c r="H4" s="7">
        <v>1.28</v>
      </c>
      <c r="I4" s="7">
        <v>1.1499999999999999</v>
      </c>
      <c r="J4" s="7">
        <v>8.98</v>
      </c>
      <c r="K4" s="17">
        <v>6.31</v>
      </c>
      <c r="L4" s="7">
        <v>2.2999999999999998</v>
      </c>
      <c r="M4" s="7">
        <v>1.77</v>
      </c>
    </row>
    <row r="5" spans="1:13" x14ac:dyDescent="0.25">
      <c r="A5" s="1">
        <v>2</v>
      </c>
      <c r="B5" s="7">
        <v>2.79</v>
      </c>
      <c r="C5" s="17">
        <v>4.3499999999999996</v>
      </c>
      <c r="D5" s="7">
        <v>1.5</v>
      </c>
      <c r="E5" s="7">
        <v>0.97</v>
      </c>
      <c r="F5" s="7">
        <v>5.71</v>
      </c>
      <c r="G5" s="17">
        <v>7.88</v>
      </c>
      <c r="H5" s="7">
        <v>2.57</v>
      </c>
      <c r="I5" s="7">
        <v>2</v>
      </c>
      <c r="J5" s="17">
        <v>22.58</v>
      </c>
      <c r="K5" s="17">
        <v>8.3699999999999992</v>
      </c>
      <c r="L5" s="7">
        <v>4.6100000000000003</v>
      </c>
      <c r="M5" s="7">
        <v>4.01</v>
      </c>
    </row>
    <row r="6" spans="1:13" x14ac:dyDescent="0.25">
      <c r="A6" s="1">
        <v>3</v>
      </c>
      <c r="B6" s="7">
        <v>4.21</v>
      </c>
      <c r="C6" s="17">
        <v>5.38</v>
      </c>
      <c r="D6" s="7">
        <v>2.5499999999999998</v>
      </c>
      <c r="E6" s="7">
        <v>1.5</v>
      </c>
      <c r="F6" s="7">
        <v>8.58</v>
      </c>
      <c r="G6" s="17">
        <v>9.9</v>
      </c>
      <c r="H6" s="7">
        <v>5.28</v>
      </c>
      <c r="I6" s="7">
        <v>3.02</v>
      </c>
      <c r="J6" s="17">
        <v>23.56</v>
      </c>
      <c r="K6" s="17">
        <v>21.02</v>
      </c>
      <c r="L6" s="7">
        <v>7.2</v>
      </c>
      <c r="M6" s="7">
        <v>5.35</v>
      </c>
    </row>
    <row r="7" spans="1:13" x14ac:dyDescent="0.25">
      <c r="A7" s="1">
        <v>4</v>
      </c>
      <c r="B7" s="7">
        <v>5.57</v>
      </c>
      <c r="C7" s="17">
        <v>4.87</v>
      </c>
      <c r="D7" s="7">
        <v>2.94</v>
      </c>
      <c r="E7" s="7">
        <v>1.93</v>
      </c>
      <c r="F7" s="7">
        <v>11.48</v>
      </c>
      <c r="G7" s="17">
        <v>14.31</v>
      </c>
      <c r="H7" s="7">
        <v>5.08</v>
      </c>
      <c r="I7" s="7">
        <v>4</v>
      </c>
      <c r="J7" s="17">
        <v>45.56</v>
      </c>
      <c r="K7" s="17">
        <v>24.47</v>
      </c>
      <c r="L7" s="7">
        <v>9.2200000000000006</v>
      </c>
      <c r="M7" s="7">
        <v>8.18</v>
      </c>
    </row>
    <row r="8" spans="1:13" x14ac:dyDescent="0.25">
      <c r="A8" s="1">
        <v>5</v>
      </c>
      <c r="B8" s="7">
        <v>7</v>
      </c>
      <c r="C8" s="17">
        <v>5.14</v>
      </c>
      <c r="D8" s="7">
        <v>3.71</v>
      </c>
      <c r="E8" s="7">
        <v>2.44</v>
      </c>
      <c r="F8" s="7">
        <v>14.45</v>
      </c>
      <c r="G8" s="17">
        <v>22.31</v>
      </c>
      <c r="H8" s="7">
        <v>6.43</v>
      </c>
      <c r="I8" s="7">
        <v>5.85</v>
      </c>
      <c r="J8" s="17">
        <v>52.11</v>
      </c>
      <c r="K8" s="17">
        <v>32.07</v>
      </c>
      <c r="L8" s="7">
        <v>11.52</v>
      </c>
      <c r="M8" s="7">
        <v>8.91</v>
      </c>
    </row>
    <row r="9" spans="1:13" x14ac:dyDescent="0.25">
      <c r="A9" s="1">
        <v>6</v>
      </c>
      <c r="B9" s="7">
        <v>8.3800000000000008</v>
      </c>
      <c r="C9" s="17">
        <v>11.85</v>
      </c>
      <c r="D9" s="7">
        <v>4.37</v>
      </c>
      <c r="E9" s="7">
        <v>3.42</v>
      </c>
      <c r="F9" s="7">
        <v>17.170000000000002</v>
      </c>
      <c r="G9" s="17">
        <v>20.76</v>
      </c>
      <c r="H9" s="7">
        <v>10.14</v>
      </c>
      <c r="I9" s="7">
        <v>6.1</v>
      </c>
      <c r="J9" s="17">
        <v>59.98</v>
      </c>
      <c r="K9" s="17">
        <v>36.57</v>
      </c>
      <c r="L9" s="7">
        <v>15.09</v>
      </c>
      <c r="M9" s="7">
        <v>10.67</v>
      </c>
    </row>
    <row r="10" spans="1:13" x14ac:dyDescent="0.25">
      <c r="A10" s="1">
        <v>7</v>
      </c>
      <c r="B10" s="7">
        <v>9.82</v>
      </c>
      <c r="C10" s="17">
        <v>14.32</v>
      </c>
      <c r="D10" s="7">
        <v>5.09</v>
      </c>
      <c r="E10" s="7">
        <v>3.4</v>
      </c>
      <c r="F10" s="7">
        <v>20.190000000000001</v>
      </c>
      <c r="G10" s="17">
        <v>26.22</v>
      </c>
      <c r="H10" s="7">
        <v>9</v>
      </c>
      <c r="I10" s="7">
        <v>7.01</v>
      </c>
      <c r="J10" s="17">
        <v>76.45</v>
      </c>
      <c r="K10" s="17">
        <v>48.36</v>
      </c>
      <c r="L10" s="7">
        <v>17.329999999999998</v>
      </c>
      <c r="M10" s="7">
        <v>14.32</v>
      </c>
    </row>
    <row r="11" spans="1:13" x14ac:dyDescent="0.25">
      <c r="A11" s="1">
        <v>8</v>
      </c>
      <c r="B11" s="7">
        <v>11.23</v>
      </c>
      <c r="C11" s="17">
        <v>16.649999999999999</v>
      </c>
      <c r="D11" s="7">
        <v>5.85</v>
      </c>
      <c r="E11" s="7">
        <v>4.5</v>
      </c>
      <c r="F11" s="7">
        <v>23.74</v>
      </c>
      <c r="G11" s="17">
        <v>27.79</v>
      </c>
      <c r="H11" s="7">
        <v>10.26</v>
      </c>
      <c r="I11" s="10">
        <v>8.01</v>
      </c>
      <c r="J11" s="17">
        <v>82.14</v>
      </c>
      <c r="K11" s="17">
        <v>52.71</v>
      </c>
      <c r="L11" s="7">
        <v>25.02</v>
      </c>
      <c r="M11" s="10">
        <v>14.38</v>
      </c>
    </row>
    <row r="12" spans="1:13" x14ac:dyDescent="0.25">
      <c r="A12" s="1">
        <v>9</v>
      </c>
      <c r="B12" s="7">
        <v>12.72</v>
      </c>
      <c r="C12" s="17">
        <v>14.99</v>
      </c>
      <c r="D12" s="7">
        <v>6.6</v>
      </c>
      <c r="E12" s="7">
        <v>4.34</v>
      </c>
      <c r="F12" s="7">
        <v>25.98</v>
      </c>
      <c r="G12" s="17">
        <v>29.38</v>
      </c>
      <c r="H12" s="7">
        <v>11.52</v>
      </c>
      <c r="I12" s="7">
        <v>9.1300000000000008</v>
      </c>
      <c r="J12" s="17">
        <v>92.88</v>
      </c>
      <c r="K12" s="17">
        <v>54.84</v>
      </c>
      <c r="L12" s="7">
        <v>20.67</v>
      </c>
      <c r="M12" s="7">
        <v>16.03</v>
      </c>
    </row>
    <row r="13" spans="1:13" x14ac:dyDescent="0.25">
      <c r="A13" s="1">
        <v>10</v>
      </c>
      <c r="B13" s="7">
        <v>14.07</v>
      </c>
      <c r="C13" s="17">
        <v>16.46</v>
      </c>
      <c r="D13" s="7">
        <v>8.18</v>
      </c>
      <c r="E13" s="7">
        <v>4.83</v>
      </c>
      <c r="F13" s="7">
        <v>28.85</v>
      </c>
      <c r="G13" s="17">
        <v>27.64</v>
      </c>
      <c r="H13" s="7">
        <v>12.82</v>
      </c>
      <c r="I13" s="7">
        <v>10.029999999999999</v>
      </c>
      <c r="J13" s="17">
        <v>133.34</v>
      </c>
      <c r="K13" s="17">
        <v>60.39</v>
      </c>
      <c r="L13" s="7">
        <v>24.3</v>
      </c>
      <c r="M13" s="7">
        <v>17.84</v>
      </c>
    </row>
    <row r="14" spans="1:13" x14ac:dyDescent="0.25">
      <c r="A14" s="1">
        <v>11</v>
      </c>
      <c r="B14" s="7">
        <v>15.48</v>
      </c>
      <c r="C14" s="17">
        <v>19.559999999999999</v>
      </c>
      <c r="D14" s="7">
        <v>8.07</v>
      </c>
      <c r="E14" s="7">
        <v>6.24</v>
      </c>
      <c r="F14" s="7">
        <v>31.65</v>
      </c>
      <c r="G14" s="17">
        <v>34.42</v>
      </c>
      <c r="H14" s="7">
        <v>14.08</v>
      </c>
      <c r="I14" s="7">
        <v>12.4</v>
      </c>
      <c r="J14" s="17">
        <v>132.46</v>
      </c>
      <c r="K14" s="17">
        <v>30.3</v>
      </c>
      <c r="L14" s="17">
        <v>48.08</v>
      </c>
      <c r="M14" s="7">
        <v>22.72</v>
      </c>
    </row>
    <row r="15" spans="1:13" x14ac:dyDescent="0.25">
      <c r="A15" s="1">
        <v>12</v>
      </c>
      <c r="B15" s="7">
        <v>17.03</v>
      </c>
      <c r="C15" s="17">
        <v>21.9</v>
      </c>
      <c r="D15" s="7">
        <v>8.77</v>
      </c>
      <c r="E15" s="7">
        <v>6.66</v>
      </c>
      <c r="F15" s="7">
        <v>34.78</v>
      </c>
      <c r="G15" s="17">
        <v>45.15</v>
      </c>
      <c r="H15" s="7">
        <v>19.559999999999999</v>
      </c>
      <c r="I15" s="7">
        <v>12.08</v>
      </c>
      <c r="J15" s="17">
        <v>124.45</v>
      </c>
      <c r="K15" s="17">
        <v>34.630000000000003</v>
      </c>
      <c r="L15" s="17">
        <v>60.77</v>
      </c>
      <c r="M15" s="7">
        <v>24.13</v>
      </c>
    </row>
    <row r="16" spans="1:13" x14ac:dyDescent="0.25">
      <c r="A16" s="1">
        <v>13</v>
      </c>
      <c r="B16" s="7">
        <v>18.32</v>
      </c>
      <c r="C16" s="17">
        <v>23.12</v>
      </c>
      <c r="D16" s="7">
        <v>9.6</v>
      </c>
      <c r="E16" s="7">
        <v>6.3</v>
      </c>
      <c r="F16" s="7">
        <v>37.44</v>
      </c>
      <c r="G16" s="17">
        <v>43.42</v>
      </c>
      <c r="H16" s="7">
        <v>18.5</v>
      </c>
      <c r="I16" s="7">
        <v>13.17</v>
      </c>
      <c r="J16" s="17">
        <v>148.56</v>
      </c>
      <c r="K16" s="17">
        <v>36.04</v>
      </c>
      <c r="L16" s="17">
        <v>57.1</v>
      </c>
      <c r="M16" s="7">
        <v>27.47</v>
      </c>
    </row>
    <row r="17" spans="1:13" x14ac:dyDescent="0.25">
      <c r="A17" s="1">
        <v>14</v>
      </c>
      <c r="B17" s="7">
        <v>19.899999999999999</v>
      </c>
      <c r="C17" s="17">
        <v>28.03</v>
      </c>
      <c r="D17" s="7">
        <v>9.76</v>
      </c>
      <c r="E17" s="7">
        <v>7.67</v>
      </c>
      <c r="F17" s="7">
        <v>40.369999999999997</v>
      </c>
      <c r="G17" s="17">
        <v>55.59</v>
      </c>
      <c r="H17" s="7">
        <v>24.38</v>
      </c>
      <c r="I17" s="7">
        <v>14.12</v>
      </c>
      <c r="J17" s="17">
        <v>170.02</v>
      </c>
      <c r="K17" s="17">
        <v>48.69</v>
      </c>
      <c r="L17" s="17">
        <v>53.37</v>
      </c>
      <c r="M17" s="7">
        <v>25.57</v>
      </c>
    </row>
    <row r="18" spans="1:13" x14ac:dyDescent="0.25">
      <c r="A18" s="1">
        <v>15</v>
      </c>
      <c r="B18" s="7">
        <v>21.29</v>
      </c>
      <c r="C18" s="17">
        <v>28.84</v>
      </c>
      <c r="D18" s="7">
        <v>10.91</v>
      </c>
      <c r="E18" s="7">
        <v>7.32</v>
      </c>
      <c r="F18" s="7">
        <v>43.58</v>
      </c>
      <c r="G18" s="17">
        <v>53.75</v>
      </c>
      <c r="H18" s="7">
        <v>22.21</v>
      </c>
      <c r="I18" s="7">
        <v>15.14</v>
      </c>
      <c r="J18" s="17">
        <v>140.88999999999999</v>
      </c>
      <c r="K18" s="17">
        <v>43.88</v>
      </c>
      <c r="L18" s="17">
        <v>41.95</v>
      </c>
      <c r="M18" s="7">
        <v>28.17</v>
      </c>
    </row>
    <row r="19" spans="1:13" x14ac:dyDescent="0.25">
      <c r="A19" s="1">
        <v>16</v>
      </c>
      <c r="B19" s="7">
        <v>22.58</v>
      </c>
      <c r="C19" s="17">
        <v>25</v>
      </c>
      <c r="D19" s="7">
        <v>11.7</v>
      </c>
      <c r="E19" s="7">
        <v>9.2200000000000006</v>
      </c>
      <c r="F19" s="7">
        <v>46.17</v>
      </c>
      <c r="G19" s="17">
        <v>68.569999999999993</v>
      </c>
      <c r="H19" s="7">
        <v>24.16</v>
      </c>
      <c r="I19" s="7">
        <v>16.23</v>
      </c>
      <c r="J19" s="7">
        <v>81.96</v>
      </c>
      <c r="K19" s="17">
        <v>89.08</v>
      </c>
      <c r="L19" s="17">
        <v>44.55</v>
      </c>
      <c r="M19" s="7">
        <v>29.41</v>
      </c>
    </row>
    <row r="20" spans="1:13" x14ac:dyDescent="0.25">
      <c r="A20" s="1">
        <v>17</v>
      </c>
      <c r="B20" s="7">
        <v>24.09</v>
      </c>
      <c r="C20" s="17">
        <v>33.950000000000003</v>
      </c>
      <c r="D20" s="7">
        <v>12.72</v>
      </c>
      <c r="E20" s="7">
        <v>9.59</v>
      </c>
      <c r="F20" s="7">
        <v>49.45</v>
      </c>
      <c r="G20" s="17">
        <v>62.88</v>
      </c>
      <c r="H20" s="7">
        <v>26.11</v>
      </c>
      <c r="I20" s="10">
        <v>17.37</v>
      </c>
      <c r="J20" s="7">
        <v>86.62</v>
      </c>
      <c r="K20" s="17">
        <v>121.96</v>
      </c>
      <c r="L20" s="17">
        <v>47.77</v>
      </c>
      <c r="M20" s="7">
        <v>35.86</v>
      </c>
    </row>
    <row r="21" spans="1:13" x14ac:dyDescent="0.25">
      <c r="A21" s="1">
        <v>18</v>
      </c>
      <c r="B21" s="7">
        <v>25.68</v>
      </c>
      <c r="C21" s="17">
        <v>32.28</v>
      </c>
      <c r="D21" s="7">
        <v>13.14</v>
      </c>
      <c r="E21" s="7">
        <v>8.73</v>
      </c>
      <c r="F21" s="7">
        <v>52.36</v>
      </c>
      <c r="G21" s="17">
        <v>72.08</v>
      </c>
      <c r="H21" s="7">
        <v>26.92</v>
      </c>
      <c r="I21" s="7">
        <v>21.18</v>
      </c>
      <c r="J21" s="7">
        <v>92.4</v>
      </c>
      <c r="K21" s="17">
        <v>113.94</v>
      </c>
      <c r="L21" s="17">
        <v>57.48</v>
      </c>
      <c r="M21" s="7">
        <v>33.21</v>
      </c>
    </row>
    <row r="22" spans="1:13" x14ac:dyDescent="0.25">
      <c r="B22" s="7">
        <f t="shared" ref="B22:M22" si="0">SUM(B4:B21)</f>
        <v>241.56000000000003</v>
      </c>
      <c r="C22" s="7">
        <f t="shared" si="0"/>
        <v>308.5</v>
      </c>
      <c r="D22" s="7">
        <f t="shared" si="0"/>
        <v>126.19</v>
      </c>
      <c r="E22" s="7">
        <f t="shared" si="0"/>
        <v>89.54000000000002</v>
      </c>
      <c r="F22" s="7">
        <f t="shared" si="0"/>
        <v>494.81</v>
      </c>
      <c r="G22" s="7">
        <f t="shared" si="0"/>
        <v>626.07000000000005</v>
      </c>
      <c r="H22" s="7">
        <f t="shared" si="0"/>
        <v>250.3</v>
      </c>
      <c r="I22" s="7">
        <f t="shared" si="0"/>
        <v>177.99</v>
      </c>
      <c r="J22" s="7">
        <f t="shared" si="0"/>
        <v>1574.94</v>
      </c>
      <c r="K22" s="7">
        <f t="shared" si="0"/>
        <v>863.63000000000011</v>
      </c>
      <c r="L22" s="7">
        <f t="shared" si="0"/>
        <v>548.32999999999993</v>
      </c>
      <c r="M22" s="7">
        <f t="shared" si="0"/>
        <v>328</v>
      </c>
    </row>
  </sheetData>
  <mergeCells count="6">
    <mergeCell ref="B1:D1"/>
    <mergeCell ref="F1:H1"/>
    <mergeCell ref="J1:L1"/>
    <mergeCell ref="B2:E2"/>
    <mergeCell ref="F2:I2"/>
    <mergeCell ref="J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workbookViewId="0">
      <selection activeCell="E4" sqref="E4:E21"/>
    </sheetView>
  </sheetViews>
  <sheetFormatPr baseColWidth="10" defaultRowHeight="15" x14ac:dyDescent="0.25"/>
  <sheetData>
    <row r="1" spans="1:13" x14ac:dyDescent="0.25">
      <c r="B1" s="18" t="s">
        <v>2</v>
      </c>
      <c r="C1" s="18"/>
      <c r="D1" s="18"/>
      <c r="F1" s="18" t="s">
        <v>1</v>
      </c>
      <c r="G1" s="18"/>
      <c r="H1" s="18"/>
      <c r="J1" s="18" t="s">
        <v>0</v>
      </c>
      <c r="K1" s="18"/>
      <c r="L1" s="18"/>
    </row>
    <row r="2" spans="1:13" x14ac:dyDescent="0.25">
      <c r="A2" s="1" t="s">
        <v>5</v>
      </c>
      <c r="B2" s="18" t="s">
        <v>3</v>
      </c>
      <c r="C2" s="18"/>
      <c r="D2" s="18"/>
      <c r="E2" s="18"/>
      <c r="F2" s="18" t="s">
        <v>3</v>
      </c>
      <c r="G2" s="18"/>
      <c r="H2" s="18"/>
      <c r="I2" s="18"/>
      <c r="J2" s="18" t="s">
        <v>3</v>
      </c>
      <c r="K2" s="18"/>
      <c r="L2" s="18"/>
      <c r="M2" s="18"/>
    </row>
    <row r="3" spans="1:13" x14ac:dyDescent="0.25">
      <c r="B3">
        <v>2</v>
      </c>
      <c r="C3">
        <v>4</v>
      </c>
      <c r="D3">
        <v>6</v>
      </c>
      <c r="E3">
        <v>12</v>
      </c>
      <c r="F3">
        <v>2</v>
      </c>
      <c r="G3">
        <v>4</v>
      </c>
      <c r="H3">
        <v>6</v>
      </c>
      <c r="I3">
        <v>12</v>
      </c>
      <c r="J3">
        <v>2</v>
      </c>
      <c r="K3">
        <v>4</v>
      </c>
      <c r="L3">
        <v>6</v>
      </c>
      <c r="M3">
        <v>12</v>
      </c>
    </row>
    <row r="4" spans="1:13" x14ac:dyDescent="0.25">
      <c r="A4" s="1">
        <v>1</v>
      </c>
      <c r="B4" s="7">
        <v>1.4238500000000001</v>
      </c>
      <c r="C4" s="7">
        <v>1.0057</v>
      </c>
      <c r="D4" s="7">
        <v>0.63349999999999995</v>
      </c>
      <c r="E4" s="7">
        <v>0.492475</v>
      </c>
      <c r="F4" s="7">
        <v>2.9343599999999999</v>
      </c>
      <c r="G4" s="7">
        <v>1.62327</v>
      </c>
      <c r="H4" s="7">
        <v>1.2793099999999999</v>
      </c>
      <c r="I4" s="7">
        <v>1.0082800000000001</v>
      </c>
      <c r="J4" s="7">
        <v>5.1299900000000003</v>
      </c>
      <c r="K4" s="7">
        <v>2.8729100000000001</v>
      </c>
      <c r="L4" s="7">
        <v>2.5850900000000001</v>
      </c>
      <c r="M4" s="7">
        <v>2.0501800000000001</v>
      </c>
    </row>
    <row r="5" spans="1:13" x14ac:dyDescent="0.25">
      <c r="A5" s="1">
        <v>2</v>
      </c>
      <c r="B5" s="7">
        <v>2.8501400000000001</v>
      </c>
      <c r="C5" s="7">
        <v>1.5265299999999999</v>
      </c>
      <c r="D5" s="7">
        <v>1.2658400000000001</v>
      </c>
      <c r="E5" s="7">
        <v>0.975132</v>
      </c>
      <c r="F5" s="7">
        <v>5.8658000000000001</v>
      </c>
      <c r="G5" s="7">
        <v>3.1985399999999999</v>
      </c>
      <c r="H5" s="7">
        <v>2.8892600000000002</v>
      </c>
      <c r="I5" s="7">
        <v>2.0137700000000001</v>
      </c>
      <c r="J5" s="7">
        <v>10.272600000000001</v>
      </c>
      <c r="K5" s="7">
        <v>5.6167499999999997</v>
      </c>
      <c r="L5" s="7">
        <v>4.59145</v>
      </c>
      <c r="M5" s="7">
        <v>3.5995499999999998</v>
      </c>
    </row>
    <row r="6" spans="1:13" x14ac:dyDescent="0.25">
      <c r="A6" s="1">
        <v>3</v>
      </c>
      <c r="B6" s="7">
        <v>4.2651599999999998</v>
      </c>
      <c r="C6" s="7">
        <v>2.2816700000000001</v>
      </c>
      <c r="D6" s="7">
        <v>1.89184</v>
      </c>
      <c r="E6" s="7">
        <v>1.45262</v>
      </c>
      <c r="F6" s="7">
        <v>8.7957000000000001</v>
      </c>
      <c r="G6" s="7">
        <v>5.7966800000000003</v>
      </c>
      <c r="H6" s="7">
        <v>4.3064900000000002</v>
      </c>
      <c r="I6" s="7">
        <v>3.0114999999999998</v>
      </c>
      <c r="J6" s="7">
        <v>15.453099999999999</v>
      </c>
      <c r="K6" s="7">
        <v>8.3542400000000008</v>
      </c>
      <c r="L6" s="7">
        <v>6.9044600000000003</v>
      </c>
      <c r="M6" s="7">
        <v>5.4055400000000002</v>
      </c>
    </row>
    <row r="7" spans="1:13" x14ac:dyDescent="0.25">
      <c r="A7" s="1">
        <v>4</v>
      </c>
      <c r="B7" s="7">
        <v>5.6692299999999998</v>
      </c>
      <c r="C7" s="7">
        <v>3.8179099999999999</v>
      </c>
      <c r="D7" s="7">
        <v>2.5266899999999999</v>
      </c>
      <c r="E7" s="7">
        <v>1.9527699999999999</v>
      </c>
      <c r="F7" s="7">
        <v>11.6165</v>
      </c>
      <c r="G7" s="7">
        <v>7.8675899999999999</v>
      </c>
      <c r="H7" s="7">
        <v>7.7654399999999999</v>
      </c>
      <c r="I7" s="7">
        <v>4.03695</v>
      </c>
      <c r="J7" s="7">
        <v>20.577400000000001</v>
      </c>
      <c r="K7" s="7">
        <v>12.7874</v>
      </c>
      <c r="L7" s="7">
        <v>10.164099999999999</v>
      </c>
      <c r="M7" s="7">
        <v>8.2350399999999997</v>
      </c>
    </row>
    <row r="8" spans="1:13" x14ac:dyDescent="0.25">
      <c r="A8" s="1">
        <v>5</v>
      </c>
      <c r="B8" s="7">
        <v>7.1706200000000004</v>
      </c>
      <c r="C8" s="7">
        <v>3.80349</v>
      </c>
      <c r="D8" s="7">
        <v>3.1501800000000002</v>
      </c>
      <c r="E8" s="7">
        <v>2.4281299999999999</v>
      </c>
      <c r="F8" s="7">
        <v>14.6221</v>
      </c>
      <c r="G8" s="7">
        <v>9.2190100000000008</v>
      </c>
      <c r="H8" s="7">
        <v>6.3882700000000003</v>
      </c>
      <c r="I8" s="7">
        <v>5.0226800000000003</v>
      </c>
      <c r="J8" s="7">
        <v>25.794799999999999</v>
      </c>
      <c r="K8" s="7">
        <v>13.85</v>
      </c>
      <c r="L8" s="7">
        <v>16.6386</v>
      </c>
      <c r="M8" s="7">
        <v>10.507199999999999</v>
      </c>
    </row>
    <row r="9" spans="1:13" x14ac:dyDescent="0.25">
      <c r="A9" s="1">
        <v>6</v>
      </c>
      <c r="B9" s="7">
        <v>8.5673100000000009</v>
      </c>
      <c r="C9" s="7">
        <v>5.89175</v>
      </c>
      <c r="D9" s="7">
        <v>4.3065899999999999</v>
      </c>
      <c r="E9" s="7">
        <v>2.9448699999999999</v>
      </c>
      <c r="F9" s="7">
        <v>17.453900000000001</v>
      </c>
      <c r="G9" s="7">
        <v>12.062099999999999</v>
      </c>
      <c r="H9" s="7">
        <v>11.574400000000001</v>
      </c>
      <c r="I9" s="7">
        <v>6.0491000000000001</v>
      </c>
      <c r="J9" s="7">
        <v>30.8111</v>
      </c>
      <c r="K9" s="7">
        <v>20.405799999999999</v>
      </c>
      <c r="L9" s="7">
        <v>19.763000000000002</v>
      </c>
      <c r="M9" s="7">
        <v>11.005100000000001</v>
      </c>
    </row>
    <row r="10" spans="1:13" x14ac:dyDescent="0.25">
      <c r="A10" s="1">
        <v>7</v>
      </c>
      <c r="B10" s="7">
        <v>9.9888700000000004</v>
      </c>
      <c r="C10" s="7">
        <v>5.31745</v>
      </c>
      <c r="D10" s="7">
        <v>4.4154200000000001</v>
      </c>
      <c r="E10" s="7">
        <v>3.4045200000000002</v>
      </c>
      <c r="F10" s="7">
        <v>20.619900000000001</v>
      </c>
      <c r="G10" s="7">
        <v>12.932600000000001</v>
      </c>
      <c r="H10" s="7">
        <v>12.241199999999999</v>
      </c>
      <c r="I10" s="7">
        <v>8.1265400000000003</v>
      </c>
      <c r="J10" s="7">
        <v>36.009099999999997</v>
      </c>
      <c r="K10" s="7">
        <v>19.3247</v>
      </c>
      <c r="L10" s="7">
        <v>16.081499999999998</v>
      </c>
      <c r="M10" s="7">
        <v>14.400399999999999</v>
      </c>
    </row>
    <row r="11" spans="1:13" x14ac:dyDescent="0.25">
      <c r="A11" s="1">
        <v>8</v>
      </c>
      <c r="B11" s="7">
        <v>11.3712</v>
      </c>
      <c r="C11" s="7">
        <v>7.8593099999999998</v>
      </c>
      <c r="D11" s="7">
        <v>6.8573399999999998</v>
      </c>
      <c r="E11" s="7">
        <v>4.3801100000000002</v>
      </c>
      <c r="F11" s="7">
        <v>23.424199999999999</v>
      </c>
      <c r="G11" s="7">
        <v>16.202100000000002</v>
      </c>
      <c r="H11" s="7">
        <v>11.491</v>
      </c>
      <c r="I11" s="10">
        <v>8.0196199999999997</v>
      </c>
      <c r="J11" s="7">
        <v>41.319299999999998</v>
      </c>
      <c r="K11" s="7">
        <v>22.2135</v>
      </c>
      <c r="L11" s="7">
        <v>26.5594</v>
      </c>
      <c r="M11" s="10">
        <v>14.3276</v>
      </c>
    </row>
    <row r="12" spans="1:13" x14ac:dyDescent="0.25">
      <c r="A12" s="1">
        <v>9</v>
      </c>
      <c r="B12" s="7">
        <v>12.839</v>
      </c>
      <c r="C12" s="7">
        <v>8.6993600000000004</v>
      </c>
      <c r="D12" s="7">
        <v>6.1742299999999997</v>
      </c>
      <c r="E12" s="7">
        <v>4.3665399999999996</v>
      </c>
      <c r="F12" s="7">
        <v>26.6112</v>
      </c>
      <c r="G12" s="7">
        <v>14.2719</v>
      </c>
      <c r="H12" s="7">
        <v>11.5159</v>
      </c>
      <c r="I12" s="7">
        <v>9.0962999999999994</v>
      </c>
      <c r="J12" s="7">
        <v>46.807499999999997</v>
      </c>
      <c r="K12" s="7">
        <v>24.851800000000001</v>
      </c>
      <c r="L12" s="7">
        <v>22.814399999999999</v>
      </c>
      <c r="M12" s="7">
        <v>16.2074</v>
      </c>
    </row>
    <row r="13" spans="1:13" x14ac:dyDescent="0.25">
      <c r="A13" s="1">
        <v>10</v>
      </c>
      <c r="B13" s="7">
        <v>14.238099999999999</v>
      </c>
      <c r="C13" s="7">
        <v>7.5609299999999999</v>
      </c>
      <c r="D13" s="7">
        <v>8.5136400000000005</v>
      </c>
      <c r="E13" s="7">
        <v>5.7030700000000003</v>
      </c>
      <c r="F13" s="7">
        <v>29.1645</v>
      </c>
      <c r="G13" s="7">
        <v>15.8864</v>
      </c>
      <c r="H13" s="7">
        <v>12.7323</v>
      </c>
      <c r="I13" s="7">
        <v>10.178100000000001</v>
      </c>
      <c r="J13" s="7">
        <v>51.8247</v>
      </c>
      <c r="K13" s="7">
        <v>34.232100000000003</v>
      </c>
      <c r="L13" s="7">
        <v>25.121099999999998</v>
      </c>
      <c r="M13" s="7">
        <v>18.015000000000001</v>
      </c>
    </row>
    <row r="14" spans="1:13" x14ac:dyDescent="0.25">
      <c r="A14" s="1">
        <v>11</v>
      </c>
      <c r="B14" s="7">
        <v>15.835699999999999</v>
      </c>
      <c r="C14" s="7">
        <v>10.572699999999999</v>
      </c>
      <c r="D14" s="7">
        <v>7.5244499999999999</v>
      </c>
      <c r="E14" s="7">
        <v>5.4187399999999997</v>
      </c>
      <c r="F14" s="7">
        <v>32.417099999999998</v>
      </c>
      <c r="G14" s="7">
        <v>21.678999999999998</v>
      </c>
      <c r="H14" s="7">
        <v>14.1351</v>
      </c>
      <c r="I14" s="7">
        <v>11.055999999999999</v>
      </c>
      <c r="J14" s="7">
        <v>56.681100000000001</v>
      </c>
      <c r="K14" s="7">
        <v>38.362699999999997</v>
      </c>
      <c r="L14" s="7">
        <v>25.150500000000001</v>
      </c>
      <c r="M14" s="7">
        <v>23.182200000000002</v>
      </c>
    </row>
    <row r="15" spans="1:13" x14ac:dyDescent="0.25">
      <c r="A15" s="1">
        <v>12</v>
      </c>
      <c r="B15" s="7">
        <v>17.299399999999999</v>
      </c>
      <c r="C15" s="7">
        <v>9.1348199999999995</v>
      </c>
      <c r="D15" s="7">
        <v>7.7027000000000001</v>
      </c>
      <c r="E15" s="7">
        <v>6.6098299999999997</v>
      </c>
      <c r="F15" s="7">
        <v>35.399799999999999</v>
      </c>
      <c r="G15" s="7">
        <v>23.212599999999998</v>
      </c>
      <c r="H15" s="7">
        <v>17.323399999999999</v>
      </c>
      <c r="I15" s="7">
        <v>12.069000000000001</v>
      </c>
      <c r="J15" s="7">
        <v>61.8521</v>
      </c>
      <c r="K15" s="7">
        <v>33.1295</v>
      </c>
      <c r="L15" s="7">
        <v>27.4572</v>
      </c>
      <c r="M15" s="7">
        <v>21.775300000000001</v>
      </c>
    </row>
    <row r="16" spans="1:13" x14ac:dyDescent="0.25">
      <c r="A16" s="1">
        <v>13</v>
      </c>
      <c r="B16" s="7">
        <v>18.585699999999999</v>
      </c>
      <c r="C16" s="7">
        <v>9.8366100000000003</v>
      </c>
      <c r="D16" s="7">
        <v>8.2899499999999993</v>
      </c>
      <c r="E16" s="7">
        <v>6.3792099999999996</v>
      </c>
      <c r="F16" s="7">
        <v>38.059899999999999</v>
      </c>
      <c r="G16" s="7">
        <v>20.762799999999999</v>
      </c>
      <c r="H16" s="7">
        <v>24.8674</v>
      </c>
      <c r="I16" s="7">
        <v>13.177199999999999</v>
      </c>
      <c r="J16" s="7">
        <v>66.913300000000007</v>
      </c>
      <c r="K16" s="7">
        <v>41.4649</v>
      </c>
      <c r="L16" s="7">
        <v>33.601599999999998</v>
      </c>
      <c r="M16" s="7">
        <v>27.383900000000001</v>
      </c>
    </row>
    <row r="17" spans="1:13" x14ac:dyDescent="0.25">
      <c r="A17" s="1">
        <v>14</v>
      </c>
      <c r="B17" s="7">
        <v>20.038</v>
      </c>
      <c r="C17" s="7">
        <v>11.1585</v>
      </c>
      <c r="D17" s="7">
        <v>11.759</v>
      </c>
      <c r="E17" s="7">
        <v>7.9209800000000001</v>
      </c>
      <c r="F17" s="7">
        <v>41.045699999999997</v>
      </c>
      <c r="G17" s="7">
        <v>22.34</v>
      </c>
      <c r="H17" s="7">
        <v>26.896799999999999</v>
      </c>
      <c r="I17" s="7">
        <v>14.1647</v>
      </c>
      <c r="J17" s="7">
        <v>72.255300000000005</v>
      </c>
      <c r="K17" s="7">
        <v>48.5822</v>
      </c>
      <c r="L17" s="7">
        <v>42.909599999999998</v>
      </c>
      <c r="M17" s="7">
        <v>25.635200000000001</v>
      </c>
    </row>
    <row r="18" spans="1:13" x14ac:dyDescent="0.25">
      <c r="A18" s="1">
        <v>15</v>
      </c>
      <c r="B18" s="7">
        <v>21.464300000000001</v>
      </c>
      <c r="C18" s="7">
        <v>11.7936</v>
      </c>
      <c r="D18" s="7">
        <v>10.6045</v>
      </c>
      <c r="E18" s="7">
        <v>7.3335100000000004</v>
      </c>
      <c r="F18" s="7">
        <v>43.892400000000002</v>
      </c>
      <c r="G18" s="7">
        <v>23.814800000000002</v>
      </c>
      <c r="H18" s="7">
        <v>28.89</v>
      </c>
      <c r="I18" s="7">
        <v>15.4602</v>
      </c>
      <c r="J18" s="7">
        <v>77.214200000000005</v>
      </c>
      <c r="K18" s="7">
        <v>41.6873</v>
      </c>
      <c r="L18" s="7">
        <v>34.556100000000001</v>
      </c>
      <c r="M18" s="7">
        <v>27.471</v>
      </c>
    </row>
    <row r="19" spans="1:13" x14ac:dyDescent="0.25">
      <c r="A19" s="1">
        <v>16</v>
      </c>
      <c r="B19" s="7">
        <v>22.945900000000002</v>
      </c>
      <c r="C19" s="7">
        <v>15.744300000000001</v>
      </c>
      <c r="D19" s="7">
        <v>13.740399999999999</v>
      </c>
      <c r="E19" s="7">
        <v>7.8227000000000002</v>
      </c>
      <c r="F19" s="7">
        <v>46.880499999999998</v>
      </c>
      <c r="G19" s="7">
        <v>25.417100000000001</v>
      </c>
      <c r="H19" s="7">
        <v>22.965</v>
      </c>
      <c r="I19" s="7">
        <v>17.1676</v>
      </c>
      <c r="J19" s="7">
        <v>83.139899999999997</v>
      </c>
      <c r="K19" s="7">
        <v>44.073900000000002</v>
      </c>
      <c r="L19" s="7">
        <v>39.458500000000001</v>
      </c>
      <c r="M19" s="7">
        <v>29.4664</v>
      </c>
    </row>
    <row r="20" spans="1:13" x14ac:dyDescent="0.25">
      <c r="A20" s="1">
        <v>17</v>
      </c>
      <c r="B20" s="7">
        <v>24.6203</v>
      </c>
      <c r="C20" s="7">
        <v>12.9727</v>
      </c>
      <c r="D20" s="7">
        <v>10.885999999999999</v>
      </c>
      <c r="E20" s="7">
        <v>8.3530700000000007</v>
      </c>
      <c r="F20" s="7">
        <v>49.938000000000002</v>
      </c>
      <c r="G20" s="7">
        <v>27.054300000000001</v>
      </c>
      <c r="H20" s="7">
        <v>29.555499999999999</v>
      </c>
      <c r="I20" s="10">
        <v>17.323</v>
      </c>
      <c r="J20" s="7">
        <v>87.9495</v>
      </c>
      <c r="K20" s="7">
        <v>47.318899999999999</v>
      </c>
      <c r="L20" s="7">
        <v>38.846899999999998</v>
      </c>
      <c r="M20" s="7">
        <v>31.7087</v>
      </c>
    </row>
    <row r="21" spans="1:13" x14ac:dyDescent="0.25">
      <c r="A21" s="1">
        <v>18</v>
      </c>
      <c r="B21" s="7">
        <v>26.009</v>
      </c>
      <c r="C21" s="7">
        <v>13.7233</v>
      </c>
      <c r="D21" s="7">
        <v>15.1395</v>
      </c>
      <c r="E21" s="7">
        <v>8.8821200000000005</v>
      </c>
      <c r="F21" s="7">
        <v>53.2746</v>
      </c>
      <c r="G21" s="7">
        <v>33.186</v>
      </c>
      <c r="H21" s="7">
        <v>22.915700000000001</v>
      </c>
      <c r="I21" s="7">
        <v>18.564699999999998</v>
      </c>
      <c r="J21" s="7">
        <v>92.7483</v>
      </c>
      <c r="K21" s="7">
        <v>50.013800000000003</v>
      </c>
      <c r="L21" s="7">
        <v>47.022199999999998</v>
      </c>
      <c r="M21" s="7">
        <v>39.179099999999998</v>
      </c>
    </row>
    <row r="22" spans="1:13" x14ac:dyDescent="0.25">
      <c r="B22" s="7">
        <f t="shared" ref="B22:M22" si="0">SUM(B4:B21)</f>
        <v>245.18178000000006</v>
      </c>
      <c r="C22" s="7">
        <f t="shared" si="0"/>
        <v>142.70062999999999</v>
      </c>
      <c r="D22" s="7">
        <f t="shared" si="0"/>
        <v>125.38176999999999</v>
      </c>
      <c r="E22" s="7">
        <f t="shared" si="0"/>
        <v>86.820397</v>
      </c>
      <c r="F22" s="7">
        <f t="shared" si="0"/>
        <v>502.01616000000001</v>
      </c>
      <c r="G22" s="7">
        <f t="shared" si="0"/>
        <v>296.52679000000001</v>
      </c>
      <c r="H22" s="7">
        <f t="shared" si="0"/>
        <v>269.73246999999998</v>
      </c>
      <c r="I22" s="7">
        <f t="shared" si="0"/>
        <v>175.54523999999998</v>
      </c>
      <c r="J22" s="7">
        <f t="shared" si="0"/>
        <v>882.75329000000011</v>
      </c>
      <c r="K22" s="7">
        <f t="shared" si="0"/>
        <v>509.14240000000001</v>
      </c>
      <c r="L22" s="7">
        <f t="shared" si="0"/>
        <v>440.22570000000002</v>
      </c>
      <c r="M22" s="7">
        <f t="shared" si="0"/>
        <v>329.55481000000003</v>
      </c>
    </row>
    <row r="24" spans="1:13" x14ac:dyDescent="0.25">
      <c r="A24" t="s">
        <v>36</v>
      </c>
    </row>
  </sheetData>
  <mergeCells count="6">
    <mergeCell ref="B1:D1"/>
    <mergeCell ref="F1:H1"/>
    <mergeCell ref="J1:L1"/>
    <mergeCell ref="J2:M2"/>
    <mergeCell ref="F2:I2"/>
    <mergeCell ref="B2:E2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workbookViewId="0">
      <selection activeCell="E3" sqref="E3"/>
    </sheetView>
  </sheetViews>
  <sheetFormatPr baseColWidth="10" defaultRowHeight="15" x14ac:dyDescent="0.25"/>
  <cols>
    <col min="5" max="5" width="12" bestFit="1" customWidth="1"/>
  </cols>
  <sheetData>
    <row r="1" spans="1:7" x14ac:dyDescent="0.25">
      <c r="B1" t="s">
        <v>8</v>
      </c>
      <c r="E1" s="18" t="s">
        <v>35</v>
      </c>
      <c r="F1" s="18"/>
      <c r="G1" s="18"/>
    </row>
    <row r="2" spans="1:7" x14ac:dyDescent="0.25">
      <c r="A2" t="s">
        <v>5</v>
      </c>
      <c r="B2" t="s">
        <v>9</v>
      </c>
      <c r="C2" t="s">
        <v>10</v>
      </c>
      <c r="D2" t="s">
        <v>11</v>
      </c>
      <c r="E2" t="s">
        <v>9</v>
      </c>
      <c r="F2" t="s">
        <v>10</v>
      </c>
      <c r="G2" t="s">
        <v>11</v>
      </c>
    </row>
    <row r="3" spans="1:7" x14ac:dyDescent="0.25">
      <c r="A3">
        <v>1</v>
      </c>
      <c r="B3" s="7">
        <v>0.30702400000000002</v>
      </c>
      <c r="C3" s="7">
        <v>0.17894399999999999</v>
      </c>
      <c r="D3" s="7">
        <v>8.6635500000000004E-2</v>
      </c>
      <c r="E3">
        <f>(4*$B$29*((A3*$B$24*$B$24*$B$24) +(A3*2*$B$24*$B$24*$B$24* $B$25*$B$25*$B$25)) + 4*$B$29) / ((B3*60)*1000000000)</f>
        <v>80.091483562197098</v>
      </c>
      <c r="F3">
        <f>(4*$B$29*((A3*$C$24*$C$24*$C$24) +(A3*2*$C$24*$C$24*$C$24* $B$25*$B$25*$B$25)) + 4*$B$29) / ((C3*60)*1000000000)</f>
        <v>75.265490212207922</v>
      </c>
      <c r="G3">
        <f>(4*$B$29*((A3*$D$24*$D$24*$D$24) +(A3*2*$D$24*$D$24*$D$24* $B$25*$B$25*$B$25)) + 4*$B$29) / ((D3*60)*1000000000)</f>
        <v>73.146900841648829</v>
      </c>
    </row>
    <row r="4" spans="1:7" x14ac:dyDescent="0.25">
      <c r="A4">
        <v>2</v>
      </c>
      <c r="B4" s="7">
        <v>0.61316899999999996</v>
      </c>
      <c r="C4" s="7">
        <v>0.35632399999999997</v>
      </c>
      <c r="D4" s="7">
        <v>0.172071</v>
      </c>
      <c r="E4">
        <f t="shared" ref="E4:E20" si="0">(4*$B$29*((A4*$B$24*$B$24*$B$24) +(A4*2*$B$24*$B$24*$B$24* $B$25*$B$25*$B$25)) + 4*$B$29) / ((B4*60)*1000000000)</f>
        <v>80.205749796331304</v>
      </c>
      <c r="F4">
        <f t="shared" ref="F4:F20" si="1">(4*$B$29*((A4*$C$24*$C$24*$C$24) +(A4*2*$C$24*$C$24*$C$24* $B$25*$B$25*$B$25)) + 4*$B$29) / ((C4*60)*1000000000)</f>
        <v>75.594907610863515</v>
      </c>
      <c r="G4">
        <f t="shared" ref="G4:G20" si="2">(4*$B$29*((A4*$D$24*$D$24*$D$24) +(A4*2*$D$24*$D$24*$D$24* $B$25*$B$25*$B$25)) + 4*$B$29) / ((D4*60)*1000000000)</f>
        <v>73.655065375339248</v>
      </c>
    </row>
    <row r="5" spans="1:7" x14ac:dyDescent="0.25">
      <c r="A5">
        <v>3</v>
      </c>
      <c r="B5" s="7">
        <v>0.918655</v>
      </c>
      <c r="C5" s="7">
        <v>0.53384900000000002</v>
      </c>
      <c r="D5" s="7">
        <v>0.25742199999999998</v>
      </c>
      <c r="E5">
        <f t="shared" si="0"/>
        <v>80.301474595504658</v>
      </c>
      <c r="F5">
        <f t="shared" si="1"/>
        <v>75.684794461604938</v>
      </c>
      <c r="G5">
        <f t="shared" si="2"/>
        <v>73.850266024400923</v>
      </c>
    </row>
    <row r="6" spans="1:7" x14ac:dyDescent="0.25">
      <c r="A6">
        <v>4</v>
      </c>
      <c r="B6" s="7">
        <v>1.2247300000000001</v>
      </c>
      <c r="C6" s="7">
        <v>0.710839</v>
      </c>
      <c r="D6" s="7">
        <v>0.34255799999999997</v>
      </c>
      <c r="E6">
        <f t="shared" si="0"/>
        <v>80.310781063744656</v>
      </c>
      <c r="F6">
        <f t="shared" si="1"/>
        <v>75.786815041849607</v>
      </c>
      <c r="G6">
        <f t="shared" si="2"/>
        <v>73.994668368179035</v>
      </c>
    </row>
    <row r="7" spans="1:7" x14ac:dyDescent="0.25">
      <c r="A7">
        <v>5</v>
      </c>
      <c r="B7" s="7">
        <v>1.53034</v>
      </c>
      <c r="C7" s="7">
        <v>0.889621</v>
      </c>
      <c r="D7" s="7">
        <v>0.42796099999999998</v>
      </c>
      <c r="E7">
        <f t="shared" si="0"/>
        <v>80.340770443082363</v>
      </c>
      <c r="F7">
        <f t="shared" si="1"/>
        <v>75.695375667316</v>
      </c>
      <c r="G7">
        <f t="shared" si="2"/>
        <v>74.035363112993934</v>
      </c>
    </row>
    <row r="8" spans="1:7" x14ac:dyDescent="0.25">
      <c r="A8">
        <v>6</v>
      </c>
      <c r="B8" s="7">
        <v>1.83765</v>
      </c>
      <c r="C8" s="7">
        <v>1.0651299999999999</v>
      </c>
      <c r="D8" s="7">
        <v>0.51398900000000003</v>
      </c>
      <c r="E8">
        <f t="shared" si="0"/>
        <v>80.28643451556789</v>
      </c>
      <c r="F8">
        <f t="shared" si="1"/>
        <v>75.866953118899417</v>
      </c>
      <c r="G8">
        <f t="shared" si="2"/>
        <v>73.972459448613364</v>
      </c>
    </row>
    <row r="9" spans="1:7" x14ac:dyDescent="0.25">
      <c r="A9">
        <v>7</v>
      </c>
      <c r="B9" s="7">
        <v>2.1436199999999999</v>
      </c>
      <c r="C9" s="7">
        <v>1.2447600000000001</v>
      </c>
      <c r="D9" s="7">
        <v>0.59843599999999997</v>
      </c>
      <c r="E9">
        <f t="shared" si="0"/>
        <v>80.297831768317153</v>
      </c>
      <c r="F9">
        <f t="shared" si="1"/>
        <v>75.738407206636879</v>
      </c>
      <c r="G9">
        <f t="shared" si="2"/>
        <v>74.122901840575551</v>
      </c>
    </row>
    <row r="10" spans="1:7" x14ac:dyDescent="0.25">
      <c r="A10">
        <v>8</v>
      </c>
      <c r="B10" s="7">
        <v>2.4494699999999998</v>
      </c>
      <c r="C10" s="7">
        <v>1.41987</v>
      </c>
      <c r="D10" s="7">
        <v>0.683585</v>
      </c>
      <c r="E10">
        <f t="shared" si="0"/>
        <v>80.310316061379268</v>
      </c>
      <c r="F10">
        <f t="shared" si="1"/>
        <v>75.883082066339412</v>
      </c>
      <c r="G10">
        <f t="shared" si="2"/>
        <v>74.159900103425329</v>
      </c>
    </row>
    <row r="11" spans="1:7" x14ac:dyDescent="0.25">
      <c r="A11">
        <v>9</v>
      </c>
      <c r="B11" s="7">
        <v>2.7572399999999999</v>
      </c>
      <c r="C11" s="7">
        <v>1.59805</v>
      </c>
      <c r="D11" s="7">
        <v>0.76980000000000004</v>
      </c>
      <c r="E11">
        <f t="shared" si="0"/>
        <v>80.264098022128422</v>
      </c>
      <c r="F11">
        <f t="shared" si="1"/>
        <v>75.84999450113159</v>
      </c>
      <c r="G11">
        <f t="shared" si="2"/>
        <v>74.085967444184632</v>
      </c>
    </row>
    <row r="12" spans="1:7" x14ac:dyDescent="0.25">
      <c r="A12">
        <v>10</v>
      </c>
      <c r="B12" s="7">
        <v>3.0619399999999999</v>
      </c>
      <c r="C12" s="7">
        <v>1.77708</v>
      </c>
      <c r="D12" s="7">
        <v>0.85455000000000003</v>
      </c>
      <c r="E12">
        <f t="shared" si="0"/>
        <v>80.307600207123585</v>
      </c>
      <c r="F12">
        <f t="shared" si="1"/>
        <v>75.787277833036967</v>
      </c>
      <c r="G12">
        <f t="shared" si="2"/>
        <v>74.153835544867675</v>
      </c>
    </row>
    <row r="13" spans="1:7" x14ac:dyDescent="0.25">
      <c r="A13">
        <v>11</v>
      </c>
      <c r="B13" s="7">
        <v>3.3679899999999998</v>
      </c>
      <c r="C13" s="7">
        <v>1.95634</v>
      </c>
      <c r="D13" s="7">
        <v>0.93951099999999999</v>
      </c>
      <c r="E13">
        <f t="shared" si="0"/>
        <v>80.311023823071523</v>
      </c>
      <c r="F13">
        <f t="shared" si="1"/>
        <v>75.727137241243</v>
      </c>
      <c r="G13">
        <f t="shared" si="2"/>
        <v>74.192790282604463</v>
      </c>
    </row>
    <row r="14" spans="1:7" x14ac:dyDescent="0.25">
      <c r="A14">
        <v>12</v>
      </c>
      <c r="B14" s="7">
        <v>3.67435</v>
      </c>
      <c r="C14" s="7">
        <v>2.1319499999999998</v>
      </c>
      <c r="D14" s="7">
        <v>1.0248299999999999</v>
      </c>
      <c r="E14">
        <f t="shared" si="0"/>
        <v>80.307101085507185</v>
      </c>
      <c r="F14">
        <f t="shared" si="1"/>
        <v>75.806655714033326</v>
      </c>
      <c r="G14">
        <f t="shared" si="2"/>
        <v>74.199355032086629</v>
      </c>
    </row>
    <row r="15" spans="1:7" x14ac:dyDescent="0.25">
      <c r="A15">
        <v>13</v>
      </c>
      <c r="B15" s="7">
        <v>3.9830700000000001</v>
      </c>
      <c r="C15" s="7">
        <v>2.3068300000000002</v>
      </c>
      <c r="D15" s="7">
        <v>1.1107400000000001</v>
      </c>
      <c r="E15">
        <f t="shared" si="0"/>
        <v>80.256201528268392</v>
      </c>
      <c r="F15">
        <f t="shared" si="1"/>
        <v>75.898081622197253</v>
      </c>
      <c r="G15">
        <f t="shared" si="2"/>
        <v>74.165427952416096</v>
      </c>
    </row>
    <row r="16" spans="1:7" x14ac:dyDescent="0.25">
      <c r="A16">
        <v>14</v>
      </c>
      <c r="B16" s="7">
        <v>4.2880000000000003</v>
      </c>
      <c r="C16" s="7">
        <v>2.4898199999999999</v>
      </c>
      <c r="D16" s="7">
        <v>1.1957500000000001</v>
      </c>
      <c r="E16">
        <f t="shared" si="0"/>
        <v>80.283521541246884</v>
      </c>
      <c r="F16">
        <f t="shared" si="1"/>
        <v>75.729146527674018</v>
      </c>
      <c r="G16">
        <f t="shared" si="2"/>
        <v>74.192172168262601</v>
      </c>
    </row>
    <row r="17" spans="1:7" x14ac:dyDescent="0.25">
      <c r="A17">
        <v>15</v>
      </c>
      <c r="B17" s="7">
        <v>4.5929599999999997</v>
      </c>
      <c r="C17" s="7">
        <v>2.6652</v>
      </c>
      <c r="D17" s="7">
        <v>1.2816399999999999</v>
      </c>
      <c r="E17">
        <f t="shared" si="0"/>
        <v>80.306689393448536</v>
      </c>
      <c r="F17">
        <f t="shared" si="1"/>
        <v>75.799157881784978</v>
      </c>
      <c r="G17">
        <f t="shared" si="2"/>
        <v>74.164408333489376</v>
      </c>
    </row>
    <row r="18" spans="1:7" x14ac:dyDescent="0.25">
      <c r="A18">
        <v>16</v>
      </c>
      <c r="B18" s="7">
        <v>4.9014199999999999</v>
      </c>
      <c r="C18" s="7">
        <v>2.8420100000000001</v>
      </c>
      <c r="D18" s="7">
        <v>1.3672500000000001</v>
      </c>
      <c r="E18">
        <f t="shared" si="0"/>
        <v>80.269612451942493</v>
      </c>
      <c r="F18">
        <f t="shared" si="1"/>
        <v>75.822353744544642</v>
      </c>
      <c r="G18">
        <f t="shared" si="2"/>
        <v>74.155315211458515</v>
      </c>
    </row>
    <row r="19" spans="1:7" x14ac:dyDescent="0.25">
      <c r="A19">
        <v>17</v>
      </c>
      <c r="B19" s="7">
        <v>5.2060599999999999</v>
      </c>
      <c r="C19" s="7">
        <v>3.0189699999999999</v>
      </c>
      <c r="D19" s="7">
        <v>1.4538199999999999</v>
      </c>
      <c r="E19">
        <f t="shared" si="0"/>
        <v>80.29580058851927</v>
      </c>
      <c r="F19">
        <f t="shared" si="1"/>
        <v>75.839064165769571</v>
      </c>
      <c r="G19">
        <f t="shared" si="2"/>
        <v>74.098332083201512</v>
      </c>
    </row>
    <row r="20" spans="1:7" x14ac:dyDescent="0.25">
      <c r="A20">
        <v>18</v>
      </c>
      <c r="B20" s="7">
        <v>5.51335</v>
      </c>
      <c r="C20" s="7">
        <v>3.1971400000000001</v>
      </c>
      <c r="D20" s="7">
        <v>1.5382899999999999</v>
      </c>
      <c r="E20">
        <f t="shared" si="0"/>
        <v>80.280487790460128</v>
      </c>
      <c r="F20">
        <f t="shared" si="1"/>
        <v>75.825216138027514</v>
      </c>
      <c r="G20">
        <f t="shared" si="2"/>
        <v>74.148840319792328</v>
      </c>
    </row>
    <row r="23" spans="1:7" x14ac:dyDescent="0.25">
      <c r="A23" t="s">
        <v>26</v>
      </c>
      <c r="B23" t="s">
        <v>27</v>
      </c>
    </row>
    <row r="24" spans="1:7" x14ac:dyDescent="0.25">
      <c r="A24" t="s">
        <v>29</v>
      </c>
      <c r="B24">
        <v>11</v>
      </c>
      <c r="C24">
        <v>9</v>
      </c>
      <c r="D24">
        <v>7</v>
      </c>
    </row>
    <row r="25" spans="1:7" x14ac:dyDescent="0.25">
      <c r="A25" t="s">
        <v>30</v>
      </c>
      <c r="B25">
        <v>3</v>
      </c>
    </row>
    <row r="26" spans="1:7" x14ac:dyDescent="0.25">
      <c r="A26" t="s">
        <v>31</v>
      </c>
      <c r="B26">
        <v>222</v>
      </c>
    </row>
    <row r="27" spans="1:7" x14ac:dyDescent="0.25">
      <c r="A27" t="s">
        <v>32</v>
      </c>
      <c r="B27">
        <v>222</v>
      </c>
    </row>
    <row r="28" spans="1:7" x14ac:dyDescent="0.25">
      <c r="A28" t="s">
        <v>33</v>
      </c>
      <c r="B28">
        <v>112</v>
      </c>
    </row>
    <row r="29" spans="1:7" x14ac:dyDescent="0.25">
      <c r="A29" t="s">
        <v>34</v>
      </c>
      <c r="B29">
        <f>(B26- (B24-1)/2)*(B27- (B24-1)/2)*(B28- (B24-1)/2)</f>
        <v>5038523</v>
      </c>
    </row>
    <row r="31" spans="1:7" x14ac:dyDescent="0.25">
      <c r="A31" t="s">
        <v>37</v>
      </c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>
      <selection activeCell="A24" sqref="A24:D30"/>
    </sheetView>
  </sheetViews>
  <sheetFormatPr baseColWidth="10" defaultRowHeight="15" x14ac:dyDescent="0.25"/>
  <sheetData>
    <row r="1" spans="1:7" x14ac:dyDescent="0.25">
      <c r="B1" t="s">
        <v>8</v>
      </c>
      <c r="E1" s="18" t="s">
        <v>35</v>
      </c>
      <c r="F1" s="18"/>
      <c r="G1" s="18"/>
    </row>
    <row r="2" spans="1:7" x14ac:dyDescent="0.25">
      <c r="A2" t="s">
        <v>5</v>
      </c>
      <c r="B2" t="s">
        <v>9</v>
      </c>
      <c r="C2" t="s">
        <v>10</v>
      </c>
      <c r="D2" t="s">
        <v>11</v>
      </c>
      <c r="E2" t="s">
        <v>9</v>
      </c>
      <c r="F2" t="s">
        <v>10</v>
      </c>
      <c r="G2" t="s">
        <v>11</v>
      </c>
    </row>
    <row r="3" spans="1:7" x14ac:dyDescent="0.25">
      <c r="A3">
        <v>1</v>
      </c>
      <c r="B3" s="5">
        <v>0.184972</v>
      </c>
      <c r="C3" s="5">
        <v>0.108059</v>
      </c>
      <c r="D3" s="5">
        <v>5.2746899999999999E-2</v>
      </c>
      <c r="E3">
        <f>(4*$B$29*((A3*$B$24*$B$24*$B$24) +(A3*2*$B$24*$B$24*$B$24* $B$25*$B$25*$B$25)) + 4*$B$29) / ((B3*60)*1000000000)</f>
        <v>132.93908077546871</v>
      </c>
      <c r="F3">
        <f>(4*$B$29*((A3*$C$24*$C$24*$C$24) +(A3*2*$C$24*$C$24*$C$24* $B$25*$B$25*$B$25)) + 4*$B$29) / ((C3*60)*1000000000)</f>
        <v>124.63846491762214</v>
      </c>
      <c r="G3">
        <f>(4*$B$29*((A3*$D$24*$D$24*$D$24) +(A3*2*$D$24*$D$24*$D$24* $B$25*$B$25*$B$25)) + 4*$B$29) / ((D3*60)*1000000000)</f>
        <v>120.14200508213121</v>
      </c>
    </row>
    <row r="4" spans="1:7" x14ac:dyDescent="0.25">
      <c r="A4">
        <v>2</v>
      </c>
      <c r="B4" s="5">
        <v>0.36858299999999999</v>
      </c>
      <c r="C4" s="5">
        <v>0.21474199999999999</v>
      </c>
      <c r="D4" s="5">
        <v>0.104077</v>
      </c>
      <c r="E4">
        <f t="shared" ref="E4:E20" si="0">(4*$B$29*((A4*$B$24*$B$24*$B$24) +(A4*2*$B$24*$B$24*$B$24* $B$25*$B$25*$B$25)) + 4*$B$29) / ((B4*60)*1000000000)</f>
        <v>133.42904962211134</v>
      </c>
      <c r="F4">
        <f t="shared" ref="F4:F20" si="1">(4*$B$29*((A4*$C$24*$C$24*$C$24) +(A4*2*$C$24*$C$24*$C$24* $B$25*$B$25*$B$25)) + 4*$B$29) / ((C4*60)*1000000000)</f>
        <v>125.43554525678879</v>
      </c>
      <c r="G4">
        <f t="shared" ref="G4:G20" si="2">(4*$B$29*((A4*$D$24*$D$24*$D$24) +(A4*2*$D$24*$D$24*$D$24* $B$25*$B$25*$B$25)) + 4*$B$29) / ((D4*60)*1000000000)</f>
        <v>121.77427053239428</v>
      </c>
    </row>
    <row r="5" spans="1:7" x14ac:dyDescent="0.25">
      <c r="A5">
        <v>3</v>
      </c>
      <c r="B5" s="5">
        <v>0.551562</v>
      </c>
      <c r="C5" s="5">
        <v>0.32170599999999999</v>
      </c>
      <c r="D5" s="5">
        <v>0.15536900000000001</v>
      </c>
      <c r="E5">
        <f t="shared" si="0"/>
        <v>133.74625362975212</v>
      </c>
      <c r="F5">
        <f t="shared" si="1"/>
        <v>125.59371549965911</v>
      </c>
      <c r="G5">
        <f t="shared" si="2"/>
        <v>122.35827726594964</v>
      </c>
    </row>
    <row r="6" spans="1:7" x14ac:dyDescent="0.25">
      <c r="A6">
        <v>4</v>
      </c>
      <c r="B6" s="5">
        <v>0.73601000000000005</v>
      </c>
      <c r="C6" s="5">
        <v>0.42852800000000002</v>
      </c>
      <c r="D6" s="5">
        <v>0.20671100000000001</v>
      </c>
      <c r="E6">
        <f t="shared" si="0"/>
        <v>133.63816101982309</v>
      </c>
      <c r="F6">
        <f t="shared" si="1"/>
        <v>125.7145946531693</v>
      </c>
      <c r="G6">
        <f t="shared" si="2"/>
        <v>122.62272257822113</v>
      </c>
    </row>
    <row r="7" spans="1:7" x14ac:dyDescent="0.25">
      <c r="A7">
        <v>5</v>
      </c>
      <c r="B7" s="5">
        <v>0.91920299999999999</v>
      </c>
      <c r="C7" s="5">
        <v>0.535555</v>
      </c>
      <c r="D7" s="5">
        <v>0.25791900000000001</v>
      </c>
      <c r="E7">
        <f t="shared" si="0"/>
        <v>133.75575867340149</v>
      </c>
      <c r="F7">
        <f t="shared" si="1"/>
        <v>125.73908524154071</v>
      </c>
      <c r="G7">
        <f t="shared" si="2"/>
        <v>122.84573076508516</v>
      </c>
    </row>
    <row r="8" spans="1:7" x14ac:dyDescent="0.25">
      <c r="A8">
        <v>6</v>
      </c>
      <c r="B8" s="5">
        <v>1.10358</v>
      </c>
      <c r="C8" s="5">
        <v>0.64289799999999997</v>
      </c>
      <c r="D8" s="5">
        <v>0.309473</v>
      </c>
      <c r="E8">
        <f t="shared" si="0"/>
        <v>133.69068521315475</v>
      </c>
      <c r="F8">
        <f t="shared" si="1"/>
        <v>125.69360579055052</v>
      </c>
      <c r="G8">
        <f t="shared" si="2"/>
        <v>122.8573428361548</v>
      </c>
    </row>
    <row r="9" spans="1:7" x14ac:dyDescent="0.25">
      <c r="A9">
        <v>7</v>
      </c>
      <c r="B9" s="5">
        <v>1.28861</v>
      </c>
      <c r="C9" s="5">
        <v>0.75037699999999996</v>
      </c>
      <c r="D9" s="5">
        <v>0.36092800000000003</v>
      </c>
      <c r="E9">
        <f t="shared" si="0"/>
        <v>133.57651898960893</v>
      </c>
      <c r="F9">
        <f t="shared" si="1"/>
        <v>125.63836545434273</v>
      </c>
      <c r="G9">
        <f t="shared" si="2"/>
        <v>122.89933971835565</v>
      </c>
    </row>
    <row r="10" spans="1:7" x14ac:dyDescent="0.25">
      <c r="A10">
        <v>8</v>
      </c>
      <c r="B10" s="5">
        <v>1.47245</v>
      </c>
      <c r="C10" s="5">
        <v>0.85685699999999998</v>
      </c>
      <c r="D10" s="5">
        <v>0.41208699999999998</v>
      </c>
      <c r="E10">
        <f t="shared" si="0"/>
        <v>133.59890650471434</v>
      </c>
      <c r="F10">
        <f t="shared" si="1"/>
        <v>125.74339911272632</v>
      </c>
      <c r="G10">
        <f t="shared" si="2"/>
        <v>123.01915690667262</v>
      </c>
    </row>
    <row r="11" spans="1:7" x14ac:dyDescent="0.25">
      <c r="A11">
        <v>9</v>
      </c>
      <c r="B11" s="5">
        <v>1.6572899999999999</v>
      </c>
      <c r="C11" s="5">
        <v>0.96495200000000003</v>
      </c>
      <c r="D11" s="5">
        <v>0.463507</v>
      </c>
      <c r="E11">
        <f t="shared" si="0"/>
        <v>133.53570083119632</v>
      </c>
      <c r="F11">
        <f t="shared" si="1"/>
        <v>125.61462509278527</v>
      </c>
      <c r="G11">
        <f t="shared" si="2"/>
        <v>123.04318540719629</v>
      </c>
    </row>
    <row r="12" spans="1:7" x14ac:dyDescent="0.25">
      <c r="A12">
        <v>10</v>
      </c>
      <c r="B12" s="5">
        <v>1.8416699999999999</v>
      </c>
      <c r="C12" s="5">
        <v>1.0712299999999999</v>
      </c>
      <c r="D12" s="5">
        <v>0.51539500000000005</v>
      </c>
      <c r="E12">
        <f t="shared" si="0"/>
        <v>133.51852035283193</v>
      </c>
      <c r="F12">
        <f t="shared" si="1"/>
        <v>125.7246862872897</v>
      </c>
      <c r="G12">
        <f t="shared" si="2"/>
        <v>122.95066922431661</v>
      </c>
    </row>
    <row r="13" spans="1:7" x14ac:dyDescent="0.25">
      <c r="A13">
        <v>11</v>
      </c>
      <c r="B13" s="5">
        <v>2.0255999999999998</v>
      </c>
      <c r="C13" s="5">
        <v>1.1794100000000001</v>
      </c>
      <c r="D13" s="5">
        <v>0.56640900000000005</v>
      </c>
      <c r="E13">
        <f t="shared" si="0"/>
        <v>133.53412575329122</v>
      </c>
      <c r="F13">
        <f t="shared" si="1"/>
        <v>125.61198198296889</v>
      </c>
      <c r="G13">
        <f t="shared" si="2"/>
        <v>123.06468045387696</v>
      </c>
    </row>
    <row r="14" spans="1:7" x14ac:dyDescent="0.25">
      <c r="A14">
        <v>12</v>
      </c>
      <c r="B14" s="5">
        <v>2.2091400000000001</v>
      </c>
      <c r="C14" s="5">
        <v>1.2865500000000001</v>
      </c>
      <c r="D14" s="5">
        <v>0.61800299999999997</v>
      </c>
      <c r="E14">
        <f t="shared" si="0"/>
        <v>133.57070935908692</v>
      </c>
      <c r="F14">
        <f t="shared" si="1"/>
        <v>125.61968026857355</v>
      </c>
      <c r="G14">
        <f t="shared" si="2"/>
        <v>123.04426518565984</v>
      </c>
    </row>
    <row r="15" spans="1:7" x14ac:dyDescent="0.25">
      <c r="A15">
        <v>13</v>
      </c>
      <c r="B15" s="5">
        <v>2.3929</v>
      </c>
      <c r="C15" s="5">
        <v>1.39384</v>
      </c>
      <c r="D15" s="5">
        <v>0.66946300000000003</v>
      </c>
      <c r="E15">
        <f t="shared" si="0"/>
        <v>133.58939722562582</v>
      </c>
      <c r="F15">
        <f t="shared" si="1"/>
        <v>125.61267550689702</v>
      </c>
      <c r="G15">
        <f t="shared" si="2"/>
        <v>123.0516211409244</v>
      </c>
    </row>
    <row r="16" spans="1:7" x14ac:dyDescent="0.25">
      <c r="A16">
        <v>14</v>
      </c>
      <c r="B16" s="5">
        <v>2.5802700000000001</v>
      </c>
      <c r="C16" s="5">
        <v>1.5016700000000001</v>
      </c>
      <c r="D16" s="5">
        <v>0.72128099999999995</v>
      </c>
      <c r="E16">
        <f t="shared" si="0"/>
        <v>133.41849510666196</v>
      </c>
      <c r="F16">
        <f t="shared" si="1"/>
        <v>125.5615039306461</v>
      </c>
      <c r="G16">
        <f t="shared" si="2"/>
        <v>122.99684848235293</v>
      </c>
    </row>
    <row r="17" spans="1:7" x14ac:dyDescent="0.25">
      <c r="A17">
        <v>15</v>
      </c>
      <c r="B17" s="5">
        <v>2.7629299999999999</v>
      </c>
      <c r="C17" s="5">
        <v>1.61059</v>
      </c>
      <c r="D17" s="5">
        <v>0.77246400000000004</v>
      </c>
      <c r="E17">
        <f t="shared" si="0"/>
        <v>133.49792145169559</v>
      </c>
      <c r="F17">
        <f t="shared" si="1"/>
        <v>125.43224258596746</v>
      </c>
      <c r="G17">
        <f t="shared" si="2"/>
        <v>123.05048817360203</v>
      </c>
    </row>
    <row r="18" spans="1:7" x14ac:dyDescent="0.25">
      <c r="A18">
        <v>16</v>
      </c>
      <c r="B18" s="5">
        <v>2.9481600000000001</v>
      </c>
      <c r="C18" s="5">
        <v>1.7170300000000001</v>
      </c>
      <c r="D18" s="5">
        <v>0.82423100000000005</v>
      </c>
      <c r="E18">
        <f t="shared" si="0"/>
        <v>133.45106231147562</v>
      </c>
      <c r="F18">
        <f t="shared" si="1"/>
        <v>125.50036258279316</v>
      </c>
      <c r="G18">
        <f t="shared" si="2"/>
        <v>123.01024193808125</v>
      </c>
    </row>
    <row r="19" spans="1:7" x14ac:dyDescent="0.25">
      <c r="A19">
        <v>17</v>
      </c>
      <c r="B19" s="5">
        <v>3.1321699999999999</v>
      </c>
      <c r="C19" s="5">
        <v>1.82453</v>
      </c>
      <c r="D19" s="5">
        <v>0.87497899999999995</v>
      </c>
      <c r="E19">
        <f t="shared" si="0"/>
        <v>133.46170725467221</v>
      </c>
      <c r="F19">
        <f t="shared" si="1"/>
        <v>125.48758285395874</v>
      </c>
      <c r="G19">
        <f t="shared" si="2"/>
        <v>123.11796871604919</v>
      </c>
    </row>
    <row r="20" spans="1:7" x14ac:dyDescent="0.25">
      <c r="A20">
        <v>18</v>
      </c>
      <c r="B20" s="5">
        <v>3.3169599999999999</v>
      </c>
      <c r="C20" s="5">
        <v>1.93292</v>
      </c>
      <c r="D20" s="5">
        <v>0.92747900000000005</v>
      </c>
      <c r="E20">
        <f t="shared" si="0"/>
        <v>133.43978442897512</v>
      </c>
      <c r="F20">
        <f t="shared" si="1"/>
        <v>125.41845059471335</v>
      </c>
      <c r="G20">
        <f t="shared" si="2"/>
        <v>122.98113442518195</v>
      </c>
    </row>
    <row r="23" spans="1:7" x14ac:dyDescent="0.25">
      <c r="A23" t="s">
        <v>26</v>
      </c>
      <c r="B23" t="s">
        <v>27</v>
      </c>
    </row>
    <row r="24" spans="1:7" x14ac:dyDescent="0.25">
      <c r="A24" t="s">
        <v>29</v>
      </c>
      <c r="B24">
        <v>11</v>
      </c>
      <c r="C24">
        <v>9</v>
      </c>
      <c r="D24">
        <v>7</v>
      </c>
    </row>
    <row r="25" spans="1:7" x14ac:dyDescent="0.25">
      <c r="A25" t="s">
        <v>30</v>
      </c>
      <c r="B25">
        <v>3</v>
      </c>
    </row>
    <row r="26" spans="1:7" x14ac:dyDescent="0.25">
      <c r="A26" t="s">
        <v>31</v>
      </c>
      <c r="B26">
        <v>222</v>
      </c>
    </row>
    <row r="27" spans="1:7" x14ac:dyDescent="0.25">
      <c r="A27" t="s">
        <v>32</v>
      </c>
      <c r="B27">
        <v>222</v>
      </c>
    </row>
    <row r="28" spans="1:7" x14ac:dyDescent="0.25">
      <c r="A28" t="s">
        <v>33</v>
      </c>
      <c r="B28">
        <v>112</v>
      </c>
    </row>
    <row r="29" spans="1:7" x14ac:dyDescent="0.25">
      <c r="A29" t="s">
        <v>34</v>
      </c>
      <c r="B29">
        <f>(B26- (B24-1)/2)*(B27- (B24-1)/2)*(B28- (B24-1)/2)</f>
        <v>5038523</v>
      </c>
    </row>
  </sheetData>
  <mergeCells count="1">
    <mergeCell ref="E1:G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2"/>
  <sheetViews>
    <sheetView tabSelected="1" workbookViewId="0">
      <selection activeCell="G25" sqref="G25"/>
    </sheetView>
  </sheetViews>
  <sheetFormatPr baseColWidth="10" defaultRowHeight="15" x14ac:dyDescent="0.25"/>
  <cols>
    <col min="1" max="1" width="12" bestFit="1" customWidth="1"/>
    <col min="2" max="3" width="14.140625" bestFit="1" customWidth="1"/>
    <col min="6" max="6" width="11.85546875" bestFit="1" customWidth="1"/>
    <col min="7" max="7" width="12" bestFit="1" customWidth="1"/>
  </cols>
  <sheetData>
    <row r="1" spans="1:23" x14ac:dyDescent="0.25">
      <c r="A1" t="s">
        <v>0</v>
      </c>
      <c r="B1" t="s">
        <v>8</v>
      </c>
      <c r="I1" t="s">
        <v>1</v>
      </c>
      <c r="J1" t="s">
        <v>8</v>
      </c>
      <c r="Q1" t="s">
        <v>2</v>
      </c>
      <c r="R1" t="s">
        <v>8</v>
      </c>
    </row>
    <row r="2" spans="1:23" x14ac:dyDescent="0.25">
      <c r="A2" t="s">
        <v>5</v>
      </c>
      <c r="B2">
        <v>1</v>
      </c>
      <c r="C2">
        <v>2</v>
      </c>
      <c r="D2">
        <v>3</v>
      </c>
      <c r="E2">
        <v>4</v>
      </c>
      <c r="F2" t="s">
        <v>7</v>
      </c>
      <c r="G2" t="s">
        <v>6</v>
      </c>
      <c r="I2" t="s">
        <v>5</v>
      </c>
      <c r="J2">
        <v>1</v>
      </c>
      <c r="K2">
        <v>2</v>
      </c>
      <c r="L2">
        <v>3</v>
      </c>
      <c r="M2">
        <v>4</v>
      </c>
      <c r="N2" t="s">
        <v>7</v>
      </c>
      <c r="O2" t="s">
        <v>6</v>
      </c>
      <c r="Q2" t="s">
        <v>5</v>
      </c>
      <c r="R2">
        <v>1</v>
      </c>
      <c r="S2">
        <v>2</v>
      </c>
      <c r="T2">
        <v>3</v>
      </c>
      <c r="U2">
        <v>4</v>
      </c>
      <c r="V2" t="s">
        <v>7</v>
      </c>
      <c r="W2" t="s">
        <v>6</v>
      </c>
    </row>
    <row r="3" spans="1:23" x14ac:dyDescent="0.25">
      <c r="A3">
        <v>1</v>
      </c>
      <c r="B3" s="7">
        <v>0.12925500000000001</v>
      </c>
      <c r="C3" s="7">
        <v>0.129248</v>
      </c>
      <c r="D3" s="7">
        <v>0.12922400000000001</v>
      </c>
      <c r="E3" s="7">
        <v>0.12922400000000001</v>
      </c>
      <c r="F3" s="7">
        <f>60*SUM(B3:E3)/4</f>
        <v>7.7542650000000011</v>
      </c>
      <c r="G3">
        <f t="shared" ref="G3:G9" si="0">STDEV(B3:E3)</f>
        <v>1.6132265804902039E-5</v>
      </c>
      <c r="I3">
        <v>1</v>
      </c>
      <c r="J3" s="7">
        <v>7.2956099999999996E-2</v>
      </c>
      <c r="K3" s="7">
        <v>7.2946700000000003E-2</v>
      </c>
      <c r="L3" s="7">
        <v>7.2936799999999996E-2</v>
      </c>
      <c r="M3" s="7">
        <v>7.2948200000000005E-2</v>
      </c>
      <c r="N3" s="7">
        <f>60*SUM(J3:M3)/4</f>
        <v>4.376817</v>
      </c>
      <c r="O3">
        <f t="shared" ref="O3:O20" si="1">STDEV(J3:M3)</f>
        <v>7.9240141342633422E-6</v>
      </c>
      <c r="Q3">
        <v>1</v>
      </c>
      <c r="R3" s="7">
        <v>3.5347799999999999E-2</v>
      </c>
      <c r="S3" s="7">
        <v>3.5348900000000003E-2</v>
      </c>
      <c r="T3" s="7">
        <v>3.5353999999999997E-2</v>
      </c>
      <c r="U3" s="7">
        <v>3.5347499999999997E-2</v>
      </c>
      <c r="V3" s="7">
        <f t="shared" ref="V3:V20" si="2">60*SUM(R3:U3)/4</f>
        <v>2.1209730000000002</v>
      </c>
      <c r="W3">
        <f t="shared" ref="W3:W20" si="3">STDEV(R3:U3)</f>
        <v>3.0270998221610817E-6</v>
      </c>
    </row>
    <row r="4" spans="1:23" x14ac:dyDescent="0.25">
      <c r="A4">
        <v>2</v>
      </c>
      <c r="B4" s="7">
        <v>0.25741799999999998</v>
      </c>
      <c r="C4" s="7">
        <v>0.25737599999999999</v>
      </c>
      <c r="D4" s="7">
        <v>0.257662</v>
      </c>
      <c r="E4" s="7">
        <v>0.25742700000000002</v>
      </c>
      <c r="F4" s="7">
        <f t="shared" ref="F4:F9" si="4">60*SUM(B4:E4)/4</f>
        <v>15.448245000000002</v>
      </c>
      <c r="G4">
        <f t="shared" si="0"/>
        <v>1.2942275688610901E-4</v>
      </c>
      <c r="I4">
        <v>2</v>
      </c>
      <c r="J4" s="7">
        <v>0.144543</v>
      </c>
      <c r="K4" s="7">
        <v>0.14457800000000001</v>
      </c>
      <c r="L4" s="7">
        <v>0.14457900000000001</v>
      </c>
      <c r="M4" s="7">
        <v>0.144569</v>
      </c>
      <c r="N4" s="7">
        <f t="shared" ref="N4:N20" si="5">60*SUM(J4:M4)/4</f>
        <v>8.6740349999999999</v>
      </c>
      <c r="O4">
        <f t="shared" si="1"/>
        <v>1.6780444968279232E-5</v>
      </c>
      <c r="Q4">
        <v>2</v>
      </c>
      <c r="R4" s="7">
        <v>6.9223400000000004E-2</v>
      </c>
      <c r="S4" s="7">
        <v>6.9231200000000007E-2</v>
      </c>
      <c r="T4" s="7">
        <v>6.9228999999999999E-2</v>
      </c>
      <c r="U4" s="7">
        <v>6.9234000000000004E-2</v>
      </c>
      <c r="V4" s="7">
        <f t="shared" si="2"/>
        <v>4.1537640000000007</v>
      </c>
      <c r="W4">
        <f t="shared" si="3"/>
        <v>4.4929574521320917E-6</v>
      </c>
    </row>
    <row r="5" spans="1:23" x14ac:dyDescent="0.25">
      <c r="A5">
        <v>3</v>
      </c>
      <c r="B5" s="7">
        <v>0.38602300000000001</v>
      </c>
      <c r="C5" s="7">
        <v>0.385963</v>
      </c>
      <c r="D5" s="7">
        <v>0.38593699999999997</v>
      </c>
      <c r="E5" s="7">
        <v>0.38600800000000002</v>
      </c>
      <c r="F5" s="7">
        <f>60*SUM(B5:E5)/4</f>
        <v>23.158965000000002</v>
      </c>
      <c r="G5">
        <f t="shared" si="0"/>
        <v>3.975235842061706E-5</v>
      </c>
      <c r="I5">
        <v>3</v>
      </c>
      <c r="J5" s="7">
        <v>0.21632399999999999</v>
      </c>
      <c r="K5" s="7">
        <v>0.21629100000000001</v>
      </c>
      <c r="L5" s="7">
        <v>0.21628500000000001</v>
      </c>
      <c r="M5" s="7">
        <v>0.21631300000000001</v>
      </c>
      <c r="N5" s="7">
        <f t="shared" si="5"/>
        <v>12.978194999999999</v>
      </c>
      <c r="O5">
        <f t="shared" si="1"/>
        <v>1.8337120820884727E-5</v>
      </c>
      <c r="Q5">
        <v>3</v>
      </c>
      <c r="R5" s="7">
        <v>0.10309599999999999</v>
      </c>
      <c r="S5" s="7">
        <v>0.10311099999999999</v>
      </c>
      <c r="T5" s="7">
        <v>0.103118</v>
      </c>
      <c r="U5" s="7">
        <v>0.10312499999999999</v>
      </c>
      <c r="V5" s="7">
        <f t="shared" si="2"/>
        <v>6.18675</v>
      </c>
      <c r="W5">
        <f t="shared" si="3"/>
        <v>1.2396235987859609E-5</v>
      </c>
    </row>
    <row r="6" spans="1:23" x14ac:dyDescent="0.25">
      <c r="A6">
        <v>4</v>
      </c>
      <c r="B6" s="7">
        <v>0.51497199999999999</v>
      </c>
      <c r="C6" s="7">
        <v>0.515019</v>
      </c>
      <c r="D6" s="7">
        <v>0.51498299999999997</v>
      </c>
      <c r="E6" s="7">
        <v>0.51495599999999997</v>
      </c>
      <c r="F6" s="7">
        <f>60*SUM(B6:E6)/4</f>
        <v>30.898949999999992</v>
      </c>
      <c r="G6">
        <f t="shared" si="0"/>
        <v>2.6739483914255817E-5</v>
      </c>
      <c r="I6">
        <v>4</v>
      </c>
      <c r="J6" s="7">
        <v>0.288296</v>
      </c>
      <c r="K6" s="7">
        <v>0.288248</v>
      </c>
      <c r="L6" s="7">
        <v>0.28827199999999997</v>
      </c>
      <c r="M6" s="7">
        <v>0.28824100000000002</v>
      </c>
      <c r="N6" s="7">
        <f t="shared" si="5"/>
        <v>17.295855</v>
      </c>
      <c r="O6">
        <f t="shared" si="1"/>
        <v>2.49849954972851E-5</v>
      </c>
      <c r="Q6">
        <v>4</v>
      </c>
      <c r="R6" s="7">
        <v>0.137133</v>
      </c>
      <c r="S6" s="7">
        <v>0.13712099999999999</v>
      </c>
      <c r="T6" s="7">
        <v>0.137133</v>
      </c>
      <c r="U6" s="7">
        <v>0.13713500000000001</v>
      </c>
      <c r="V6" s="7">
        <f t="shared" si="2"/>
        <v>8.2278299999999991</v>
      </c>
      <c r="W6">
        <f t="shared" si="3"/>
        <v>6.4031242374392521E-6</v>
      </c>
    </row>
    <row r="7" spans="1:23" x14ac:dyDescent="0.25">
      <c r="A7">
        <v>5</v>
      </c>
      <c r="B7" s="7">
        <v>0.64395500000000006</v>
      </c>
      <c r="C7" s="7">
        <v>0.64405699999999999</v>
      </c>
      <c r="D7" s="7">
        <v>0.64401600000000003</v>
      </c>
      <c r="E7" s="7">
        <v>0.64408100000000001</v>
      </c>
      <c r="F7" s="7">
        <f t="shared" si="4"/>
        <v>38.641635000000001</v>
      </c>
      <c r="G7">
        <f t="shared" si="0"/>
        <v>5.513846207501108E-5</v>
      </c>
      <c r="I7">
        <v>5</v>
      </c>
      <c r="J7" s="7">
        <v>0.36020200000000002</v>
      </c>
      <c r="K7" s="7">
        <v>0.360234</v>
      </c>
      <c r="L7" s="7">
        <v>0.360182</v>
      </c>
      <c r="M7" s="7">
        <v>0.360232</v>
      </c>
      <c r="N7" s="7">
        <f t="shared" si="5"/>
        <v>21.612750000000002</v>
      </c>
      <c r="O7">
        <f t="shared" si="1"/>
        <v>2.5053276565479508E-5</v>
      </c>
      <c r="Q7">
        <v>5</v>
      </c>
      <c r="R7" s="7">
        <v>0.17111799999999999</v>
      </c>
      <c r="S7" s="7">
        <v>0.17111599999999999</v>
      </c>
      <c r="T7" s="7">
        <v>0.171128</v>
      </c>
      <c r="U7" s="7">
        <v>0.17113300000000001</v>
      </c>
      <c r="V7" s="7">
        <f t="shared" si="2"/>
        <v>10.267424999999999</v>
      </c>
      <c r="W7">
        <f t="shared" si="3"/>
        <v>8.0983537421789945E-6</v>
      </c>
    </row>
    <row r="8" spans="1:23" x14ac:dyDescent="0.25">
      <c r="A8">
        <v>6</v>
      </c>
      <c r="B8" s="7">
        <v>0.77334199999999997</v>
      </c>
      <c r="C8" s="7">
        <v>0.77327800000000002</v>
      </c>
      <c r="D8" s="7">
        <v>0.77321399999999996</v>
      </c>
      <c r="E8" s="7">
        <v>0.77313900000000002</v>
      </c>
      <c r="F8" s="7">
        <f>60*SUM(B8:E8)/4</f>
        <v>46.394594999999995</v>
      </c>
      <c r="G8">
        <f t="shared" si="0"/>
        <v>8.6953531651479425E-5</v>
      </c>
      <c r="I8">
        <v>6</v>
      </c>
      <c r="J8" s="7">
        <v>0.43237399999999998</v>
      </c>
      <c r="K8" s="7">
        <v>0.432315</v>
      </c>
      <c r="L8" s="7">
        <v>0.43235600000000002</v>
      </c>
      <c r="M8" s="7">
        <v>0.432338</v>
      </c>
      <c r="N8" s="7">
        <f t="shared" si="5"/>
        <v>25.940745</v>
      </c>
      <c r="O8">
        <f t="shared" si="1"/>
        <v>2.5223996511252099E-5</v>
      </c>
      <c r="Q8">
        <v>6</v>
      </c>
      <c r="R8" s="7">
        <v>0.20518</v>
      </c>
      <c r="S8" s="7">
        <v>0.20515</v>
      </c>
      <c r="T8" s="7">
        <v>0.205174</v>
      </c>
      <c r="U8" s="7">
        <v>0.205151</v>
      </c>
      <c r="V8" s="7">
        <f t="shared" si="2"/>
        <v>12.309824999999998</v>
      </c>
      <c r="W8">
        <f t="shared" si="3"/>
        <v>1.5499999999999686E-5</v>
      </c>
    </row>
    <row r="9" spans="1:23" x14ac:dyDescent="0.25">
      <c r="A9">
        <v>7</v>
      </c>
      <c r="B9" s="7">
        <v>0.90239499999999995</v>
      </c>
      <c r="C9" s="7">
        <v>0.90238300000000005</v>
      </c>
      <c r="D9" s="7">
        <v>0.90229800000000004</v>
      </c>
      <c r="E9" s="7">
        <v>0.90236700000000003</v>
      </c>
      <c r="F9" s="7">
        <f t="shared" si="4"/>
        <v>54.141644999999997</v>
      </c>
      <c r="G9">
        <f t="shared" si="0"/>
        <v>4.3377221364802501E-5</v>
      </c>
      <c r="I9">
        <v>7</v>
      </c>
      <c r="J9" s="7">
        <v>0.50438899999999998</v>
      </c>
      <c r="K9" s="7">
        <v>0.50439500000000004</v>
      </c>
      <c r="L9" s="7">
        <v>0.50436899999999996</v>
      </c>
      <c r="M9" s="7">
        <v>0.50437600000000005</v>
      </c>
      <c r="N9" s="7">
        <f t="shared" si="5"/>
        <v>30.262935000000002</v>
      </c>
      <c r="O9">
        <f t="shared" si="1"/>
        <v>1.1870832602099712E-5</v>
      </c>
      <c r="Q9">
        <v>7</v>
      </c>
      <c r="R9" s="7">
        <v>0.2392</v>
      </c>
      <c r="S9" s="7">
        <v>0.23919099999999999</v>
      </c>
      <c r="T9" s="7">
        <v>0.23919799999999999</v>
      </c>
      <c r="U9" s="7">
        <v>0.23918800000000001</v>
      </c>
      <c r="V9" s="7">
        <f t="shared" si="2"/>
        <v>14.351654999999999</v>
      </c>
      <c r="W9">
        <f t="shared" si="3"/>
        <v>5.6789083457957706E-6</v>
      </c>
    </row>
    <row r="10" spans="1:23" x14ac:dyDescent="0.25">
      <c r="A10">
        <v>8</v>
      </c>
      <c r="B10" s="7">
        <v>1.03148</v>
      </c>
      <c r="C10" s="7">
        <v>1.0315300000000001</v>
      </c>
      <c r="D10" s="7">
        <v>1.0317099999999999</v>
      </c>
      <c r="E10" s="7">
        <v>1.03132</v>
      </c>
      <c r="F10" s="7">
        <f t="shared" ref="F10:F20" si="6">60*SUM(B10:E10)/4</f>
        <v>61.890599999999992</v>
      </c>
      <c r="G10">
        <f t="shared" ref="G10:G20" si="7">STDEV(B10:E10)</f>
        <v>1.6062378404205029E-4</v>
      </c>
      <c r="I10">
        <v>8</v>
      </c>
      <c r="J10" s="7">
        <v>0.57649600000000001</v>
      </c>
      <c r="K10" s="7">
        <v>0.57650900000000005</v>
      </c>
      <c r="L10" s="7">
        <v>0.576631</v>
      </c>
      <c r="M10" s="7">
        <v>0.57659000000000005</v>
      </c>
      <c r="N10" s="7">
        <f t="shared" si="5"/>
        <v>34.593389999999999</v>
      </c>
      <c r="O10">
        <f t="shared" si="1"/>
        <v>6.4779111859709183E-5</v>
      </c>
      <c r="Q10">
        <v>8</v>
      </c>
      <c r="R10" s="7">
        <v>0.27335900000000002</v>
      </c>
      <c r="S10" s="7">
        <v>0.27321899999999999</v>
      </c>
      <c r="T10" s="7">
        <v>0.27322000000000002</v>
      </c>
      <c r="U10" s="7">
        <v>0.273204</v>
      </c>
      <c r="V10" s="7">
        <f t="shared" si="2"/>
        <v>16.395030000000002</v>
      </c>
      <c r="W10">
        <f t="shared" si="3"/>
        <v>7.270259050864545E-5</v>
      </c>
    </row>
    <row r="11" spans="1:23" x14ac:dyDescent="0.25">
      <c r="A11">
        <v>9</v>
      </c>
      <c r="B11" s="7">
        <v>1.16082</v>
      </c>
      <c r="C11" s="7">
        <v>1.16106</v>
      </c>
      <c r="D11" s="7">
        <v>1.1608400000000001</v>
      </c>
      <c r="E11" s="7">
        <v>1.1610100000000001</v>
      </c>
      <c r="F11" s="7">
        <f t="shared" si="6"/>
        <v>69.655950000000004</v>
      </c>
      <c r="G11">
        <f t="shared" si="7"/>
        <v>1.2038133853163066E-4</v>
      </c>
      <c r="I11">
        <v>9</v>
      </c>
      <c r="J11" s="7">
        <v>0.64871999999999996</v>
      </c>
      <c r="K11" s="7">
        <v>0.64878800000000003</v>
      </c>
      <c r="L11" s="7">
        <v>0.648733</v>
      </c>
      <c r="M11" s="7">
        <v>0.64864599999999994</v>
      </c>
      <c r="N11" s="7">
        <f t="shared" si="5"/>
        <v>38.923304999999999</v>
      </c>
      <c r="O11">
        <f t="shared" si="1"/>
        <v>5.8471503030714965E-5</v>
      </c>
      <c r="Q11">
        <v>9</v>
      </c>
      <c r="R11" s="7">
        <v>0.30733199999999999</v>
      </c>
      <c r="S11" s="7">
        <v>0.30732199999999998</v>
      </c>
      <c r="T11" s="7">
        <v>0.30732199999999998</v>
      </c>
      <c r="U11" s="7">
        <v>0.30732900000000002</v>
      </c>
      <c r="V11" s="7">
        <f t="shared" si="2"/>
        <v>18.439575000000001</v>
      </c>
      <c r="W11">
        <f t="shared" si="3"/>
        <v>5.0579969685079281E-6</v>
      </c>
    </row>
    <row r="12" spans="1:23" x14ac:dyDescent="0.25">
      <c r="A12">
        <v>10</v>
      </c>
      <c r="B12" s="7">
        <v>1.2903800000000001</v>
      </c>
      <c r="C12" s="7">
        <v>1.29023</v>
      </c>
      <c r="D12" s="7">
        <v>1.2903800000000001</v>
      </c>
      <c r="E12" s="7">
        <v>1.29037</v>
      </c>
      <c r="F12" s="7">
        <f t="shared" si="6"/>
        <v>77.420400000000001</v>
      </c>
      <c r="G12">
        <f t="shared" si="7"/>
        <v>7.3484692283533589E-5</v>
      </c>
      <c r="I12">
        <v>10</v>
      </c>
      <c r="J12" s="7">
        <v>0.72084899999999996</v>
      </c>
      <c r="K12" s="7">
        <v>0.72077400000000003</v>
      </c>
      <c r="L12" s="7">
        <v>0.72087500000000004</v>
      </c>
      <c r="M12" s="7">
        <v>0.72082500000000005</v>
      </c>
      <c r="N12" s="7">
        <f t="shared" si="5"/>
        <v>43.249845000000001</v>
      </c>
      <c r="O12">
        <f t="shared" si="1"/>
        <v>4.2991278185227975E-5</v>
      </c>
      <c r="Q12">
        <v>10</v>
      </c>
      <c r="R12" s="7">
        <v>0.34138800000000002</v>
      </c>
      <c r="S12" s="7">
        <v>0.34139999999999998</v>
      </c>
      <c r="T12" s="7">
        <v>0.34135500000000002</v>
      </c>
      <c r="U12" s="7">
        <v>0.34138400000000002</v>
      </c>
      <c r="V12" s="7">
        <f t="shared" si="2"/>
        <v>20.482905000000002</v>
      </c>
      <c r="W12">
        <f t="shared" si="3"/>
        <v>1.9085334683980739E-5</v>
      </c>
    </row>
    <row r="13" spans="1:23" x14ac:dyDescent="0.25">
      <c r="A13">
        <v>11</v>
      </c>
      <c r="B13" s="7">
        <v>1.4196500000000001</v>
      </c>
      <c r="C13" s="7">
        <v>1.4198299999999999</v>
      </c>
      <c r="D13" s="7">
        <v>1.4198500000000001</v>
      </c>
      <c r="E13" s="7">
        <v>1.4195500000000001</v>
      </c>
      <c r="F13" s="7">
        <f t="shared" si="6"/>
        <v>85.183199999999999</v>
      </c>
      <c r="G13">
        <f t="shared" si="7"/>
        <v>1.4468356276135501E-4</v>
      </c>
      <c r="I13">
        <v>11</v>
      </c>
      <c r="J13" s="7">
        <v>0.79291500000000004</v>
      </c>
      <c r="K13" s="7">
        <v>0.79322300000000001</v>
      </c>
      <c r="L13" s="7">
        <v>0.79305300000000001</v>
      </c>
      <c r="M13" s="7">
        <v>0.79295000000000004</v>
      </c>
      <c r="N13" s="7">
        <f t="shared" si="5"/>
        <v>47.582115000000002</v>
      </c>
      <c r="O13">
        <f t="shared" si="1"/>
        <v>1.381940061411111E-4</v>
      </c>
      <c r="Q13">
        <v>11</v>
      </c>
      <c r="R13" s="7">
        <v>0.37544100000000002</v>
      </c>
      <c r="S13" s="7">
        <v>0.37545000000000001</v>
      </c>
      <c r="T13" s="7">
        <v>0.37543300000000002</v>
      </c>
      <c r="U13" s="7">
        <v>0.375417</v>
      </c>
      <c r="V13" s="7">
        <f t="shared" si="2"/>
        <v>22.526115000000001</v>
      </c>
      <c r="W13">
        <f t="shared" si="3"/>
        <v>1.4008925726126169E-5</v>
      </c>
    </row>
    <row r="14" spans="1:23" x14ac:dyDescent="0.25">
      <c r="A14">
        <v>12</v>
      </c>
      <c r="B14" s="7">
        <v>1.5492600000000001</v>
      </c>
      <c r="C14" s="7">
        <v>1.54924</v>
      </c>
      <c r="D14" s="7">
        <v>1.54915</v>
      </c>
      <c r="E14" s="7">
        <v>1.5491699999999999</v>
      </c>
      <c r="F14" s="7">
        <f t="shared" si="6"/>
        <v>92.952300000000008</v>
      </c>
      <c r="G14">
        <f t="shared" si="7"/>
        <v>5.3229064742259657E-5</v>
      </c>
      <c r="I14">
        <v>12</v>
      </c>
      <c r="J14" s="7">
        <v>0.86526700000000001</v>
      </c>
      <c r="K14" s="7">
        <v>0.86526099999999995</v>
      </c>
      <c r="L14" s="7">
        <v>0.86528899999999997</v>
      </c>
      <c r="M14" s="7">
        <v>0.86541999999999997</v>
      </c>
      <c r="N14" s="7">
        <f t="shared" si="5"/>
        <v>51.918555000000005</v>
      </c>
      <c r="O14">
        <f t="shared" si="1"/>
        <v>7.4808087798040816E-5</v>
      </c>
      <c r="Q14">
        <v>12</v>
      </c>
      <c r="R14" s="7">
        <v>0.40953200000000001</v>
      </c>
      <c r="S14" s="7">
        <v>0.40954299999999999</v>
      </c>
      <c r="T14" s="7">
        <v>0.40959699999999999</v>
      </c>
      <c r="U14" s="7">
        <v>0.40947800000000001</v>
      </c>
      <c r="V14" s="7">
        <f t="shared" si="2"/>
        <v>24.57225</v>
      </c>
      <c r="W14">
        <f t="shared" si="3"/>
        <v>4.8788659884572435E-5</v>
      </c>
    </row>
    <row r="15" spans="1:23" x14ac:dyDescent="0.25">
      <c r="A15">
        <v>13</v>
      </c>
      <c r="B15" s="7">
        <v>1.67876</v>
      </c>
      <c r="C15" s="7">
        <v>1.67855</v>
      </c>
      <c r="D15" s="7">
        <v>1.6786700000000001</v>
      </c>
      <c r="E15" s="7">
        <v>1.6787300000000001</v>
      </c>
      <c r="F15" s="7">
        <f t="shared" si="6"/>
        <v>100.72065000000001</v>
      </c>
      <c r="G15">
        <f t="shared" si="7"/>
        <v>9.2870878105056194E-5</v>
      </c>
      <c r="I15">
        <v>13</v>
      </c>
      <c r="J15" s="7">
        <v>0.93769100000000005</v>
      </c>
      <c r="K15" s="7">
        <v>0.93759099999999995</v>
      </c>
      <c r="L15" s="7">
        <v>0.93763600000000002</v>
      </c>
      <c r="M15" s="7">
        <v>0.937635</v>
      </c>
      <c r="N15" s="7">
        <f t="shared" si="5"/>
        <v>56.258295000000004</v>
      </c>
      <c r="O15">
        <f t="shared" si="1"/>
        <v>4.0950172974848094E-5</v>
      </c>
      <c r="Q15">
        <v>13</v>
      </c>
      <c r="R15" s="7">
        <v>0.44367000000000001</v>
      </c>
      <c r="S15" s="7">
        <v>0.44368800000000003</v>
      </c>
      <c r="T15" s="7">
        <v>0.44367000000000001</v>
      </c>
      <c r="U15" s="7">
        <v>0.44359599999999999</v>
      </c>
      <c r="V15" s="7">
        <f t="shared" si="2"/>
        <v>26.619360000000004</v>
      </c>
      <c r="W15">
        <f t="shared" si="3"/>
        <v>4.089009660053549E-5</v>
      </c>
    </row>
    <row r="16" spans="1:23" x14ac:dyDescent="0.25">
      <c r="A16">
        <v>14</v>
      </c>
      <c r="B16" s="7">
        <v>1.80847</v>
      </c>
      <c r="C16" s="7">
        <v>1.8083</v>
      </c>
      <c r="D16" s="7">
        <v>1.80854</v>
      </c>
      <c r="E16" s="7">
        <v>1.8083499999999999</v>
      </c>
      <c r="F16" s="7">
        <f t="shared" si="6"/>
        <v>108.50489999999999</v>
      </c>
      <c r="G16">
        <f t="shared" si="7"/>
        <v>1.0969655114605932E-4</v>
      </c>
      <c r="I16">
        <v>14</v>
      </c>
      <c r="J16" s="7">
        <v>1.00987</v>
      </c>
      <c r="K16" s="7">
        <v>1.0097799999999999</v>
      </c>
      <c r="L16" s="7">
        <v>1.0098</v>
      </c>
      <c r="M16" s="7">
        <v>1.0097799999999999</v>
      </c>
      <c r="N16" s="7">
        <f t="shared" si="5"/>
        <v>60.588449999999995</v>
      </c>
      <c r="O16">
        <f t="shared" si="1"/>
        <v>4.2720018726650951E-5</v>
      </c>
      <c r="Q16">
        <v>14</v>
      </c>
      <c r="R16" s="7">
        <v>0.47773300000000002</v>
      </c>
      <c r="S16" s="7">
        <v>0.47780099999999998</v>
      </c>
      <c r="T16" s="7">
        <v>0.47778199999999998</v>
      </c>
      <c r="U16" s="7">
        <v>0.477796</v>
      </c>
      <c r="V16" s="7">
        <f t="shared" si="2"/>
        <v>28.666680000000003</v>
      </c>
      <c r="W16">
        <f t="shared" si="3"/>
        <v>3.1059083480773748E-5</v>
      </c>
    </row>
    <row r="17" spans="1:23" x14ac:dyDescent="0.25">
      <c r="A17">
        <v>15</v>
      </c>
      <c r="B17" s="7">
        <v>1.93743</v>
      </c>
      <c r="C17" s="7">
        <v>1.9374400000000001</v>
      </c>
      <c r="D17" s="7">
        <v>1.93757</v>
      </c>
      <c r="E17" s="7">
        <v>1.9380200000000001</v>
      </c>
      <c r="F17" s="7">
        <f t="shared" si="6"/>
        <v>116.2569</v>
      </c>
      <c r="G17">
        <f t="shared" si="7"/>
        <v>2.7742866951107015E-4</v>
      </c>
      <c r="I17">
        <v>15</v>
      </c>
      <c r="J17" s="7">
        <v>1.08202</v>
      </c>
      <c r="K17" s="7">
        <v>1.0822099999999999</v>
      </c>
      <c r="L17" s="7">
        <v>1.08186</v>
      </c>
      <c r="M17" s="7">
        <v>1.08203</v>
      </c>
      <c r="N17" s="7">
        <f t="shared" si="5"/>
        <v>64.921800000000005</v>
      </c>
      <c r="O17">
        <f t="shared" si="1"/>
        <v>1.430617582257716E-4</v>
      </c>
      <c r="Q17">
        <v>15</v>
      </c>
      <c r="R17" s="7">
        <v>0.51193299999999997</v>
      </c>
      <c r="S17" s="7">
        <v>0.51184799999999997</v>
      </c>
      <c r="T17" s="7">
        <v>0.51192099999999996</v>
      </c>
      <c r="U17" s="7">
        <v>0.51192199999999999</v>
      </c>
      <c r="V17" s="7">
        <f t="shared" si="2"/>
        <v>30.714359999999999</v>
      </c>
      <c r="W17">
        <f t="shared" si="3"/>
        <v>3.9046980250293268E-5</v>
      </c>
    </row>
    <row r="18" spans="1:23" x14ac:dyDescent="0.25">
      <c r="A18">
        <v>16</v>
      </c>
      <c r="B18" s="7">
        <v>2.0674700000000001</v>
      </c>
      <c r="C18" s="7">
        <v>2.0670999999999999</v>
      </c>
      <c r="D18" s="7">
        <v>2.0674800000000002</v>
      </c>
      <c r="E18" s="7">
        <v>2.0673900000000001</v>
      </c>
      <c r="F18" s="7">
        <f t="shared" si="6"/>
        <v>124.04159999999999</v>
      </c>
      <c r="G18">
        <f t="shared" si="7"/>
        <v>1.7795130420063119E-4</v>
      </c>
      <c r="I18">
        <v>16</v>
      </c>
      <c r="J18" s="7">
        <v>1.15418</v>
      </c>
      <c r="K18" s="7">
        <v>1.1541399999999999</v>
      </c>
      <c r="L18" s="7">
        <v>1.1540699999999999</v>
      </c>
      <c r="M18" s="7">
        <v>1.1541399999999999</v>
      </c>
      <c r="N18" s="7">
        <f t="shared" si="5"/>
        <v>69.247950000000003</v>
      </c>
      <c r="O18">
        <f t="shared" si="1"/>
        <v>4.573474244672793E-5</v>
      </c>
      <c r="Q18">
        <v>16</v>
      </c>
      <c r="R18" s="7">
        <v>0.54608699999999999</v>
      </c>
      <c r="S18" s="7">
        <v>0.54603500000000005</v>
      </c>
      <c r="T18" s="7">
        <v>0.54607600000000001</v>
      </c>
      <c r="U18" s="7">
        <v>0.54606200000000005</v>
      </c>
      <c r="V18" s="7">
        <f t="shared" si="2"/>
        <v>32.7639</v>
      </c>
      <c r="W18">
        <f t="shared" si="3"/>
        <v>2.2464787260632864E-5</v>
      </c>
    </row>
    <row r="19" spans="1:23" x14ac:dyDescent="0.25">
      <c r="A19">
        <v>17</v>
      </c>
      <c r="B19" s="7">
        <v>2.1970800000000001</v>
      </c>
      <c r="C19" s="7">
        <v>2.1969599999999998</v>
      </c>
      <c r="D19" s="7">
        <v>2.1968800000000002</v>
      </c>
      <c r="E19" s="7">
        <v>2.1967300000000001</v>
      </c>
      <c r="F19" s="7">
        <f t="shared" si="6"/>
        <v>131.81475</v>
      </c>
      <c r="G19">
        <f t="shared" si="7"/>
        <v>1.468275632615717E-4</v>
      </c>
      <c r="I19">
        <v>17</v>
      </c>
      <c r="J19" s="7">
        <v>1.2264299999999999</v>
      </c>
      <c r="K19" s="7">
        <v>1.22638</v>
      </c>
      <c r="L19" s="7">
        <v>1.22638</v>
      </c>
      <c r="M19" s="7">
        <v>1.2263599999999999</v>
      </c>
      <c r="N19" s="7">
        <f t="shared" si="5"/>
        <v>73.583249999999992</v>
      </c>
      <c r="O19">
        <f t="shared" si="1"/>
        <v>2.9860788111933135E-5</v>
      </c>
      <c r="Q19">
        <v>17</v>
      </c>
      <c r="R19" s="7">
        <v>0.58019699999999996</v>
      </c>
      <c r="S19" s="7">
        <v>0.58022399999999996</v>
      </c>
      <c r="T19" s="7">
        <v>0.58013199999999998</v>
      </c>
      <c r="U19" s="7">
        <v>0.58016800000000002</v>
      </c>
      <c r="V19" s="7">
        <f t="shared" si="2"/>
        <v>34.810814999999998</v>
      </c>
      <c r="W19">
        <f t="shared" si="3"/>
        <v>3.9466230290366988E-5</v>
      </c>
    </row>
    <row r="20" spans="1:23" x14ac:dyDescent="0.25">
      <c r="A20">
        <v>18</v>
      </c>
      <c r="B20" s="7">
        <v>2.3263500000000001</v>
      </c>
      <c r="C20" s="7">
        <v>2.3259500000000002</v>
      </c>
      <c r="D20" s="7">
        <v>2.3265899999999999</v>
      </c>
      <c r="E20" s="7">
        <v>2.3265400000000001</v>
      </c>
      <c r="F20" s="7">
        <f t="shared" si="6"/>
        <v>139.58144999999999</v>
      </c>
      <c r="G20">
        <f t="shared" si="7"/>
        <v>2.9067450295237874E-4</v>
      </c>
      <c r="I20">
        <v>18</v>
      </c>
      <c r="J20" s="7">
        <v>1.29863</v>
      </c>
      <c r="K20" s="7">
        <v>1.2985599999999999</v>
      </c>
      <c r="L20" s="7">
        <v>1.29853</v>
      </c>
      <c r="M20" s="7">
        <v>1.29857</v>
      </c>
      <c r="N20" s="7">
        <f t="shared" si="5"/>
        <v>77.914349999999999</v>
      </c>
      <c r="O20">
        <f t="shared" si="1"/>
        <v>4.1932485418027122E-5</v>
      </c>
      <c r="Q20">
        <v>18</v>
      </c>
      <c r="R20" s="7">
        <v>0.614232</v>
      </c>
      <c r="S20" s="7">
        <v>0.61433899999999997</v>
      </c>
      <c r="T20" s="7">
        <v>0.61426099999999995</v>
      </c>
      <c r="U20" s="7">
        <v>0.61426700000000001</v>
      </c>
      <c r="V20" s="7">
        <f t="shared" si="2"/>
        <v>36.856484999999999</v>
      </c>
      <c r="W20">
        <f t="shared" si="3"/>
        <v>4.5478016667386669E-5</v>
      </c>
    </row>
    <row r="21" spans="1:23" x14ac:dyDescent="0.25">
      <c r="E21" s="7"/>
      <c r="F21" s="7">
        <f>(SUM(F3:F20)/18)</f>
        <v>73.581166666666661</v>
      </c>
      <c r="N21" s="7">
        <f>SUM(N3:N20)/18</f>
        <v>41.106813166666669</v>
      </c>
      <c r="V21" s="7">
        <f>SUM(V3:V20)/18</f>
        <v>19.470316500000003</v>
      </c>
    </row>
    <row r="22" spans="1:23" x14ac:dyDescent="0.25">
      <c r="G22" t="s">
        <v>26</v>
      </c>
      <c r="H22" t="s">
        <v>28</v>
      </c>
    </row>
    <row r="23" spans="1:23" x14ac:dyDescent="0.25">
      <c r="G23" s="18" t="s">
        <v>35</v>
      </c>
      <c r="H23" s="18"/>
      <c r="I23" s="18"/>
    </row>
    <row r="24" spans="1:23" x14ac:dyDescent="0.25">
      <c r="A24" t="s">
        <v>29</v>
      </c>
      <c r="B24">
        <v>11</v>
      </c>
      <c r="C24">
        <v>9</v>
      </c>
      <c r="D24">
        <v>7</v>
      </c>
      <c r="F24" t="s">
        <v>5</v>
      </c>
      <c r="G24" t="s">
        <v>9</v>
      </c>
      <c r="H24" t="s">
        <v>10</v>
      </c>
      <c r="I24" t="s">
        <v>11</v>
      </c>
    </row>
    <row r="25" spans="1:23" x14ac:dyDescent="0.25">
      <c r="A25" t="s">
        <v>30</v>
      </c>
      <c r="B25">
        <v>3</v>
      </c>
      <c r="F25">
        <v>1</v>
      </c>
      <c r="G25">
        <f>(4*$B$29*((A3*$B$24*$B$24*$B$24) +(A3*2*$B$24*$B$24*$B$24* $B$25*$B$25*$B$25)) + 4*$B$29) / (F3*1000000000)</f>
        <v>190.26954314199989</v>
      </c>
      <c r="H25">
        <f>(4*$B$29*((A3*$C$24*$C$24*$C$24) +(A3*2*$C$24*$C$24*$C$24* $B$25*$B$25*$B$25)) + 4*$B$29) / (N3*1000000000)</f>
        <v>184.63154224451239</v>
      </c>
      <c r="I25">
        <f>(4*$B$29*((A3*$D$24*$D$24*$D$24) +(A3*2*$D$24*$D$24*$D$24* $B$25*$B$25*$B$25)) + 4*$B$29) / (V3*1000000000)</f>
        <v>179.27012728214831</v>
      </c>
    </row>
    <row r="26" spans="1:23" x14ac:dyDescent="0.25">
      <c r="A26" t="s">
        <v>31</v>
      </c>
      <c r="B26">
        <v>222</v>
      </c>
      <c r="F26">
        <v>2</v>
      </c>
      <c r="G26">
        <f t="shared" ref="G26:G42" si="8">(4*$B$29*((A4*$B$24*$B$24*$B$24) +(A4*2*$B$24*$B$24*$B$24* $B$25*$B$25*$B$25)) + 4*$B$29) / (F4*1000000000)</f>
        <v>191.01074353831129</v>
      </c>
      <c r="H26">
        <f t="shared" ref="H26:H42" si="9">(4*$B$29*((A4*$C$24*$C$24*$C$24) +(A4*2*$C$24*$C$24*$C$24* $B$25*$B$25*$B$25)) + 4*$B$29) / (N4*1000000000)</f>
        <v>186.32352665996851</v>
      </c>
      <c r="I26">
        <f t="shared" ref="I26:I41" si="10">(4*$B$29*((A4*$D$24*$D$24*$D$24) +(A4*2*$D$24*$D$24*$D$24* $B$25*$B$25*$B$25)) + 4*$B$29) / (V4*1000000000)</f>
        <v>183.07107607750461</v>
      </c>
    </row>
    <row r="27" spans="1:23" x14ac:dyDescent="0.25">
      <c r="A27" t="s">
        <v>32</v>
      </c>
      <c r="B27">
        <v>222</v>
      </c>
      <c r="F27">
        <v>3</v>
      </c>
      <c r="G27">
        <f t="shared" si="8"/>
        <v>191.12084968702183</v>
      </c>
      <c r="H27">
        <f t="shared" si="9"/>
        <v>186.79447414004798</v>
      </c>
      <c r="I27">
        <f t="shared" si="10"/>
        <v>184.36836640109911</v>
      </c>
      <c r="J27" s="4"/>
    </row>
    <row r="28" spans="1:23" x14ac:dyDescent="0.25">
      <c r="A28" t="s">
        <v>33</v>
      </c>
      <c r="B28">
        <v>112</v>
      </c>
      <c r="F28">
        <v>4</v>
      </c>
      <c r="G28">
        <f t="shared" si="8"/>
        <v>190.99488408285723</v>
      </c>
      <c r="H28">
        <f t="shared" si="9"/>
        <v>186.88485935225521</v>
      </c>
      <c r="I28">
        <f t="shared" si="10"/>
        <v>184.84192507769365</v>
      </c>
      <c r="J28" s="4"/>
    </row>
    <row r="29" spans="1:23" x14ac:dyDescent="0.25">
      <c r="A29" t="s">
        <v>34</v>
      </c>
      <c r="B29">
        <f>(B26- (B24-1)/2)*(B27- (B24-1)/2)*(B28- (B24-1)/2)</f>
        <v>5038523</v>
      </c>
      <c r="F29">
        <v>5</v>
      </c>
      <c r="G29">
        <f t="shared" si="8"/>
        <v>190.9060441772715</v>
      </c>
      <c r="H29">
        <f t="shared" si="9"/>
        <v>186.94574951322716</v>
      </c>
      <c r="I29">
        <f t="shared" si="10"/>
        <v>185.15400716265276</v>
      </c>
    </row>
    <row r="30" spans="1:23" x14ac:dyDescent="0.25">
      <c r="F30">
        <v>6</v>
      </c>
      <c r="G30">
        <f t="shared" si="8"/>
        <v>190.80459659690965</v>
      </c>
      <c r="H30">
        <f t="shared" si="9"/>
        <v>186.9063539436512</v>
      </c>
      <c r="I30">
        <f t="shared" si="10"/>
        <v>185.32041093776721</v>
      </c>
    </row>
    <row r="31" spans="1:23" x14ac:dyDescent="0.25">
      <c r="F31">
        <v>7</v>
      </c>
      <c r="G31">
        <f t="shared" si="8"/>
        <v>190.75301993709277</v>
      </c>
      <c r="H31">
        <f t="shared" si="9"/>
        <v>186.91407113262474</v>
      </c>
      <c r="I31">
        <f t="shared" si="10"/>
        <v>185.44681941922377</v>
      </c>
    </row>
    <row r="32" spans="1:23" x14ac:dyDescent="0.25">
      <c r="F32">
        <v>8</v>
      </c>
      <c r="G32">
        <f t="shared" si="8"/>
        <v>190.70848550461622</v>
      </c>
      <c r="H32">
        <f t="shared" si="9"/>
        <v>186.87520084073864</v>
      </c>
      <c r="I32">
        <f t="shared" si="10"/>
        <v>185.52425452908594</v>
      </c>
    </row>
    <row r="33" spans="6:9" x14ac:dyDescent="0.25">
      <c r="F33">
        <v>9</v>
      </c>
      <c r="G33">
        <f t="shared" si="8"/>
        <v>190.62898284829939</v>
      </c>
      <c r="H33">
        <f t="shared" si="9"/>
        <v>186.84757172475463</v>
      </c>
      <c r="I33">
        <f t="shared" si="10"/>
        <v>185.57275123271552</v>
      </c>
    </row>
    <row r="34" spans="6:9" x14ac:dyDescent="0.25">
      <c r="F34">
        <v>10</v>
      </c>
      <c r="G34">
        <f t="shared" si="8"/>
        <v>190.56764370491499</v>
      </c>
      <c r="H34">
        <f t="shared" si="9"/>
        <v>186.84005321850287</v>
      </c>
      <c r="I34">
        <f t="shared" si="10"/>
        <v>185.62257696806188</v>
      </c>
    </row>
    <row r="35" spans="6:9" x14ac:dyDescent="0.25">
      <c r="F35">
        <v>11</v>
      </c>
      <c r="G35">
        <f t="shared" si="8"/>
        <v>190.52117679955671</v>
      </c>
      <c r="H35">
        <f t="shared" si="9"/>
        <v>186.81140298685756</v>
      </c>
      <c r="I35">
        <f t="shared" si="10"/>
        <v>185.66435248474937</v>
      </c>
    </row>
    <row r="36" spans="6:9" x14ac:dyDescent="0.25">
      <c r="F36">
        <v>12</v>
      </c>
      <c r="G36">
        <f t="shared" si="8"/>
        <v>190.46956140312824</v>
      </c>
      <c r="H36">
        <f t="shared" si="9"/>
        <v>186.77253207397621</v>
      </c>
      <c r="I36">
        <f t="shared" si="10"/>
        <v>185.67707479176713</v>
      </c>
    </row>
    <row r="37" spans="6:9" x14ac:dyDescent="0.25">
      <c r="F37">
        <v>13</v>
      </c>
      <c r="G37">
        <f t="shared" si="8"/>
        <v>190.4273266432653</v>
      </c>
      <c r="H37">
        <f t="shared" si="9"/>
        <v>186.72870014478752</v>
      </c>
      <c r="I37">
        <f t="shared" si="10"/>
        <v>185.68103991350654</v>
      </c>
    </row>
    <row r="38" spans="6:9" x14ac:dyDescent="0.25">
      <c r="F38">
        <v>14</v>
      </c>
      <c r="G38">
        <f t="shared" si="8"/>
        <v>190.36324094240908</v>
      </c>
      <c r="H38">
        <f t="shared" si="9"/>
        <v>186.72068053320396</v>
      </c>
      <c r="I38">
        <f t="shared" si="10"/>
        <v>185.68307848038208</v>
      </c>
    </row>
    <row r="39" spans="6:9" x14ac:dyDescent="0.25">
      <c r="F39">
        <v>15</v>
      </c>
      <c r="G39">
        <f t="shared" si="8"/>
        <v>190.36052679016902</v>
      </c>
      <c r="H39">
        <f t="shared" si="9"/>
        <v>186.70454200579772</v>
      </c>
      <c r="I39">
        <f t="shared" si="10"/>
        <v>185.68266888165667</v>
      </c>
    </row>
    <row r="40" spans="6:9" x14ac:dyDescent="0.25">
      <c r="F40">
        <v>16</v>
      </c>
      <c r="G40">
        <f t="shared" si="8"/>
        <v>190.30796951870988</v>
      </c>
      <c r="H40">
        <f t="shared" si="9"/>
        <v>186.7098340663081</v>
      </c>
      <c r="I40">
        <f t="shared" si="10"/>
        <v>185.67176933673952</v>
      </c>
    </row>
    <row r="41" spans="6:9" x14ac:dyDescent="0.25">
      <c r="F41">
        <v>17</v>
      </c>
      <c r="G41">
        <f t="shared" si="8"/>
        <v>190.27829083400758</v>
      </c>
      <c r="H41">
        <f t="shared" si="9"/>
        <v>186.69128602870899</v>
      </c>
      <c r="I41">
        <f t="shared" si="10"/>
        <v>185.67615348712749</v>
      </c>
    </row>
    <row r="42" spans="6:9" x14ac:dyDescent="0.25">
      <c r="F42">
        <v>18</v>
      </c>
      <c r="G42">
        <f t="shared" si="8"/>
        <v>190.26070900948514</v>
      </c>
      <c r="H42">
        <f t="shared" si="9"/>
        <v>186.68486474458172</v>
      </c>
      <c r="I42">
        <f>(4*$B$29*((A20*$D$24*$D$24*$D$24) +(A20*2*$D$24*$D$24*$D$24* $B$25*$B$25*$B$25)) + 4*$B$29) / (V20*1000000000)</f>
        <v>185.68632289628269</v>
      </c>
    </row>
  </sheetData>
  <mergeCells count="1">
    <mergeCell ref="G23:I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90F9-DE72-4F00-830A-B1D7B7C98D77}">
  <dimension ref="A4:V60"/>
  <sheetViews>
    <sheetView workbookViewId="0">
      <selection activeCell="J7" sqref="J7"/>
    </sheetView>
  </sheetViews>
  <sheetFormatPr baseColWidth="10" defaultRowHeight="15" x14ac:dyDescent="0.25"/>
  <cols>
    <col min="2" max="2" width="11.85546875" bestFit="1" customWidth="1"/>
    <col min="4" max="4" width="12.5703125" bestFit="1" customWidth="1"/>
    <col min="7" max="7" width="13.28515625" bestFit="1" customWidth="1"/>
  </cols>
  <sheetData>
    <row r="4" spans="1:22" x14ac:dyDescent="0.25">
      <c r="A4" t="s">
        <v>47</v>
      </c>
    </row>
    <row r="5" spans="1:22" x14ac:dyDescent="0.25">
      <c r="A5" t="s">
        <v>2</v>
      </c>
      <c r="E5" t="s">
        <v>1</v>
      </c>
      <c r="H5" t="s">
        <v>0</v>
      </c>
    </row>
    <row r="6" spans="1:22" x14ac:dyDescent="0.25">
      <c r="A6" t="s">
        <v>5</v>
      </c>
      <c r="B6" t="s">
        <v>45</v>
      </c>
      <c r="C6" t="s">
        <v>46</v>
      </c>
      <c r="D6" t="s">
        <v>49</v>
      </c>
      <c r="E6" t="s">
        <v>45</v>
      </c>
      <c r="F6" t="s">
        <v>46</v>
      </c>
      <c r="G6" t="s">
        <v>48</v>
      </c>
      <c r="H6" t="s">
        <v>45</v>
      </c>
      <c r="I6" t="s">
        <v>46</v>
      </c>
      <c r="J6" t="s">
        <v>51</v>
      </c>
    </row>
    <row r="7" spans="1:22" x14ac:dyDescent="0.25">
      <c r="A7">
        <v>1</v>
      </c>
      <c r="B7">
        <v>1.77094</v>
      </c>
      <c r="C7">
        <v>0.19178500000000001</v>
      </c>
      <c r="D7" s="7">
        <f>B7/C7</f>
        <v>9.2339859738769974</v>
      </c>
      <c r="E7" s="7">
        <v>3.5920700000000001</v>
      </c>
      <c r="F7">
        <v>0.32780100000000001</v>
      </c>
      <c r="G7" s="7">
        <f>E7/F7</f>
        <v>10.958081274919845</v>
      </c>
      <c r="H7">
        <v>6.37622</v>
      </c>
      <c r="I7">
        <v>1.08026</v>
      </c>
      <c r="J7">
        <f>H7/I7</f>
        <v>5.9024864384500031</v>
      </c>
      <c r="U7" s="4"/>
    </row>
    <row r="8" spans="1:22" x14ac:dyDescent="0.25">
      <c r="A8">
        <v>2</v>
      </c>
      <c r="B8">
        <v>3.4367700000000001</v>
      </c>
      <c r="C8">
        <v>0.32598700000000003</v>
      </c>
      <c r="D8" s="7">
        <f t="shared" ref="D8:D24" si="0">B8/C8</f>
        <v>10.542659676612871</v>
      </c>
      <c r="E8" s="7">
        <v>7.0877400000000002</v>
      </c>
      <c r="F8">
        <v>0.611039</v>
      </c>
      <c r="G8" s="7">
        <f t="shared" ref="G8:G24" si="1">E8/F8</f>
        <v>11.599488739671282</v>
      </c>
      <c r="H8">
        <v>12.6685</v>
      </c>
      <c r="I8">
        <v>2.0823399999999999</v>
      </c>
      <c r="J8">
        <f t="shared" ref="J8:J24" si="2">H8/I8</f>
        <v>6.0837807466600076</v>
      </c>
      <c r="U8" s="4"/>
    </row>
    <row r="9" spans="1:22" x14ac:dyDescent="0.25">
      <c r="A9">
        <v>3</v>
      </c>
      <c r="B9">
        <v>5.1061100000000001</v>
      </c>
      <c r="C9">
        <v>0.46140799999999998</v>
      </c>
      <c r="D9" s="7">
        <f t="shared" si="0"/>
        <v>11.066366426243151</v>
      </c>
      <c r="E9" s="7">
        <v>10.5928</v>
      </c>
      <c r="F9">
        <v>0.91460200000000003</v>
      </c>
      <c r="G9" s="7">
        <f t="shared" si="1"/>
        <v>11.581868397401275</v>
      </c>
      <c r="H9">
        <v>18.9787</v>
      </c>
      <c r="I9">
        <v>3.09456</v>
      </c>
      <c r="J9">
        <f t="shared" si="2"/>
        <v>6.132923582027817</v>
      </c>
      <c r="U9" s="4"/>
    </row>
    <row r="10" spans="1:22" x14ac:dyDescent="0.25">
      <c r="A10">
        <v>4</v>
      </c>
      <c r="B10">
        <v>6.7772300000000003</v>
      </c>
      <c r="C10">
        <v>0.60230700000000004</v>
      </c>
      <c r="D10" s="7">
        <f t="shared" si="0"/>
        <v>11.252118936024319</v>
      </c>
      <c r="E10" s="7">
        <v>14.1022</v>
      </c>
      <c r="F10">
        <v>1.16699</v>
      </c>
      <c r="G10" s="7">
        <f t="shared" si="1"/>
        <v>12.084250936169118</v>
      </c>
      <c r="H10">
        <v>25.2928</v>
      </c>
      <c r="I10">
        <v>4.1187800000000001</v>
      </c>
      <c r="J10">
        <f t="shared" si="2"/>
        <v>6.1408475325217662</v>
      </c>
      <c r="U10" s="4"/>
    </row>
    <row r="11" spans="1:22" x14ac:dyDescent="0.25">
      <c r="A11">
        <v>5</v>
      </c>
      <c r="B11">
        <v>8.4506300000000003</v>
      </c>
      <c r="C11">
        <v>0.76009300000000002</v>
      </c>
      <c r="D11" s="7">
        <f t="shared" si="0"/>
        <v>11.117889521413828</v>
      </c>
      <c r="E11" s="7">
        <v>17.615400000000001</v>
      </c>
      <c r="F11">
        <v>1.4556899999999999</v>
      </c>
      <c r="G11" s="7">
        <f t="shared" si="1"/>
        <v>12.101065474105065</v>
      </c>
      <c r="H11">
        <v>31.617999999999999</v>
      </c>
      <c r="I11">
        <v>5.1491800000000003</v>
      </c>
      <c r="J11">
        <f t="shared" si="2"/>
        <v>6.1403951697163421</v>
      </c>
      <c r="U11" s="4"/>
    </row>
    <row r="12" spans="1:22" x14ac:dyDescent="0.25">
      <c r="A12">
        <v>6</v>
      </c>
      <c r="B12">
        <v>10.1256</v>
      </c>
      <c r="C12">
        <v>0.87836499999999995</v>
      </c>
      <c r="D12" s="7">
        <f t="shared" si="0"/>
        <v>11.527781730829441</v>
      </c>
      <c r="E12" s="7">
        <v>21.132999999999999</v>
      </c>
      <c r="F12">
        <v>1.7210300000000001</v>
      </c>
      <c r="G12" s="7">
        <f t="shared" si="1"/>
        <v>12.279274620430787</v>
      </c>
      <c r="H12">
        <v>37.9572</v>
      </c>
      <c r="I12">
        <v>6.1523599999999998</v>
      </c>
      <c r="J12">
        <f t="shared" si="2"/>
        <v>6.1695349426886592</v>
      </c>
      <c r="U12" s="4"/>
    </row>
    <row r="13" spans="1:22" x14ac:dyDescent="0.25">
      <c r="A13">
        <v>7</v>
      </c>
      <c r="B13">
        <v>11.802199999999999</v>
      </c>
      <c r="C13">
        <v>1.01664</v>
      </c>
      <c r="D13" s="7">
        <f t="shared" si="0"/>
        <v>11.609025810513062</v>
      </c>
      <c r="E13" s="7">
        <v>24.654499999999999</v>
      </c>
      <c r="F13">
        <v>2.00312</v>
      </c>
      <c r="G13" s="7">
        <f t="shared" si="1"/>
        <v>12.308049442869123</v>
      </c>
      <c r="H13">
        <v>44.296199999999999</v>
      </c>
      <c r="I13">
        <v>7.19191</v>
      </c>
      <c r="J13">
        <f t="shared" si="2"/>
        <v>6.1591705124229863</v>
      </c>
      <c r="V13" s="4"/>
    </row>
    <row r="14" spans="1:22" x14ac:dyDescent="0.25">
      <c r="A14">
        <v>8</v>
      </c>
      <c r="B14">
        <v>13.4795</v>
      </c>
      <c r="C14">
        <v>1.1452</v>
      </c>
      <c r="D14" s="7">
        <f t="shared" si="0"/>
        <v>11.770433112120154</v>
      </c>
      <c r="E14" s="7">
        <v>28.174600000000002</v>
      </c>
      <c r="F14">
        <v>2.2834599999999998</v>
      </c>
      <c r="G14" s="7">
        <f t="shared" si="1"/>
        <v>12.338556401250734</v>
      </c>
      <c r="H14">
        <v>50.646700000000003</v>
      </c>
      <c r="I14">
        <v>8.2031299999999998</v>
      </c>
      <c r="J14">
        <f t="shared" si="2"/>
        <v>6.1740701415191523</v>
      </c>
      <c r="V14" s="4"/>
    </row>
    <row r="15" spans="1:22" x14ac:dyDescent="0.25">
      <c r="A15">
        <v>9</v>
      </c>
      <c r="B15">
        <v>15.154999999999999</v>
      </c>
      <c r="C15">
        <v>1.2889600000000001</v>
      </c>
      <c r="D15" s="7">
        <f t="shared" si="0"/>
        <v>11.757540963257199</v>
      </c>
      <c r="E15" s="7">
        <v>31.742799999999999</v>
      </c>
      <c r="F15">
        <v>2.5760999999999998</v>
      </c>
      <c r="G15" s="7">
        <f t="shared" si="1"/>
        <v>12.322037187997362</v>
      </c>
      <c r="H15">
        <v>56.995800000000003</v>
      </c>
      <c r="I15">
        <v>9.2223600000000001</v>
      </c>
      <c r="J15">
        <f t="shared" si="2"/>
        <v>6.1801751395521318</v>
      </c>
      <c r="V15" s="4"/>
    </row>
    <row r="16" spans="1:22" x14ac:dyDescent="0.25">
      <c r="A16">
        <v>10</v>
      </c>
      <c r="B16">
        <v>16.832999999999998</v>
      </c>
      <c r="C16">
        <v>1.4297</v>
      </c>
      <c r="D16" s="7">
        <f t="shared" si="0"/>
        <v>11.773798699027767</v>
      </c>
      <c r="E16" s="7">
        <v>35.270899999999997</v>
      </c>
      <c r="F16">
        <v>2.85731</v>
      </c>
      <c r="G16" s="7">
        <f t="shared" si="1"/>
        <v>12.344092870567071</v>
      </c>
      <c r="H16">
        <v>63.340499999999999</v>
      </c>
      <c r="I16">
        <v>10.301500000000001</v>
      </c>
      <c r="J16">
        <f t="shared" si="2"/>
        <v>6.148667669756831</v>
      </c>
      <c r="V16" s="4"/>
    </row>
    <row r="17" spans="1:22" x14ac:dyDescent="0.25">
      <c r="A17">
        <v>11</v>
      </c>
      <c r="B17">
        <v>18.511500000000002</v>
      </c>
      <c r="C17">
        <v>1.5581799999999999</v>
      </c>
      <c r="D17" s="7">
        <f t="shared" si="0"/>
        <v>11.880206394639902</v>
      </c>
      <c r="E17" s="7">
        <v>38.804200000000002</v>
      </c>
      <c r="F17">
        <v>3.1236100000000002</v>
      </c>
      <c r="G17" s="7">
        <f t="shared" si="1"/>
        <v>12.422869692439196</v>
      </c>
      <c r="H17">
        <v>69.695700000000002</v>
      </c>
      <c r="I17">
        <v>11.267300000000001</v>
      </c>
      <c r="J17">
        <f t="shared" si="2"/>
        <v>6.1856611610589933</v>
      </c>
      <c r="V17" s="4"/>
    </row>
    <row r="18" spans="1:22" x14ac:dyDescent="0.25">
      <c r="A18">
        <v>12</v>
      </c>
      <c r="B18">
        <v>20.1889</v>
      </c>
      <c r="C18">
        <v>1.7178100000000001</v>
      </c>
      <c r="D18" s="7">
        <f t="shared" si="0"/>
        <v>11.752696747603052</v>
      </c>
      <c r="E18" s="7">
        <v>42.331499999999998</v>
      </c>
      <c r="F18">
        <v>3.4259499999999998</v>
      </c>
      <c r="G18" s="7">
        <f t="shared" si="1"/>
        <v>12.356134794728469</v>
      </c>
      <c r="H18">
        <v>76.042599999999993</v>
      </c>
      <c r="I18">
        <v>12.2843</v>
      </c>
      <c r="J18">
        <f t="shared" si="2"/>
        <v>6.1902265493353301</v>
      </c>
      <c r="V18" s="4"/>
    </row>
    <row r="19" spans="1:22" x14ac:dyDescent="0.25">
      <c r="A19">
        <v>13</v>
      </c>
      <c r="B19">
        <v>21.866399999999999</v>
      </c>
      <c r="C19">
        <v>1.83104</v>
      </c>
      <c r="D19" s="7">
        <f t="shared" si="0"/>
        <v>11.942065711289757</v>
      </c>
      <c r="E19" s="7">
        <v>45.859900000000003</v>
      </c>
      <c r="F19">
        <v>3.6825999999999999</v>
      </c>
      <c r="G19" s="7">
        <f t="shared" si="1"/>
        <v>12.453130940096672</v>
      </c>
      <c r="H19">
        <v>82.394400000000005</v>
      </c>
      <c r="I19">
        <v>13.317299999999999</v>
      </c>
      <c r="J19">
        <f t="shared" si="2"/>
        <v>6.1870198914194328</v>
      </c>
      <c r="V19" s="4"/>
    </row>
    <row r="20" spans="1:22" x14ac:dyDescent="0.25">
      <c r="A20">
        <v>14</v>
      </c>
      <c r="B20">
        <v>23.5444</v>
      </c>
      <c r="C20">
        <v>1.9677899999999999</v>
      </c>
      <c r="D20" s="7">
        <f t="shared" si="0"/>
        <v>11.964894627983677</v>
      </c>
      <c r="E20" s="7">
        <v>49.391300000000001</v>
      </c>
      <c r="F20">
        <v>3.9674200000000002</v>
      </c>
      <c r="G20" s="7">
        <f t="shared" si="1"/>
        <v>12.449223928900897</v>
      </c>
      <c r="H20">
        <v>88.748900000000006</v>
      </c>
      <c r="I20">
        <v>14.347200000000001</v>
      </c>
      <c r="J20">
        <f t="shared" si="2"/>
        <v>6.1857993197278915</v>
      </c>
      <c r="V20" s="4"/>
    </row>
    <row r="21" spans="1:22" x14ac:dyDescent="0.25">
      <c r="A21">
        <v>15</v>
      </c>
      <c r="B21">
        <v>25.220500000000001</v>
      </c>
      <c r="C21">
        <v>2.1125600000000002</v>
      </c>
      <c r="D21" s="7">
        <f t="shared" si="0"/>
        <v>11.938359147195818</v>
      </c>
      <c r="E21" s="7">
        <v>52.924799999999998</v>
      </c>
      <c r="F21">
        <v>4.2510199999999996</v>
      </c>
      <c r="G21" s="7">
        <f t="shared" si="1"/>
        <v>12.449906140173418</v>
      </c>
      <c r="H21">
        <v>95.101200000000006</v>
      </c>
      <c r="I21">
        <v>15.3714</v>
      </c>
      <c r="J21">
        <f t="shared" si="2"/>
        <v>6.1868925406924555</v>
      </c>
      <c r="V21" s="4"/>
    </row>
    <row r="22" spans="1:22" x14ac:dyDescent="0.25">
      <c r="A22">
        <v>16</v>
      </c>
      <c r="B22">
        <v>26.8993</v>
      </c>
      <c r="C22">
        <v>2.2855799999999999</v>
      </c>
      <c r="D22" s="7">
        <f t="shared" si="0"/>
        <v>11.769135186692219</v>
      </c>
      <c r="E22" s="7">
        <v>56.455599999999997</v>
      </c>
      <c r="F22">
        <v>4.5599499999999997</v>
      </c>
      <c r="G22" s="7">
        <f t="shared" si="1"/>
        <v>12.380749788923124</v>
      </c>
      <c r="H22">
        <v>101.464</v>
      </c>
      <c r="I22">
        <v>16.381599999999999</v>
      </c>
      <c r="J22">
        <f t="shared" si="2"/>
        <v>6.1937783855056896</v>
      </c>
      <c r="V22" s="4"/>
    </row>
    <row r="23" spans="1:22" x14ac:dyDescent="0.25">
      <c r="A23">
        <v>17</v>
      </c>
      <c r="B23">
        <v>28.576499999999999</v>
      </c>
      <c r="C23">
        <v>2.3813300000000002</v>
      </c>
      <c r="D23" s="7">
        <f t="shared" si="0"/>
        <v>12.000226764035222</v>
      </c>
      <c r="E23" s="7">
        <v>59.9848</v>
      </c>
      <c r="F23">
        <v>4.8071299999999999</v>
      </c>
      <c r="G23" s="7">
        <f t="shared" si="1"/>
        <v>12.478297861717907</v>
      </c>
      <c r="H23">
        <v>107.82</v>
      </c>
      <c r="I23">
        <v>17.4008</v>
      </c>
      <c r="J23">
        <f t="shared" si="2"/>
        <v>6.1962668383062844</v>
      </c>
      <c r="V23" s="4"/>
    </row>
    <row r="24" spans="1:22" x14ac:dyDescent="0.25">
      <c r="A24">
        <v>18</v>
      </c>
      <c r="B24">
        <v>30.253699999999998</v>
      </c>
      <c r="C24">
        <v>2.51973</v>
      </c>
      <c r="D24" s="7">
        <f t="shared" si="0"/>
        <v>12.006722942537493</v>
      </c>
      <c r="E24" s="7">
        <v>63.519199999999998</v>
      </c>
      <c r="F24">
        <v>5.0861599999999996</v>
      </c>
      <c r="G24" s="7">
        <f t="shared" si="1"/>
        <v>12.488635827421867</v>
      </c>
      <c r="H24">
        <v>114.176</v>
      </c>
      <c r="I24">
        <v>18.428699999999999</v>
      </c>
      <c r="J24">
        <f t="shared" si="2"/>
        <v>6.1955536744317294</v>
      </c>
      <c r="V24" s="4"/>
    </row>
    <row r="25" spans="1:22" x14ac:dyDescent="0.25">
      <c r="U25" s="4"/>
    </row>
    <row r="26" spans="1:22" x14ac:dyDescent="0.25">
      <c r="U26" s="4"/>
    </row>
    <row r="27" spans="1:22" x14ac:dyDescent="0.25">
      <c r="U27" s="4"/>
    </row>
    <row r="28" spans="1:22" x14ac:dyDescent="0.25">
      <c r="V28" s="4"/>
    </row>
    <row r="29" spans="1:22" x14ac:dyDescent="0.25">
      <c r="V29" s="4"/>
    </row>
    <row r="30" spans="1:22" x14ac:dyDescent="0.25">
      <c r="V30" s="4"/>
    </row>
    <row r="31" spans="1:22" x14ac:dyDescent="0.25">
      <c r="V31" s="4"/>
    </row>
    <row r="32" spans="1:22" x14ac:dyDescent="0.25">
      <c r="V32" s="4"/>
    </row>
    <row r="33" spans="22:22" x14ac:dyDescent="0.25">
      <c r="V33" s="4"/>
    </row>
    <row r="34" spans="22:22" x14ac:dyDescent="0.25">
      <c r="V34" s="4"/>
    </row>
    <row r="35" spans="22:22" x14ac:dyDescent="0.25">
      <c r="V35" s="4"/>
    </row>
    <row r="36" spans="22:22" x14ac:dyDescent="0.25">
      <c r="V36" s="4"/>
    </row>
    <row r="37" spans="22:22" x14ac:dyDescent="0.25">
      <c r="V37" s="4"/>
    </row>
    <row r="38" spans="22:22" x14ac:dyDescent="0.25">
      <c r="V38" s="4"/>
    </row>
    <row r="39" spans="22:22" x14ac:dyDescent="0.25">
      <c r="V39" s="4"/>
    </row>
    <row r="40" spans="22:22" x14ac:dyDescent="0.25">
      <c r="V40" s="4"/>
    </row>
    <row r="41" spans="22:22" x14ac:dyDescent="0.25">
      <c r="V41" s="4"/>
    </row>
    <row r="42" spans="22:22" x14ac:dyDescent="0.25">
      <c r="V42" s="4"/>
    </row>
    <row r="43" spans="22:22" x14ac:dyDescent="0.25">
      <c r="V43" s="4"/>
    </row>
    <row r="44" spans="22:22" x14ac:dyDescent="0.25">
      <c r="V44" s="4"/>
    </row>
    <row r="45" spans="22:22" x14ac:dyDescent="0.25">
      <c r="V45" s="4"/>
    </row>
    <row r="46" spans="22:22" x14ac:dyDescent="0.25">
      <c r="V46" s="4"/>
    </row>
    <row r="47" spans="22:22" x14ac:dyDescent="0.25">
      <c r="V47" s="4"/>
    </row>
    <row r="48" spans="22:22" x14ac:dyDescent="0.25">
      <c r="V48" s="4"/>
    </row>
    <row r="49" spans="22:22" x14ac:dyDescent="0.25">
      <c r="V49" s="4"/>
    </row>
    <row r="50" spans="22:22" x14ac:dyDescent="0.25">
      <c r="V50" s="4"/>
    </row>
    <row r="51" spans="22:22" x14ac:dyDescent="0.25">
      <c r="V51" s="4"/>
    </row>
    <row r="52" spans="22:22" x14ac:dyDescent="0.25">
      <c r="V52" s="4"/>
    </row>
    <row r="53" spans="22:22" x14ac:dyDescent="0.25">
      <c r="V53" s="4"/>
    </row>
    <row r="54" spans="22:22" x14ac:dyDescent="0.25">
      <c r="V54" s="4"/>
    </row>
    <row r="55" spans="22:22" x14ac:dyDescent="0.25">
      <c r="V55" s="4"/>
    </row>
    <row r="56" spans="22:22" x14ac:dyDescent="0.25">
      <c r="V56" s="4"/>
    </row>
    <row r="57" spans="22:22" x14ac:dyDescent="0.25">
      <c r="V57" s="4"/>
    </row>
    <row r="58" spans="22:22" x14ac:dyDescent="0.25">
      <c r="V58" s="4"/>
    </row>
    <row r="59" spans="22:22" x14ac:dyDescent="0.25">
      <c r="V59" s="4"/>
    </row>
    <row r="60" spans="22:22" x14ac:dyDescent="0.25">
      <c r="V60" s="4"/>
    </row>
  </sheetData>
  <sortState xmlns:xlrd2="http://schemas.microsoft.com/office/spreadsheetml/2017/richdata2" ref="H7:H24">
    <sortCondition ref="H7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5"/>
  <sheetViews>
    <sheetView workbookViewId="0">
      <selection activeCell="A26" sqref="A26"/>
    </sheetView>
  </sheetViews>
  <sheetFormatPr baseColWidth="10" defaultRowHeight="15" x14ac:dyDescent="0.25"/>
  <sheetData>
    <row r="1" spans="1:27" ht="19.5" x14ac:dyDescent="0.3">
      <c r="B1" s="19" t="s">
        <v>9</v>
      </c>
      <c r="C1" s="19"/>
      <c r="D1" s="19"/>
      <c r="E1" s="19"/>
      <c r="F1" s="19"/>
      <c r="G1" s="19"/>
      <c r="H1" s="19"/>
      <c r="I1" s="19"/>
      <c r="K1" s="19" t="s">
        <v>10</v>
      </c>
      <c r="L1" s="19"/>
      <c r="M1" s="19"/>
      <c r="N1" s="19"/>
      <c r="O1" s="19"/>
      <c r="P1" s="19"/>
      <c r="Q1" s="19"/>
      <c r="R1" s="19"/>
      <c r="T1" s="19" t="s">
        <v>11</v>
      </c>
      <c r="U1" s="19"/>
      <c r="V1" s="19"/>
      <c r="W1" s="19"/>
      <c r="X1" s="19"/>
      <c r="Y1" s="19"/>
      <c r="Z1" s="19"/>
      <c r="AA1" s="19"/>
    </row>
    <row r="2" spans="1:27" ht="17.25" x14ac:dyDescent="0.3">
      <c r="B2" s="20" t="s">
        <v>38</v>
      </c>
      <c r="C2" s="20"/>
      <c r="D2" s="20"/>
      <c r="E2" s="20"/>
      <c r="F2" s="20" t="s">
        <v>39</v>
      </c>
      <c r="G2" s="20"/>
      <c r="H2" s="20"/>
      <c r="I2" s="20"/>
      <c r="K2" s="20" t="s">
        <v>38</v>
      </c>
      <c r="L2" s="20"/>
      <c r="M2" s="20"/>
      <c r="N2" s="20"/>
      <c r="O2" s="20" t="s">
        <v>39</v>
      </c>
      <c r="P2" s="20"/>
      <c r="Q2" s="20"/>
      <c r="R2" s="20"/>
      <c r="T2" s="20" t="s">
        <v>38</v>
      </c>
      <c r="U2" s="20"/>
      <c r="V2" s="20"/>
      <c r="W2" s="20"/>
      <c r="X2" s="20" t="s">
        <v>39</v>
      </c>
      <c r="Y2" s="20"/>
      <c r="Z2" s="20"/>
      <c r="AA2" s="20"/>
    </row>
    <row r="3" spans="1:27" x14ac:dyDescent="0.25">
      <c r="A3" t="s">
        <v>5</v>
      </c>
      <c r="B3" s="11" t="s">
        <v>40</v>
      </c>
      <c r="C3" s="12" t="s">
        <v>27</v>
      </c>
      <c r="D3" s="12" t="s">
        <v>41</v>
      </c>
      <c r="E3" s="12" t="s">
        <v>28</v>
      </c>
      <c r="F3" s="13" t="s">
        <v>40</v>
      </c>
      <c r="G3" s="13" t="s">
        <v>27</v>
      </c>
      <c r="H3" s="13" t="s">
        <v>41</v>
      </c>
      <c r="I3" s="13" t="s">
        <v>28</v>
      </c>
      <c r="K3" s="11" t="s">
        <v>40</v>
      </c>
      <c r="L3" s="12" t="s">
        <v>27</v>
      </c>
      <c r="M3" s="12" t="s">
        <v>41</v>
      </c>
      <c r="N3" s="12" t="s">
        <v>28</v>
      </c>
      <c r="O3" s="13" t="s">
        <v>40</v>
      </c>
      <c r="P3" s="13" t="s">
        <v>27</v>
      </c>
      <c r="Q3" s="13" t="s">
        <v>41</v>
      </c>
      <c r="R3" s="13" t="s">
        <v>28</v>
      </c>
      <c r="T3" s="11" t="s">
        <v>40</v>
      </c>
      <c r="U3" s="12" t="s">
        <v>27</v>
      </c>
      <c r="V3" s="12" t="s">
        <v>41</v>
      </c>
      <c r="W3" s="12" t="s">
        <v>28</v>
      </c>
      <c r="X3" s="13" t="s">
        <v>40</v>
      </c>
      <c r="Y3" s="13" t="s">
        <v>27</v>
      </c>
      <c r="Z3" s="13" t="s">
        <v>41</v>
      </c>
      <c r="AA3" s="13" t="s">
        <v>28</v>
      </c>
    </row>
    <row r="4" spans="1:27" x14ac:dyDescent="0.25">
      <c r="A4">
        <v>1</v>
      </c>
      <c r="B4" s="7">
        <v>0.30561100000000002</v>
      </c>
      <c r="C4" s="7">
        <v>0.30702400000000002</v>
      </c>
      <c r="D4" s="7">
        <v>0.304091</v>
      </c>
      <c r="E4" s="7">
        <v>0.45380900000000002</v>
      </c>
      <c r="F4" s="14">
        <v>0.193795</v>
      </c>
      <c r="G4" s="7">
        <v>0.184972</v>
      </c>
      <c r="H4" s="7">
        <v>0.19814000000000001</v>
      </c>
      <c r="I4" s="7">
        <v>0.27346399999999998</v>
      </c>
      <c r="K4" s="7">
        <v>0.17682</v>
      </c>
      <c r="L4" s="7">
        <v>0.17894399999999999</v>
      </c>
      <c r="M4" s="7">
        <v>0.17935599999999999</v>
      </c>
      <c r="N4" s="7">
        <v>0.26130599999999998</v>
      </c>
      <c r="O4" s="14">
        <v>0.112136</v>
      </c>
      <c r="P4" s="7">
        <v>0.108059</v>
      </c>
      <c r="Q4" s="7">
        <v>0.115173</v>
      </c>
      <c r="R4" s="7">
        <v>0.15487000000000001</v>
      </c>
      <c r="T4" s="7">
        <v>8.6424899999999999E-2</v>
      </c>
      <c r="U4" s="7">
        <v>8.6635500000000004E-2</v>
      </c>
      <c r="V4" s="7">
        <v>8.5823300000000005E-2</v>
      </c>
      <c r="W4" s="7">
        <v>0.12925300000000001</v>
      </c>
      <c r="X4" s="14">
        <v>5.5200199999999998E-2</v>
      </c>
      <c r="Y4" s="7">
        <v>5.2746899999999999E-2</v>
      </c>
      <c r="Z4" s="7">
        <v>5.6040800000000002E-2</v>
      </c>
      <c r="AA4" s="7">
        <v>7.5857099999999997E-2</v>
      </c>
    </row>
    <row r="5" spans="1:27" x14ac:dyDescent="0.25">
      <c r="A5">
        <v>2</v>
      </c>
      <c r="B5" s="7">
        <v>0.60899099999999995</v>
      </c>
      <c r="C5" s="7">
        <v>0.61316899999999996</v>
      </c>
      <c r="D5" s="7">
        <v>0.60577899999999996</v>
      </c>
      <c r="E5" s="7">
        <v>0.90457600000000005</v>
      </c>
      <c r="F5" s="15">
        <v>0.38578000000000001</v>
      </c>
      <c r="G5" s="7">
        <v>0.36858299999999999</v>
      </c>
      <c r="H5" s="7">
        <v>0.39423999999999998</v>
      </c>
      <c r="I5" s="7">
        <v>0.54414899999999999</v>
      </c>
      <c r="K5" s="7">
        <v>0.35177599999999998</v>
      </c>
      <c r="L5" s="7">
        <v>0.35632399999999997</v>
      </c>
      <c r="M5" s="7">
        <v>0.35666599999999998</v>
      </c>
      <c r="N5" s="7">
        <v>0.52025900000000003</v>
      </c>
      <c r="O5" s="15">
        <v>0.22259699999999999</v>
      </c>
      <c r="P5" s="7">
        <v>0.21474199999999999</v>
      </c>
      <c r="Q5" s="7">
        <v>0.22864300000000001</v>
      </c>
      <c r="R5" s="7">
        <v>0.30760500000000002</v>
      </c>
      <c r="T5" s="7">
        <v>0.171291</v>
      </c>
      <c r="U5" s="7">
        <v>0.172071</v>
      </c>
      <c r="V5" s="7">
        <v>0.16994500000000001</v>
      </c>
      <c r="W5" s="7">
        <v>0.25663599999999998</v>
      </c>
      <c r="X5" s="15">
        <v>0.108847</v>
      </c>
      <c r="Y5" s="7">
        <v>0.104077</v>
      </c>
      <c r="Z5" s="7">
        <v>0.110412</v>
      </c>
      <c r="AA5" s="7">
        <v>0.14985000000000001</v>
      </c>
    </row>
    <row r="6" spans="1:27" x14ac:dyDescent="0.25">
      <c r="A6">
        <v>3</v>
      </c>
      <c r="B6" s="7">
        <v>0.91313599999999995</v>
      </c>
      <c r="C6" s="7">
        <v>0.918655</v>
      </c>
      <c r="D6" s="7">
        <v>0.90743300000000005</v>
      </c>
      <c r="E6" s="7">
        <v>1.35545</v>
      </c>
      <c r="F6" s="15">
        <v>0.57752899999999996</v>
      </c>
      <c r="G6" s="7">
        <v>0.551562</v>
      </c>
      <c r="H6" s="7">
        <v>0.59043999999999996</v>
      </c>
      <c r="I6" s="7">
        <v>0.81494699999999998</v>
      </c>
      <c r="K6" s="7">
        <v>0.52700499999999995</v>
      </c>
      <c r="L6" s="7">
        <v>0.53384900000000002</v>
      </c>
      <c r="M6" s="7">
        <v>0.533999</v>
      </c>
      <c r="N6" s="7">
        <v>0.77926200000000001</v>
      </c>
      <c r="O6" s="15">
        <v>0.333177</v>
      </c>
      <c r="P6" s="7">
        <v>0.32170599999999999</v>
      </c>
      <c r="Q6" s="7">
        <v>0.342364</v>
      </c>
      <c r="R6" s="7">
        <v>0.46036700000000003</v>
      </c>
      <c r="T6" s="7">
        <v>0.25612400000000002</v>
      </c>
      <c r="U6" s="7">
        <v>0.25742199999999998</v>
      </c>
      <c r="V6" s="7">
        <v>0.25396600000000003</v>
      </c>
      <c r="W6" s="7">
        <v>0.38392799999999999</v>
      </c>
      <c r="X6" s="15">
        <v>0.16247</v>
      </c>
      <c r="Y6" s="7">
        <v>0.15536900000000001</v>
      </c>
      <c r="Z6" s="7">
        <v>0.16486100000000001</v>
      </c>
      <c r="AA6" s="7">
        <v>0.22381400000000001</v>
      </c>
    </row>
    <row r="7" spans="1:27" x14ac:dyDescent="0.25">
      <c r="A7">
        <v>4</v>
      </c>
      <c r="B7" s="7">
        <v>1.21688</v>
      </c>
      <c r="C7" s="7">
        <v>1.2247300000000001</v>
      </c>
      <c r="D7" s="7">
        <v>1.2093499999999999</v>
      </c>
      <c r="E7" s="7">
        <v>1.8070600000000001</v>
      </c>
      <c r="F7" s="15">
        <v>0.769208</v>
      </c>
      <c r="G7" s="7">
        <v>0.73601000000000005</v>
      </c>
      <c r="H7" s="7">
        <v>0.78661000000000003</v>
      </c>
      <c r="I7" s="7">
        <v>1.0865400000000001</v>
      </c>
      <c r="K7" s="7">
        <v>0.702237</v>
      </c>
      <c r="L7" s="7">
        <v>0.710839</v>
      </c>
      <c r="M7" s="7">
        <v>0.71124299999999996</v>
      </c>
      <c r="N7" s="7">
        <v>1.0381899999999999</v>
      </c>
      <c r="O7" s="15">
        <v>0.443801</v>
      </c>
      <c r="P7" s="7">
        <v>0.42852800000000002</v>
      </c>
      <c r="Q7" s="7">
        <v>0.45600400000000002</v>
      </c>
      <c r="R7" s="7">
        <v>0.61335799999999996</v>
      </c>
      <c r="T7" s="7">
        <v>0.34112999999999999</v>
      </c>
      <c r="U7" s="7">
        <v>0.34255799999999997</v>
      </c>
      <c r="V7" s="7">
        <v>0.33807500000000001</v>
      </c>
      <c r="W7" s="7">
        <v>0.51139999999999997</v>
      </c>
      <c r="X7" s="15">
        <v>0.21616299999999999</v>
      </c>
      <c r="Y7" s="7">
        <v>0.20671100000000001</v>
      </c>
      <c r="Z7" s="7">
        <v>0.21923400000000001</v>
      </c>
      <c r="AA7" s="7">
        <v>0.29788999999999999</v>
      </c>
    </row>
    <row r="8" spans="1:27" x14ac:dyDescent="0.25">
      <c r="A8">
        <v>5</v>
      </c>
      <c r="B8" s="7">
        <v>1.52013</v>
      </c>
      <c r="C8" s="7">
        <v>1.53034</v>
      </c>
      <c r="D8" s="7">
        <v>1.51101</v>
      </c>
      <c r="E8" s="7">
        <v>2.2582300000000002</v>
      </c>
      <c r="F8" s="15">
        <v>0.96047099999999996</v>
      </c>
      <c r="G8" s="7">
        <v>0.91920299999999999</v>
      </c>
      <c r="H8" s="7">
        <v>0.98324999999999996</v>
      </c>
      <c r="I8" s="7">
        <v>1.3579300000000001</v>
      </c>
      <c r="K8" s="7">
        <v>0.87758000000000003</v>
      </c>
      <c r="L8" s="7">
        <v>0.889621</v>
      </c>
      <c r="M8" s="7">
        <v>0.88856299999999999</v>
      </c>
      <c r="N8" s="7">
        <v>1.2974300000000001</v>
      </c>
      <c r="O8" s="15">
        <v>0.55432700000000001</v>
      </c>
      <c r="P8" s="7">
        <v>0.535555</v>
      </c>
      <c r="Q8" s="7">
        <v>0.57004200000000005</v>
      </c>
      <c r="R8" s="7">
        <v>0.76643700000000003</v>
      </c>
      <c r="T8" s="7">
        <v>0.425925</v>
      </c>
      <c r="U8" s="7">
        <v>0.42796099999999998</v>
      </c>
      <c r="V8" s="7">
        <v>0.42211100000000001</v>
      </c>
      <c r="W8" s="7">
        <v>0.63877799999999996</v>
      </c>
      <c r="X8" s="15">
        <v>0.26980999999999999</v>
      </c>
      <c r="Y8" s="7">
        <v>0.25791900000000001</v>
      </c>
      <c r="Z8" s="7">
        <v>0.27351599999999998</v>
      </c>
      <c r="AA8" s="7">
        <v>0.37193599999999999</v>
      </c>
    </row>
    <row r="9" spans="1:27" x14ac:dyDescent="0.25">
      <c r="A9">
        <v>6</v>
      </c>
      <c r="B9" s="7">
        <v>1.8252600000000001</v>
      </c>
      <c r="C9" s="7">
        <v>1.83765</v>
      </c>
      <c r="D9" s="7">
        <v>1.8137300000000001</v>
      </c>
      <c r="E9" s="7">
        <v>2.7119599999999999</v>
      </c>
      <c r="F9" s="15">
        <v>1.1529199999999999</v>
      </c>
      <c r="G9" s="7">
        <v>1.10358</v>
      </c>
      <c r="H9" s="7">
        <v>1.18024</v>
      </c>
      <c r="I9" s="7">
        <v>1.6319900000000001</v>
      </c>
      <c r="K9" s="7">
        <v>1.05305</v>
      </c>
      <c r="L9" s="7">
        <v>1.0651299999999999</v>
      </c>
      <c r="M9" s="7">
        <v>1.06653</v>
      </c>
      <c r="N9" s="7">
        <v>1.5578000000000001</v>
      </c>
      <c r="O9" s="15">
        <v>0.66489500000000001</v>
      </c>
      <c r="P9" s="7">
        <v>0.64289799999999997</v>
      </c>
      <c r="Q9" s="7">
        <v>0.68437099999999995</v>
      </c>
      <c r="R9" s="7">
        <v>0.92053799999999997</v>
      </c>
      <c r="T9" s="7">
        <v>0.51089700000000005</v>
      </c>
      <c r="U9" s="7">
        <v>0.51398900000000003</v>
      </c>
      <c r="V9" s="7">
        <v>0.50646899999999995</v>
      </c>
      <c r="W9" s="7">
        <v>0.76682499999999998</v>
      </c>
      <c r="X9" s="15">
        <v>0.32344699999999998</v>
      </c>
      <c r="Y9" s="7">
        <v>0.309473</v>
      </c>
      <c r="Z9" s="7">
        <v>0.32816699999999999</v>
      </c>
      <c r="AA9" s="7">
        <v>0.44651600000000002</v>
      </c>
    </row>
    <row r="10" spans="1:27" x14ac:dyDescent="0.25">
      <c r="A10">
        <v>7</v>
      </c>
      <c r="B10" s="7">
        <v>2.1303999999999998</v>
      </c>
      <c r="C10" s="7">
        <v>2.1436199999999999</v>
      </c>
      <c r="D10" s="7">
        <v>2.1166499999999999</v>
      </c>
      <c r="E10" s="7">
        <v>3.16527</v>
      </c>
      <c r="F10" s="15">
        <v>1.34545</v>
      </c>
      <c r="G10" s="7">
        <v>1.28861</v>
      </c>
      <c r="H10" s="7">
        <v>1.3776200000000001</v>
      </c>
      <c r="I10" s="7">
        <v>1.9053</v>
      </c>
      <c r="K10" s="7">
        <v>1.2291300000000001</v>
      </c>
      <c r="L10" s="7">
        <v>1.2447600000000001</v>
      </c>
      <c r="M10" s="7">
        <v>1.2444200000000001</v>
      </c>
      <c r="N10" s="7">
        <v>1.8181700000000001</v>
      </c>
      <c r="O10" s="15">
        <v>0.77585000000000004</v>
      </c>
      <c r="P10" s="7">
        <v>0.75037699999999996</v>
      </c>
      <c r="Q10" s="7">
        <v>0.798508</v>
      </c>
      <c r="R10" s="7">
        <v>1.07447</v>
      </c>
      <c r="T10" s="7">
        <v>0.59607100000000002</v>
      </c>
      <c r="U10" s="7">
        <v>0.59843599999999997</v>
      </c>
      <c r="V10" s="7">
        <v>0.59092299999999998</v>
      </c>
      <c r="W10" s="7">
        <v>0.89483400000000002</v>
      </c>
      <c r="X10" s="15">
        <v>0.376998</v>
      </c>
      <c r="Y10" s="7">
        <v>0.36092800000000003</v>
      </c>
      <c r="Z10" s="7">
        <v>0.382886</v>
      </c>
      <c r="AA10" s="7">
        <v>0.52094099999999999</v>
      </c>
    </row>
    <row r="11" spans="1:27" x14ac:dyDescent="0.25">
      <c r="A11">
        <v>8</v>
      </c>
      <c r="B11" s="7">
        <v>2.43492</v>
      </c>
      <c r="C11" s="7">
        <v>2.4494699999999998</v>
      </c>
      <c r="D11" s="7">
        <v>2.4180600000000001</v>
      </c>
      <c r="E11" s="7">
        <v>3.61625</v>
      </c>
      <c r="F11" s="15">
        <v>1.5381</v>
      </c>
      <c r="G11" s="7">
        <v>1.47245</v>
      </c>
      <c r="H11" s="7">
        <v>1.5747599999999999</v>
      </c>
      <c r="I11" s="7">
        <v>2.1768200000000002</v>
      </c>
      <c r="K11" s="7">
        <v>1.4037599999999999</v>
      </c>
      <c r="L11" s="7">
        <v>1.41987</v>
      </c>
      <c r="M11" s="7">
        <v>1.4216899999999999</v>
      </c>
      <c r="N11" s="7">
        <v>2.0776400000000002</v>
      </c>
      <c r="O11" s="15">
        <v>0.88654100000000002</v>
      </c>
      <c r="P11" s="7">
        <v>0.85685699999999998</v>
      </c>
      <c r="Q11" s="7">
        <v>0.91217700000000002</v>
      </c>
      <c r="R11" s="7">
        <v>1.2274700000000001</v>
      </c>
      <c r="T11" s="7">
        <v>0.68093999999999999</v>
      </c>
      <c r="U11" s="7">
        <v>0.683585</v>
      </c>
      <c r="V11" s="7">
        <v>0.67489100000000002</v>
      </c>
      <c r="W11" s="7">
        <v>1.02203</v>
      </c>
      <c r="X11" s="15">
        <v>0.43073600000000001</v>
      </c>
      <c r="Y11" s="7">
        <v>0.41208699999999998</v>
      </c>
      <c r="Z11" s="7">
        <v>0.437112</v>
      </c>
      <c r="AA11" s="7">
        <v>0.59498399999999996</v>
      </c>
    </row>
    <row r="12" spans="1:27" x14ac:dyDescent="0.25">
      <c r="A12">
        <v>9</v>
      </c>
      <c r="B12" s="7">
        <v>2.7390699999999999</v>
      </c>
      <c r="C12" s="7">
        <v>2.7572399999999999</v>
      </c>
      <c r="D12" s="7">
        <v>2.7195499999999999</v>
      </c>
      <c r="E12" s="7">
        <v>4.0684100000000001</v>
      </c>
      <c r="F12" s="15">
        <v>1.72916</v>
      </c>
      <c r="G12" s="7">
        <v>1.6572899999999999</v>
      </c>
      <c r="H12" s="7">
        <v>1.77092</v>
      </c>
      <c r="I12" s="7">
        <v>2.44922</v>
      </c>
      <c r="K12" s="7">
        <v>1.5788800000000001</v>
      </c>
      <c r="L12" s="7">
        <v>1.59805</v>
      </c>
      <c r="M12" s="7">
        <v>1.5989899999999999</v>
      </c>
      <c r="N12" s="7">
        <v>2.3366799999999999</v>
      </c>
      <c r="O12" s="15">
        <v>0.99712699999999999</v>
      </c>
      <c r="P12" s="7">
        <v>0.96495200000000003</v>
      </c>
      <c r="Q12" s="7">
        <v>1.0266200000000001</v>
      </c>
      <c r="R12" s="7">
        <v>1.38089</v>
      </c>
      <c r="T12" s="7">
        <v>0.76603699999999997</v>
      </c>
      <c r="U12" s="7">
        <v>0.76980000000000004</v>
      </c>
      <c r="V12" s="7">
        <v>0.75886699999999996</v>
      </c>
      <c r="W12" s="7">
        <v>1.14964</v>
      </c>
      <c r="X12" s="15">
        <v>0.48415399999999997</v>
      </c>
      <c r="Y12" s="7">
        <v>0.463507</v>
      </c>
      <c r="Z12" s="7">
        <v>0.49141600000000002</v>
      </c>
      <c r="AA12" s="7">
        <v>0.66908800000000002</v>
      </c>
    </row>
    <row r="13" spans="1:27" x14ac:dyDescent="0.25">
      <c r="A13">
        <v>10</v>
      </c>
      <c r="B13" s="7">
        <v>3.0444100000000001</v>
      </c>
      <c r="C13" s="7">
        <v>3.0619399999999999</v>
      </c>
      <c r="D13" s="7">
        <v>3.02278</v>
      </c>
      <c r="E13" s="7">
        <v>4.5225900000000001</v>
      </c>
      <c r="F13" s="15">
        <v>1.9200600000000001</v>
      </c>
      <c r="G13" s="7">
        <v>1.8416699999999999</v>
      </c>
      <c r="H13" s="7">
        <v>1.9686900000000001</v>
      </c>
      <c r="I13" s="7">
        <v>2.7244600000000001</v>
      </c>
      <c r="K13" s="7">
        <v>1.75576</v>
      </c>
      <c r="L13" s="7">
        <v>1.77708</v>
      </c>
      <c r="M13" s="7">
        <v>1.7770300000000001</v>
      </c>
      <c r="N13" s="7">
        <v>2.59795</v>
      </c>
      <c r="O13" s="15">
        <v>1.10734</v>
      </c>
      <c r="P13" s="7">
        <v>1.0712299999999999</v>
      </c>
      <c r="Q13" s="7">
        <v>1.1412</v>
      </c>
      <c r="R13" s="7">
        <v>1.53559</v>
      </c>
      <c r="T13" s="7">
        <v>0.850935</v>
      </c>
      <c r="U13" s="7">
        <v>0.85455000000000003</v>
      </c>
      <c r="V13" s="7">
        <v>0.84348800000000002</v>
      </c>
      <c r="W13" s="7">
        <v>1.27776</v>
      </c>
      <c r="X13" s="15">
        <v>0.53806399999999999</v>
      </c>
      <c r="Y13" s="7">
        <v>0.51539500000000005</v>
      </c>
      <c r="Z13" s="7">
        <v>0.54595000000000005</v>
      </c>
      <c r="AA13" s="7">
        <v>0.74369799999999997</v>
      </c>
    </row>
    <row r="14" spans="1:27" x14ac:dyDescent="0.25">
      <c r="A14">
        <v>11</v>
      </c>
      <c r="B14" s="7">
        <v>3.3484799999999999</v>
      </c>
      <c r="C14" s="7">
        <v>3.3679899999999998</v>
      </c>
      <c r="D14" s="7">
        <v>3.3236599999999998</v>
      </c>
      <c r="E14" s="7">
        <v>4.97492</v>
      </c>
      <c r="F14" s="15">
        <v>2.1139199999999998</v>
      </c>
      <c r="G14" s="7">
        <v>2.0255999999999998</v>
      </c>
      <c r="H14" s="7">
        <v>2.1647400000000001</v>
      </c>
      <c r="I14" s="7">
        <v>2.99681</v>
      </c>
      <c r="K14" s="7">
        <v>1.93032</v>
      </c>
      <c r="L14" s="7">
        <v>1.95634</v>
      </c>
      <c r="M14" s="7">
        <v>1.95427</v>
      </c>
      <c r="N14" s="7">
        <v>2.8574199999999998</v>
      </c>
      <c r="O14" s="15">
        <v>1.21804</v>
      </c>
      <c r="P14" s="7">
        <v>1.1794100000000001</v>
      </c>
      <c r="Q14" s="7">
        <v>1.2555099999999999</v>
      </c>
      <c r="R14" s="7">
        <v>1.6893100000000001</v>
      </c>
      <c r="T14" s="7">
        <v>0.93595799999999996</v>
      </c>
      <c r="U14" s="7">
        <v>0.93951099999999999</v>
      </c>
      <c r="V14" s="7">
        <v>0.92736799999999997</v>
      </c>
      <c r="W14" s="7">
        <v>1.4052100000000001</v>
      </c>
      <c r="X14" s="15">
        <v>0.591503</v>
      </c>
      <c r="Y14" s="7">
        <v>0.56640900000000005</v>
      </c>
      <c r="Z14" s="7">
        <v>0.60037499999999999</v>
      </c>
      <c r="AA14" s="7">
        <v>0.81802600000000003</v>
      </c>
    </row>
    <row r="15" spans="1:27" x14ac:dyDescent="0.25">
      <c r="A15">
        <v>12</v>
      </c>
      <c r="B15" s="7">
        <v>3.6526399999999999</v>
      </c>
      <c r="C15" s="7">
        <v>3.67435</v>
      </c>
      <c r="D15" s="7">
        <v>3.62568</v>
      </c>
      <c r="E15" s="7">
        <v>5.4278500000000003</v>
      </c>
      <c r="F15" s="15">
        <v>2.3047200000000001</v>
      </c>
      <c r="G15" s="7">
        <v>2.2091400000000001</v>
      </c>
      <c r="H15" s="7">
        <v>2.36131</v>
      </c>
      <c r="I15" s="7">
        <v>3.2690700000000001</v>
      </c>
      <c r="K15" s="7">
        <v>2.1071599999999999</v>
      </c>
      <c r="L15" s="7">
        <v>2.1319499999999998</v>
      </c>
      <c r="M15" s="7">
        <v>2.1314299999999999</v>
      </c>
      <c r="N15" s="7">
        <v>3.1170100000000001</v>
      </c>
      <c r="O15" s="15">
        <v>1.32884</v>
      </c>
      <c r="P15" s="7">
        <v>1.2865500000000001</v>
      </c>
      <c r="Q15" s="7">
        <v>1.36893</v>
      </c>
      <c r="R15" s="7">
        <v>1.8430599999999999</v>
      </c>
      <c r="T15" s="7">
        <v>1.0207900000000001</v>
      </c>
      <c r="U15" s="7">
        <v>1.0248299999999999</v>
      </c>
      <c r="V15" s="7">
        <v>1.01153</v>
      </c>
      <c r="W15" s="7">
        <v>1.53287</v>
      </c>
      <c r="X15" s="15">
        <v>0.64502199999999998</v>
      </c>
      <c r="Y15" s="7">
        <v>0.61800299999999997</v>
      </c>
      <c r="Z15" s="7">
        <v>0.65513600000000005</v>
      </c>
      <c r="AA15" s="7">
        <v>0.89212000000000002</v>
      </c>
    </row>
    <row r="16" spans="1:27" x14ac:dyDescent="0.25">
      <c r="A16">
        <v>13</v>
      </c>
      <c r="B16" s="7">
        <v>3.9559500000000001</v>
      </c>
      <c r="C16" s="7">
        <v>3.9830700000000001</v>
      </c>
      <c r="D16" s="7">
        <v>3.9268100000000001</v>
      </c>
      <c r="E16" s="7">
        <v>5.8813500000000003</v>
      </c>
      <c r="F16" s="15">
        <v>2.4971100000000002</v>
      </c>
      <c r="G16" s="7">
        <v>2.3929</v>
      </c>
      <c r="H16" s="7">
        <v>2.5582699999999998</v>
      </c>
      <c r="I16" s="7">
        <v>3.5433699999999999</v>
      </c>
      <c r="K16" s="7">
        <v>2.28145</v>
      </c>
      <c r="L16" s="7">
        <v>2.3068300000000002</v>
      </c>
      <c r="M16" s="7">
        <v>2.30891</v>
      </c>
      <c r="N16" s="7">
        <v>3.37696</v>
      </c>
      <c r="O16" s="15">
        <v>1.4396500000000001</v>
      </c>
      <c r="P16" s="7">
        <v>1.39384</v>
      </c>
      <c r="Q16" s="7">
        <v>1.4838199999999999</v>
      </c>
      <c r="R16" s="7">
        <v>1.99655</v>
      </c>
      <c r="T16" s="7">
        <v>1.1057999999999999</v>
      </c>
      <c r="U16" s="7">
        <v>1.1107400000000001</v>
      </c>
      <c r="V16" s="7">
        <v>1.0953900000000001</v>
      </c>
      <c r="W16" s="7">
        <v>1.6605700000000001</v>
      </c>
      <c r="X16" s="15">
        <v>0.698743</v>
      </c>
      <c r="Y16" s="7">
        <v>0.66946300000000003</v>
      </c>
      <c r="Z16" s="7">
        <v>0.70916999999999997</v>
      </c>
      <c r="AA16" s="7">
        <v>0.96665699999999999</v>
      </c>
    </row>
    <row r="17" spans="1:27" x14ac:dyDescent="0.25">
      <c r="A17">
        <v>14</v>
      </c>
      <c r="B17" s="7">
        <v>4.2621500000000001</v>
      </c>
      <c r="C17" s="7">
        <v>4.2880000000000003</v>
      </c>
      <c r="D17" s="7">
        <v>4.2287600000000003</v>
      </c>
      <c r="E17" s="7">
        <v>6.3334099999999998</v>
      </c>
      <c r="F17" s="15">
        <v>2.6874600000000002</v>
      </c>
      <c r="G17" s="7">
        <v>2.5802700000000001</v>
      </c>
      <c r="H17" s="7">
        <v>2.7549999999999999</v>
      </c>
      <c r="I17" s="7">
        <v>3.8178999999999998</v>
      </c>
      <c r="K17" s="7">
        <v>2.45634</v>
      </c>
      <c r="L17" s="7">
        <v>2.4898199999999999</v>
      </c>
      <c r="M17" s="7">
        <v>2.4861900000000001</v>
      </c>
      <c r="N17" s="7">
        <v>3.6371099999999998</v>
      </c>
      <c r="O17" s="15">
        <v>1.5501199999999999</v>
      </c>
      <c r="P17" s="7">
        <v>1.5016700000000001</v>
      </c>
      <c r="Q17" s="7">
        <v>1.5982700000000001</v>
      </c>
      <c r="R17" s="7">
        <v>2.1509100000000001</v>
      </c>
      <c r="T17" s="7">
        <v>1.19076</v>
      </c>
      <c r="U17" s="7">
        <v>1.1957500000000001</v>
      </c>
      <c r="V17" s="7">
        <v>1.1795</v>
      </c>
      <c r="W17" s="7">
        <v>1.78854</v>
      </c>
      <c r="X17" s="15">
        <v>0.75235300000000005</v>
      </c>
      <c r="Y17" s="7">
        <v>0.72128099999999995</v>
      </c>
      <c r="Z17" s="7">
        <v>0.76417800000000002</v>
      </c>
      <c r="AA17" s="7">
        <v>1.0412399999999999</v>
      </c>
    </row>
    <row r="18" spans="1:27" x14ac:dyDescent="0.25">
      <c r="A18">
        <v>15</v>
      </c>
      <c r="B18" s="7">
        <v>4.5649600000000001</v>
      </c>
      <c r="C18" s="7">
        <v>4.5929599999999997</v>
      </c>
      <c r="D18" s="7">
        <v>4.5310199999999998</v>
      </c>
      <c r="E18" s="7">
        <v>6.7876700000000003</v>
      </c>
      <c r="F18" s="15">
        <v>2.8789699999999998</v>
      </c>
      <c r="G18" s="7">
        <v>2.7629299999999999</v>
      </c>
      <c r="H18" s="7">
        <v>2.9516800000000001</v>
      </c>
      <c r="I18" s="7">
        <v>4.0912699999999997</v>
      </c>
      <c r="K18" s="7">
        <v>2.6326900000000002</v>
      </c>
      <c r="L18" s="7">
        <v>2.6652</v>
      </c>
      <c r="M18" s="7">
        <v>2.6636899999999999</v>
      </c>
      <c r="N18" s="7">
        <v>3.8980600000000001</v>
      </c>
      <c r="O18" s="15">
        <v>1.66133</v>
      </c>
      <c r="P18" s="7">
        <v>1.61059</v>
      </c>
      <c r="Q18" s="7">
        <v>1.7131700000000001</v>
      </c>
      <c r="R18" s="7">
        <v>2.3049599999999999</v>
      </c>
      <c r="T18" s="7">
        <v>1.2753399999999999</v>
      </c>
      <c r="U18" s="7">
        <v>1.2816399999999999</v>
      </c>
      <c r="V18" s="7">
        <v>1.2636400000000001</v>
      </c>
      <c r="W18" s="7">
        <v>1.91629</v>
      </c>
      <c r="X18" s="15">
        <v>0.80596500000000004</v>
      </c>
      <c r="Y18" s="7">
        <v>0.77246400000000004</v>
      </c>
      <c r="Z18" s="7">
        <v>0.81845000000000001</v>
      </c>
      <c r="AA18" s="7">
        <v>1.1156699999999999</v>
      </c>
    </row>
    <row r="19" spans="1:27" x14ac:dyDescent="0.25">
      <c r="A19">
        <v>16</v>
      </c>
      <c r="B19" s="7">
        <v>4.87181</v>
      </c>
      <c r="C19" s="7">
        <v>4.9014199999999999</v>
      </c>
      <c r="D19" s="7">
        <v>4.8327400000000003</v>
      </c>
      <c r="E19" s="7">
        <v>7.2422000000000004</v>
      </c>
      <c r="F19" s="15">
        <v>3.0711499999999998</v>
      </c>
      <c r="G19" s="7">
        <v>2.9481600000000001</v>
      </c>
      <c r="H19" s="7">
        <v>3.14785</v>
      </c>
      <c r="I19" s="7">
        <v>4.3661399999999997</v>
      </c>
      <c r="K19" s="7">
        <v>2.8078500000000002</v>
      </c>
      <c r="L19" s="7">
        <v>2.8420100000000001</v>
      </c>
      <c r="M19" s="7">
        <v>2.8408000000000002</v>
      </c>
      <c r="N19" s="7">
        <v>4.1577700000000002</v>
      </c>
      <c r="O19" s="15">
        <v>1.77095</v>
      </c>
      <c r="P19" s="7">
        <v>1.7170300000000001</v>
      </c>
      <c r="Q19" s="7">
        <v>1.8272299999999999</v>
      </c>
      <c r="R19" s="7">
        <v>2.4589599999999998</v>
      </c>
      <c r="T19" s="7">
        <v>1.3604099999999999</v>
      </c>
      <c r="U19" s="7">
        <v>1.3672500000000001</v>
      </c>
      <c r="V19" s="7">
        <v>1.34779</v>
      </c>
      <c r="W19" s="7">
        <v>2.0440200000000002</v>
      </c>
      <c r="X19" s="15">
        <v>0.85943800000000004</v>
      </c>
      <c r="Y19" s="7">
        <v>0.82423100000000005</v>
      </c>
      <c r="Z19" s="7">
        <v>0.87322299999999997</v>
      </c>
      <c r="AA19" s="7">
        <v>1.19041</v>
      </c>
    </row>
    <row r="20" spans="1:27" x14ac:dyDescent="0.25">
      <c r="A20">
        <v>17</v>
      </c>
      <c r="B20" s="7">
        <v>5.17563</v>
      </c>
      <c r="C20" s="7">
        <v>5.2060599999999999</v>
      </c>
      <c r="D20" s="7">
        <v>5.1342800000000004</v>
      </c>
      <c r="E20" s="7">
        <v>7.6957800000000001</v>
      </c>
      <c r="F20" s="15">
        <v>3.2625199999999999</v>
      </c>
      <c r="G20" s="7">
        <v>3.1321699999999999</v>
      </c>
      <c r="H20" s="7">
        <v>3.3448199999999999</v>
      </c>
      <c r="I20" s="7">
        <v>4.6408199999999997</v>
      </c>
      <c r="K20" s="7">
        <v>2.9842</v>
      </c>
      <c r="L20" s="7">
        <v>3.0189699999999999</v>
      </c>
      <c r="M20" s="7">
        <v>3.0177299999999998</v>
      </c>
      <c r="N20" s="7">
        <v>4.4169700000000001</v>
      </c>
      <c r="O20" s="15">
        <v>1.88205</v>
      </c>
      <c r="P20" s="7">
        <v>1.82453</v>
      </c>
      <c r="Q20" s="7">
        <v>1.93974</v>
      </c>
      <c r="R20" s="7">
        <v>2.61354</v>
      </c>
      <c r="T20" s="7">
        <v>1.4456800000000001</v>
      </c>
      <c r="U20" s="7">
        <v>1.4538199999999999</v>
      </c>
      <c r="V20" s="7">
        <v>1.4316500000000001</v>
      </c>
      <c r="W20" s="7">
        <v>2.17178</v>
      </c>
      <c r="X20" s="15">
        <v>0.91293800000000003</v>
      </c>
      <c r="Y20" s="7">
        <v>0.87497899999999995</v>
      </c>
      <c r="Z20" s="7">
        <v>0.92737199999999997</v>
      </c>
      <c r="AA20" s="7">
        <v>1.26464</v>
      </c>
    </row>
    <row r="21" spans="1:27" x14ac:dyDescent="0.25">
      <c r="A21">
        <v>18</v>
      </c>
      <c r="B21" s="7">
        <v>5.4827700000000004</v>
      </c>
      <c r="C21" s="7">
        <v>5.51335</v>
      </c>
      <c r="D21" s="7">
        <v>5.4376499999999997</v>
      </c>
      <c r="E21" s="7">
        <v>8.1506399999999992</v>
      </c>
      <c r="F21" s="15">
        <v>3.45499</v>
      </c>
      <c r="G21" s="7">
        <v>3.3169599999999999</v>
      </c>
      <c r="H21" s="7">
        <v>3.54339</v>
      </c>
      <c r="I21" s="7">
        <v>4.91465</v>
      </c>
      <c r="K21" s="7">
        <v>3.1602199999999998</v>
      </c>
      <c r="L21" s="7">
        <v>3.1971400000000001</v>
      </c>
      <c r="M21" s="7">
        <v>3.1955399999999998</v>
      </c>
      <c r="N21" s="7">
        <v>4.6784499999999998</v>
      </c>
      <c r="O21" s="15">
        <v>1.9932300000000001</v>
      </c>
      <c r="P21" s="7">
        <v>1.93292</v>
      </c>
      <c r="Q21" s="7">
        <v>2.0552700000000002</v>
      </c>
      <c r="R21" s="7">
        <v>2.76823</v>
      </c>
      <c r="T21" s="7">
        <v>1.5314099999999999</v>
      </c>
      <c r="U21" s="7">
        <v>1.5382899999999999</v>
      </c>
      <c r="V21" s="7">
        <v>1.5158199999999999</v>
      </c>
      <c r="W21" s="7">
        <v>2.2996300000000001</v>
      </c>
      <c r="X21" s="15">
        <v>0.96675</v>
      </c>
      <c r="Y21" s="7">
        <v>0.92747900000000005</v>
      </c>
      <c r="Z21" s="7">
        <v>0.981684</v>
      </c>
      <c r="AA21" s="7">
        <v>1.3395900000000001</v>
      </c>
    </row>
    <row r="23" spans="1:27" x14ac:dyDescent="0.25">
      <c r="A23" t="s">
        <v>42</v>
      </c>
    </row>
    <row r="24" spans="1:27" x14ac:dyDescent="0.25">
      <c r="A24" t="s">
        <v>43</v>
      </c>
    </row>
    <row r="25" spans="1:27" x14ac:dyDescent="0.25">
      <c r="A25" t="s">
        <v>58</v>
      </c>
    </row>
  </sheetData>
  <mergeCells count="9">
    <mergeCell ref="T1:AA1"/>
    <mergeCell ref="T2:W2"/>
    <mergeCell ref="X2:AA2"/>
    <mergeCell ref="B1:I1"/>
    <mergeCell ref="K1:R1"/>
    <mergeCell ref="B2:E2"/>
    <mergeCell ref="F2:I2"/>
    <mergeCell ref="K2:N2"/>
    <mergeCell ref="O2:R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8664CBC22DF24688812702072406D2" ma:contentTypeVersion="12" ma:contentTypeDescription="Crear nuevo documento." ma:contentTypeScope="" ma:versionID="d5d77a222293858c02af17aa9eb1171d">
  <xsd:schema xmlns:xsd="http://www.w3.org/2001/XMLSchema" xmlns:xs="http://www.w3.org/2001/XMLSchema" xmlns:p="http://schemas.microsoft.com/office/2006/metadata/properties" xmlns:ns3="a06c14d4-a33f-414b-8393-9f6c8c5d8c11" xmlns:ns4="80e49fe8-a15a-4704-80c5-af2ddf4c3ab0" targetNamespace="http://schemas.microsoft.com/office/2006/metadata/properties" ma:root="true" ma:fieldsID="88c4d19bc73f4fb2ed80fcd85455681d" ns3:_="" ns4:_="">
    <xsd:import namespace="a06c14d4-a33f-414b-8393-9f6c8c5d8c11"/>
    <xsd:import namespace="80e49fe8-a15a-4704-80c5-af2ddf4c3a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c14d4-a33f-414b-8393-9f6c8c5d8c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49fe8-a15a-4704-80c5-af2ddf4c3ab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D35B8B-DCC4-4F50-9119-3776980F4967}">
  <ds:schemaRefs>
    <ds:schemaRef ds:uri="http://purl.org/dc/terms/"/>
    <ds:schemaRef ds:uri="http://schemas.openxmlformats.org/package/2006/metadata/core-properties"/>
    <ds:schemaRef ds:uri="http://purl.org/dc/dcmitype/"/>
    <ds:schemaRef ds:uri="80e49fe8-a15a-4704-80c5-af2ddf4c3ab0"/>
    <ds:schemaRef ds:uri="http://purl.org/dc/elements/1.1/"/>
    <ds:schemaRef ds:uri="http://schemas.microsoft.com/office/2006/documentManagement/types"/>
    <ds:schemaRef ds:uri="a06c14d4-a33f-414b-8393-9f6c8c5d8c11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014C683-6549-4776-A526-0CB289E3B2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6c14d4-a33f-414b-8393-9f6c8c5d8c11"/>
    <ds:schemaRef ds:uri="80e49fe8-a15a-4704-80c5-af2ddf4c3a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F72807-75BA-4D6F-B882-6EE675B2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CPU_O3</vt:lpstr>
      <vt:lpstr>CPU_O2</vt:lpstr>
      <vt:lpstr>CPU_OpenMP_O3</vt:lpstr>
      <vt:lpstr>CPU_OpenMP</vt:lpstr>
      <vt:lpstr>CUDA-GM</vt:lpstr>
      <vt:lpstr>CUDA-GM2</vt:lpstr>
      <vt:lpstr>CUDA-SM</vt:lpstr>
      <vt:lpstr>DGXvsK40C_v2</vt:lpstr>
      <vt:lpstr>ThreadsBlock_CUDA</vt:lpstr>
      <vt:lpstr>Conclusions</vt:lpstr>
      <vt:lpstr>Update</vt:lpstr>
      <vt:lpstr>Platforms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 Alcaín Ballesteros</cp:lastModifiedBy>
  <dcterms:created xsi:type="dcterms:W3CDTF">2015-03-02T21:53:27Z</dcterms:created>
  <dcterms:modified xsi:type="dcterms:W3CDTF">2021-05-16T09:54:02Z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0x0101004A8664CBC22DF24688812702072406D2</vt:lpwstr>
  </property>
</Properties>
</file>